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embeddings/oleObject2.bin" ContentType="application/vnd.openxmlformats-officedocument.oleObject"/>
  <Override PartName="/xl/drawings/drawing4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3368" windowHeight="5256" tabRatio="699" activeTab="2"/>
  </bookViews>
  <sheets>
    <sheet name="Financial Data Slide" sheetId="1" r:id="rId1"/>
    <sheet name="Tax Basis" sheetId="2" r:id="rId2"/>
    <sheet name="Sum of Parts-Slide" sheetId="3" r:id="rId3"/>
    <sheet name="New Powerdat Asset info" sheetId="4" r:id="rId4"/>
    <sheet name="Full BreakUp" sheetId="5" r:id="rId5"/>
    <sheet name="Full BreakupTable-high" sheetId="6" r:id="rId6"/>
    <sheet name="FullBreakupTable-low" sheetId="7" r:id="rId7"/>
    <sheet name="Expected Transaction" sheetId="8" r:id="rId8"/>
    <sheet name="Expected Table-high" sheetId="9" r:id="rId9"/>
    <sheet name="Expected Table-low" sheetId="10" r:id="rId10"/>
    <sheet name="Valuation Slide" sheetId="11" r:id="rId11"/>
    <sheet name="Corp I-S&amp;B-S" sheetId="12" r:id="rId12"/>
    <sheet name="Trading Comps" sheetId="13" r:id="rId13"/>
    <sheet name="Issues-Slide" sheetId="14" r:id="rId14"/>
    <sheet name="Remaining Assets" sheetId="15" r:id="rId15"/>
    <sheet name="Asset Overview Slide" sheetId="16" r:id="rId16"/>
    <sheet name="Corporate Comparable Trading" sheetId="17" r:id="rId17"/>
    <sheet name="Corporate Compac Valuation" sheetId="18" r:id="rId18"/>
    <sheet name="transaction comps Database" sheetId="19" r:id="rId19"/>
    <sheet name="Segment Compco Valuation" sheetId="20" r:id="rId20"/>
    <sheet name="Segment CompAc Comps" sheetId="21" r:id="rId21"/>
    <sheet name="accretion-dilutionIQ" sheetId="22" r:id="rId22"/>
    <sheet name="Net PPE" sheetId="23" r:id="rId23"/>
    <sheet name="Comp Summary" sheetId="24" r:id="rId24"/>
    <sheet name="Divestiture Comps" sheetId="25" r:id="rId25"/>
    <sheet name="Consolidated" sheetId="26" state="hidden" r:id="rId26"/>
    <sheet name="Stock Data" sheetId="27" r:id="rId27"/>
    <sheet name="Segment Fin Proj" sheetId="28" r:id="rId28"/>
    <sheet name="management&amp;holdings" sheetId="29" r:id="rId29"/>
    <sheet name="SSB Comps" sheetId="30" r:id="rId30"/>
    <sheet name="DCF of Generation" sheetId="31" r:id="rId31"/>
    <sheet name="Business Seg Slide" sheetId="32" r:id="rId32"/>
  </sheets>
  <externalReferences>
    <externalReference r:id="rId33"/>
    <externalReference r:id="rId34"/>
    <externalReference r:id="rId35"/>
    <externalReference r:id="rId36"/>
  </externalReferences>
  <definedNames>
    <definedName name="_xlnm.Print_Area" localSheetId="21">'accretion-dilutionIQ'!$F$1:$O$36</definedName>
    <definedName name="_xlnm.Print_Area" localSheetId="15">'Asset Overview Slide'!$A$1:$N$35</definedName>
    <definedName name="_xlnm.Print_Area" localSheetId="11">'Corp I-S&amp;B-S'!$A$1:$N$88</definedName>
    <definedName name="_xlnm.Print_Area" localSheetId="16">'Corporate Comparable Trading'!$A$1:$O$44</definedName>
    <definedName name="_xlnm.Print_Area" localSheetId="8">'Expected Table-high'!$A$1:$J$45</definedName>
    <definedName name="_xlnm.Print_Area" localSheetId="9">'Expected Table-low'!$A$1:$J$45</definedName>
    <definedName name="_xlnm.Print_Area" localSheetId="7">'Expected Transaction'!$A$1:$O$68</definedName>
    <definedName name="_xlnm.Print_Area" localSheetId="0">'Financial Data Slide'!$A$1:$L$29</definedName>
    <definedName name="_xlnm.Print_Area" localSheetId="4">'Full BreakUp'!$A$1:$N$63</definedName>
    <definedName name="_xlnm.Print_Area" localSheetId="5">'Full BreakupTable-high'!$A$1:$K$65</definedName>
    <definedName name="_xlnm.Print_Area" localSheetId="6">'FullBreakupTable-low'!$A$1:$K$47</definedName>
    <definedName name="_xlnm.Print_Area" localSheetId="13">'Issues-Slide'!$A$1:$N$20</definedName>
    <definedName name="_xlnm.Print_Area" localSheetId="3">'New Powerdat Asset info'!$A$1:$AA$83</definedName>
    <definedName name="_xlnm.Print_Area" localSheetId="14">'Remaining Assets'!$A$1:$K$22</definedName>
    <definedName name="_xlnm.Print_Area" localSheetId="19">'Segment Compco Valuation'!$A$1:$S$31</definedName>
    <definedName name="_xlnm.Print_Area" localSheetId="27">'Segment Fin Proj'!$A$1:$AW$201</definedName>
    <definedName name="_xlnm.Print_Area" localSheetId="2">'Sum of Parts-Slide'!$A$1:$O$57</definedName>
    <definedName name="_xlnm.Print_Area" localSheetId="1">'Tax Basis'!$1:$1048576</definedName>
    <definedName name="_xlnm.Print_Area" localSheetId="12">'Trading Comps'!$A$1:$AA$24</definedName>
    <definedName name="_xlnm.Print_Area" localSheetId="10">'Valuation Slide'!$A$1:$K$36</definedName>
    <definedName name="_xlnm.Print_Titles" localSheetId="15">'Asset Overview Slide'!#REF!</definedName>
    <definedName name="_xlnm.Print_Titles" localSheetId="27">'Segment Fin Proj'!$A:$E,'Segment Fin Proj'!$1:$6</definedName>
    <definedName name="_xlnm.Print_Titles" localSheetId="2">'Sum of Parts-Slide'!#REF!</definedName>
    <definedName name="_xlnm.Print_Titles" localSheetId="12">'Trading Comps'!$A:$A,'Trading Comps'!$1:$3</definedName>
    <definedName name="TABLE" localSheetId="26">'Stock Data'!$A$1:$A$105</definedName>
  </definedNames>
  <calcPr calcId="0" fullCalcOnLoad="1"/>
</workbook>
</file>

<file path=xl/calcChain.xml><?xml version="1.0" encoding="utf-8"?>
<calcChain xmlns="http://schemas.openxmlformats.org/spreadsheetml/2006/main">
  <c r="D5" i="22" l="1"/>
  <c r="D6" i="22"/>
  <c r="D7" i="22"/>
  <c r="D9" i="22"/>
  <c r="H9" i="22"/>
  <c r="I9" i="22"/>
  <c r="J9" i="22"/>
  <c r="B10" i="22"/>
  <c r="H10" i="22"/>
  <c r="I10" i="22"/>
  <c r="J10" i="22"/>
  <c r="D11" i="22"/>
  <c r="I11" i="22"/>
  <c r="J11" i="22"/>
  <c r="D12" i="22"/>
  <c r="H12" i="22"/>
  <c r="I12" i="22"/>
  <c r="J12" i="22"/>
  <c r="D13" i="22"/>
  <c r="H13" i="22"/>
  <c r="I13" i="22"/>
  <c r="J13" i="22"/>
  <c r="H16" i="22"/>
  <c r="I16" i="22"/>
  <c r="J16" i="22"/>
  <c r="D17" i="22"/>
  <c r="H17" i="22"/>
  <c r="I17" i="22"/>
  <c r="J17" i="22"/>
  <c r="C18" i="22"/>
  <c r="D18" i="22"/>
  <c r="D19" i="22"/>
  <c r="I19" i="22"/>
  <c r="J19" i="22"/>
  <c r="L19" i="22"/>
  <c r="H20" i="22"/>
  <c r="I20" i="22"/>
  <c r="J20" i="22"/>
  <c r="D21" i="22"/>
  <c r="H21" i="22"/>
  <c r="I21" i="22"/>
  <c r="J21" i="22"/>
  <c r="H22" i="22"/>
  <c r="I22" i="22"/>
  <c r="J22" i="22"/>
  <c r="D23" i="22"/>
  <c r="D24" i="22"/>
  <c r="J26" i="22"/>
  <c r="K26" i="22"/>
  <c r="L26" i="22"/>
  <c r="M26" i="22"/>
  <c r="N26" i="22"/>
  <c r="O26" i="22"/>
  <c r="P26" i="22"/>
  <c r="J27" i="22"/>
  <c r="K27" i="22"/>
  <c r="L27" i="22"/>
  <c r="M27" i="22"/>
  <c r="N27" i="22"/>
  <c r="O27" i="22"/>
  <c r="P27" i="22"/>
  <c r="D28" i="22"/>
  <c r="J28" i="22"/>
  <c r="K28" i="22"/>
  <c r="L28" i="22"/>
  <c r="M28" i="22"/>
  <c r="N28" i="22"/>
  <c r="O28" i="22"/>
  <c r="P28" i="22"/>
  <c r="D29" i="22"/>
  <c r="D30" i="22"/>
  <c r="D32" i="22"/>
  <c r="G42" i="22"/>
  <c r="G44" i="22"/>
  <c r="F9" i="16"/>
  <c r="M14" i="16"/>
  <c r="F15" i="16"/>
  <c r="M21" i="16"/>
  <c r="M28" i="16"/>
  <c r="M30" i="16"/>
  <c r="M31" i="16"/>
  <c r="O31" i="16"/>
  <c r="M33" i="16"/>
  <c r="M34" i="16"/>
  <c r="M35" i="16"/>
  <c r="I45" i="16"/>
  <c r="G46" i="16"/>
  <c r="H46" i="16"/>
  <c r="H51" i="16"/>
  <c r="D7" i="32"/>
  <c r="D8" i="32"/>
  <c r="D9" i="32"/>
  <c r="C10" i="32"/>
  <c r="B11" i="32"/>
  <c r="C11" i="32"/>
  <c r="D11" i="32"/>
  <c r="A1" i="26"/>
  <c r="A2" i="26"/>
  <c r="A3" i="26"/>
  <c r="C5" i="26"/>
  <c r="E5" i="26"/>
  <c r="B6" i="26"/>
  <c r="C6" i="26"/>
  <c r="D6" i="26"/>
  <c r="E6" i="26"/>
  <c r="F6" i="26"/>
  <c r="G6" i="26"/>
  <c r="A8" i="26"/>
  <c r="C9" i="26"/>
  <c r="D9" i="26"/>
  <c r="E9" i="26"/>
  <c r="F9" i="26"/>
  <c r="G9" i="26"/>
  <c r="A10" i="26"/>
  <c r="C10" i="26"/>
  <c r="D10" i="26"/>
  <c r="E10" i="26"/>
  <c r="F10" i="26"/>
  <c r="G10" i="26"/>
  <c r="A11" i="26"/>
  <c r="C11" i="26"/>
  <c r="D11" i="26"/>
  <c r="E11" i="26"/>
  <c r="F11" i="26"/>
  <c r="G11" i="26"/>
  <c r="A12" i="26"/>
  <c r="C12" i="26"/>
  <c r="D12" i="26"/>
  <c r="E12" i="26"/>
  <c r="F12" i="26"/>
  <c r="G12" i="26"/>
  <c r="C13" i="26"/>
  <c r="D13" i="26"/>
  <c r="E13" i="26"/>
  <c r="F13" i="26"/>
  <c r="G13" i="26"/>
  <c r="A15" i="26"/>
  <c r="C15" i="26"/>
  <c r="D15" i="26"/>
  <c r="E15" i="26"/>
  <c r="F15" i="26"/>
  <c r="G15" i="26"/>
  <c r="C17" i="26"/>
  <c r="D17" i="26"/>
  <c r="E17" i="26"/>
  <c r="F17" i="26"/>
  <c r="G17" i="26"/>
  <c r="A20" i="26"/>
  <c r="A21" i="26"/>
  <c r="C21" i="26"/>
  <c r="D21" i="26"/>
  <c r="E21" i="26"/>
  <c r="F21" i="26"/>
  <c r="G21" i="26"/>
  <c r="A22" i="26"/>
  <c r="C22" i="26"/>
  <c r="D22" i="26"/>
  <c r="E22" i="26"/>
  <c r="F22" i="26"/>
  <c r="G22" i="26"/>
  <c r="A23" i="26"/>
  <c r="C23" i="26"/>
  <c r="D23" i="26"/>
  <c r="E23" i="26"/>
  <c r="F23" i="26"/>
  <c r="G23" i="26"/>
  <c r="C24" i="26"/>
  <c r="D24" i="26"/>
  <c r="E24" i="26"/>
  <c r="F24" i="26"/>
  <c r="G24" i="26"/>
  <c r="A26" i="26"/>
  <c r="A27" i="26"/>
  <c r="C27" i="26"/>
  <c r="D27" i="26"/>
  <c r="E27" i="26"/>
  <c r="F27" i="26"/>
  <c r="G27" i="26"/>
  <c r="A28" i="26"/>
  <c r="C28" i="26"/>
  <c r="D28" i="26"/>
  <c r="E28" i="26"/>
  <c r="F28" i="26"/>
  <c r="G28" i="26"/>
  <c r="A29" i="26"/>
  <c r="C29" i="26"/>
  <c r="D29" i="26"/>
  <c r="E29" i="26"/>
  <c r="F29" i="26"/>
  <c r="G29" i="26"/>
  <c r="C30" i="26"/>
  <c r="D30" i="26"/>
  <c r="E30" i="26"/>
  <c r="F30" i="26"/>
  <c r="G30" i="26"/>
  <c r="A31" i="26"/>
  <c r="A32" i="26"/>
  <c r="C32" i="26"/>
  <c r="D32" i="26"/>
  <c r="E32" i="26"/>
  <c r="F32" i="26"/>
  <c r="G32" i="26"/>
  <c r="A33" i="26"/>
  <c r="C33" i="26"/>
  <c r="D33" i="26"/>
  <c r="E33" i="26"/>
  <c r="F33" i="26"/>
  <c r="G33" i="26"/>
  <c r="A34" i="26"/>
  <c r="C34" i="26"/>
  <c r="D34" i="26"/>
  <c r="E34" i="26"/>
  <c r="F34" i="26"/>
  <c r="G34" i="26"/>
  <c r="C35" i="26"/>
  <c r="D35" i="26"/>
  <c r="E35" i="26"/>
  <c r="F35" i="26"/>
  <c r="G35" i="26"/>
  <c r="A36" i="26"/>
  <c r="A37" i="26"/>
  <c r="C37" i="26"/>
  <c r="D37" i="26"/>
  <c r="E37" i="26"/>
  <c r="F37" i="26"/>
  <c r="G37" i="26"/>
  <c r="A38" i="26"/>
  <c r="C38" i="26"/>
  <c r="D38" i="26"/>
  <c r="E38" i="26"/>
  <c r="F38" i="26"/>
  <c r="G38" i="26"/>
  <c r="A39" i="26"/>
  <c r="C39" i="26"/>
  <c r="D39" i="26"/>
  <c r="E39" i="26"/>
  <c r="F39" i="26"/>
  <c r="G39" i="26"/>
  <c r="C40" i="26"/>
  <c r="D40" i="26"/>
  <c r="E40" i="26"/>
  <c r="F40" i="26"/>
  <c r="G40" i="26"/>
  <c r="A41" i="26"/>
  <c r="A42" i="26"/>
  <c r="C42" i="26"/>
  <c r="D42" i="26"/>
  <c r="E42" i="26"/>
  <c r="F42" i="26"/>
  <c r="G42" i="26"/>
  <c r="A43" i="26"/>
  <c r="C43" i="26"/>
  <c r="D43" i="26"/>
  <c r="E43" i="26"/>
  <c r="F43" i="26"/>
  <c r="G43" i="26"/>
  <c r="A44" i="26"/>
  <c r="C44" i="26"/>
  <c r="D44" i="26"/>
  <c r="E44" i="26"/>
  <c r="F44" i="26"/>
  <c r="G44" i="26"/>
  <c r="C45" i="26"/>
  <c r="D45" i="26"/>
  <c r="E45" i="26"/>
  <c r="F45" i="26"/>
  <c r="G45" i="26"/>
  <c r="A46" i="26"/>
  <c r="A47" i="26"/>
  <c r="C47" i="26"/>
  <c r="D47" i="26"/>
  <c r="E47" i="26"/>
  <c r="F47" i="26"/>
  <c r="G47" i="26"/>
  <c r="A48" i="26"/>
  <c r="C48" i="26"/>
  <c r="D48" i="26"/>
  <c r="E48" i="26"/>
  <c r="F48" i="26"/>
  <c r="G48" i="26"/>
  <c r="A49" i="26"/>
  <c r="C49" i="26"/>
  <c r="D49" i="26"/>
  <c r="E49" i="26"/>
  <c r="F49" i="26"/>
  <c r="G49" i="26"/>
  <c r="C50" i="26"/>
  <c r="D50" i="26"/>
  <c r="E50" i="26"/>
  <c r="F50" i="26"/>
  <c r="G50" i="26"/>
  <c r="A51" i="26"/>
  <c r="A52" i="26"/>
  <c r="C52" i="26"/>
  <c r="D52" i="26"/>
  <c r="E52" i="26"/>
  <c r="F52" i="26"/>
  <c r="G52" i="26"/>
  <c r="A53" i="26"/>
  <c r="C53" i="26"/>
  <c r="D53" i="26"/>
  <c r="E53" i="26"/>
  <c r="F53" i="26"/>
  <c r="G53" i="26"/>
  <c r="A54" i="26"/>
  <c r="C54" i="26"/>
  <c r="D54" i="26"/>
  <c r="E54" i="26"/>
  <c r="F54" i="26"/>
  <c r="G54" i="26"/>
  <c r="C55" i="26"/>
  <c r="D55" i="26"/>
  <c r="E55" i="26"/>
  <c r="F55" i="26"/>
  <c r="G55" i="26"/>
  <c r="A57" i="26"/>
  <c r="A58" i="26"/>
  <c r="C58" i="26"/>
  <c r="D58" i="26"/>
  <c r="E58" i="26"/>
  <c r="F58" i="26"/>
  <c r="G58" i="26"/>
  <c r="A59" i="26"/>
  <c r="C59" i="26"/>
  <c r="D59" i="26"/>
  <c r="E59" i="26"/>
  <c r="F59" i="26"/>
  <c r="G59" i="26"/>
  <c r="A60" i="26"/>
  <c r="C60" i="26"/>
  <c r="D60" i="26"/>
  <c r="E60" i="26"/>
  <c r="F60" i="26"/>
  <c r="G60" i="26"/>
  <c r="C61" i="26"/>
  <c r="D61" i="26"/>
  <c r="E61" i="26"/>
  <c r="F61" i="26"/>
  <c r="G61" i="26"/>
  <c r="A63" i="26"/>
  <c r="A64" i="26"/>
  <c r="C64" i="26"/>
  <c r="D64" i="26"/>
  <c r="E64" i="26"/>
  <c r="F64" i="26"/>
  <c r="G64" i="26"/>
  <c r="A65" i="26"/>
  <c r="C65" i="26"/>
  <c r="D65" i="26"/>
  <c r="E65" i="26"/>
  <c r="F65" i="26"/>
  <c r="G65" i="26"/>
  <c r="A66" i="26"/>
  <c r="C66" i="26"/>
  <c r="D66" i="26"/>
  <c r="E66" i="26"/>
  <c r="F66" i="26"/>
  <c r="G66" i="26"/>
  <c r="C67" i="26"/>
  <c r="D67" i="26"/>
  <c r="E67" i="26"/>
  <c r="F67" i="26"/>
  <c r="G67" i="26"/>
  <c r="A69" i="26"/>
  <c r="A70" i="26"/>
  <c r="C70" i="26"/>
  <c r="D70" i="26"/>
  <c r="E70" i="26"/>
  <c r="F70" i="26"/>
  <c r="G70" i="26"/>
  <c r="A71" i="26"/>
  <c r="C71" i="26"/>
  <c r="D71" i="26"/>
  <c r="E71" i="26"/>
  <c r="F71" i="26"/>
  <c r="G71" i="26"/>
  <c r="A72" i="26"/>
  <c r="C72" i="26"/>
  <c r="D72" i="26"/>
  <c r="E72" i="26"/>
  <c r="F72" i="26"/>
  <c r="G72" i="26"/>
  <c r="C73" i="26"/>
  <c r="D73" i="26"/>
  <c r="E73" i="26"/>
  <c r="F73" i="26"/>
  <c r="G73" i="26"/>
  <c r="A75" i="26"/>
  <c r="A76" i="26"/>
  <c r="C76" i="26"/>
  <c r="D76" i="26"/>
  <c r="E76" i="26"/>
  <c r="F76" i="26"/>
  <c r="G76" i="26"/>
  <c r="A77" i="26"/>
  <c r="C77" i="26"/>
  <c r="D77" i="26"/>
  <c r="E77" i="26"/>
  <c r="F77" i="26"/>
  <c r="G77" i="26"/>
  <c r="A78" i="26"/>
  <c r="C78" i="26"/>
  <c r="D78" i="26"/>
  <c r="E78" i="26"/>
  <c r="F78" i="26"/>
  <c r="G78" i="26"/>
  <c r="C79" i="26"/>
  <c r="D79" i="26"/>
  <c r="E79" i="26"/>
  <c r="F79" i="26"/>
  <c r="G79" i="26"/>
  <c r="A81" i="26"/>
  <c r="A82" i="26"/>
  <c r="C82" i="26"/>
  <c r="D82" i="26"/>
  <c r="E82" i="26"/>
  <c r="F82" i="26"/>
  <c r="G82" i="26"/>
  <c r="A83" i="26"/>
  <c r="C83" i="26"/>
  <c r="D83" i="26"/>
  <c r="E83" i="26"/>
  <c r="F83" i="26"/>
  <c r="G83" i="26"/>
  <c r="A84" i="26"/>
  <c r="C84" i="26"/>
  <c r="D84" i="26"/>
  <c r="E84" i="26"/>
  <c r="F84" i="26"/>
  <c r="G84" i="26"/>
  <c r="C85" i="26"/>
  <c r="D85" i="26"/>
  <c r="E85" i="26"/>
  <c r="F85" i="26"/>
  <c r="G85" i="26"/>
  <c r="A87" i="26"/>
  <c r="C87" i="26"/>
  <c r="D87" i="26"/>
  <c r="E87" i="26"/>
  <c r="F87" i="26"/>
  <c r="G87" i="26"/>
  <c r="A88" i="26"/>
  <c r="C88" i="26"/>
  <c r="D88" i="26"/>
  <c r="E88" i="26"/>
  <c r="F88" i="26"/>
  <c r="G88" i="26"/>
  <c r="A90" i="26"/>
  <c r="A91" i="26"/>
  <c r="C91" i="26"/>
  <c r="D91" i="26"/>
  <c r="E91" i="26"/>
  <c r="F91" i="26"/>
  <c r="G91" i="26"/>
  <c r="A92" i="26"/>
  <c r="C92" i="26"/>
  <c r="D92" i="26"/>
  <c r="E92" i="26"/>
  <c r="F92" i="26"/>
  <c r="G92" i="26"/>
  <c r="A93" i="26"/>
  <c r="C93" i="26"/>
  <c r="D93" i="26"/>
  <c r="E93" i="26"/>
  <c r="F93" i="26"/>
  <c r="G93" i="26"/>
  <c r="C94" i="26"/>
  <c r="D94" i="26"/>
  <c r="E94" i="26"/>
  <c r="F94" i="26"/>
  <c r="G94" i="26"/>
  <c r="A95" i="26"/>
  <c r="C95" i="26"/>
  <c r="D95" i="26"/>
  <c r="E95" i="26"/>
  <c r="F95" i="26"/>
  <c r="G95" i="26"/>
  <c r="A97" i="26"/>
  <c r="C97" i="26"/>
  <c r="D97" i="26"/>
  <c r="E97" i="26"/>
  <c r="F97" i="26"/>
  <c r="G97" i="26"/>
  <c r="H5" i="12"/>
  <c r="J5" i="12"/>
  <c r="K5" i="12"/>
  <c r="H6" i="12"/>
  <c r="J6" i="12"/>
  <c r="K6" i="12"/>
  <c r="H7" i="12"/>
  <c r="C8" i="12"/>
  <c r="D8" i="12"/>
  <c r="E8" i="12"/>
  <c r="F8" i="12"/>
  <c r="G8" i="12"/>
  <c r="H8" i="12"/>
  <c r="I8" i="12"/>
  <c r="J8" i="12"/>
  <c r="K8" i="12"/>
  <c r="H10" i="12"/>
  <c r="I10" i="12"/>
  <c r="H11" i="12"/>
  <c r="H12" i="12"/>
  <c r="I12" i="12"/>
  <c r="H13" i="12"/>
  <c r="I13" i="12"/>
  <c r="H14" i="12"/>
  <c r="C15" i="12"/>
  <c r="D15" i="12"/>
  <c r="E15" i="12"/>
  <c r="F15" i="12"/>
  <c r="G15" i="12"/>
  <c r="H15" i="12"/>
  <c r="I15" i="12"/>
  <c r="J15" i="12"/>
  <c r="K15" i="12"/>
  <c r="C16" i="12"/>
  <c r="D16" i="12"/>
  <c r="E16" i="12"/>
  <c r="F16" i="12"/>
  <c r="G16" i="12"/>
  <c r="H16" i="12"/>
  <c r="I16" i="12"/>
  <c r="J16" i="12"/>
  <c r="K16" i="12"/>
  <c r="H17" i="12"/>
  <c r="J17" i="12"/>
  <c r="K17" i="12"/>
  <c r="G18" i="12"/>
  <c r="H18" i="12"/>
  <c r="J18" i="12"/>
  <c r="K18" i="12"/>
  <c r="H19" i="12"/>
  <c r="J19" i="12"/>
  <c r="K19" i="12"/>
  <c r="C20" i="12"/>
  <c r="D20" i="12"/>
  <c r="E20" i="12"/>
  <c r="F20" i="12"/>
  <c r="G20" i="12"/>
  <c r="H20" i="12"/>
  <c r="I20" i="12"/>
  <c r="J20" i="12"/>
  <c r="K20" i="12"/>
  <c r="H21" i="12"/>
  <c r="J21" i="12"/>
  <c r="K21" i="12"/>
  <c r="H22" i="12"/>
  <c r="I22" i="12"/>
  <c r="J22" i="12"/>
  <c r="K22" i="12"/>
  <c r="C23" i="12"/>
  <c r="D23" i="12"/>
  <c r="E23" i="12"/>
  <c r="F23" i="12"/>
  <c r="G23" i="12"/>
  <c r="H23" i="12"/>
  <c r="J23" i="12"/>
  <c r="K23" i="12"/>
  <c r="C25" i="12"/>
  <c r="D25" i="12"/>
  <c r="E25" i="12"/>
  <c r="F25" i="12"/>
  <c r="G25" i="12"/>
  <c r="H25" i="12"/>
  <c r="I25" i="12"/>
  <c r="J25" i="12"/>
  <c r="K25" i="12"/>
  <c r="C28" i="12"/>
  <c r="D28" i="12"/>
  <c r="E28" i="12"/>
  <c r="F28" i="12"/>
  <c r="G28" i="12"/>
  <c r="H28" i="12"/>
  <c r="I28" i="12"/>
  <c r="J28" i="12"/>
  <c r="K28" i="12"/>
  <c r="I30" i="12"/>
  <c r="C31" i="12"/>
  <c r="D31" i="12"/>
  <c r="E31" i="12"/>
  <c r="F31" i="12"/>
  <c r="G31" i="12"/>
  <c r="H31" i="12"/>
  <c r="I31" i="12"/>
  <c r="J31" i="12"/>
  <c r="K31" i="12"/>
  <c r="C32" i="12"/>
  <c r="D32" i="12"/>
  <c r="E32" i="12"/>
  <c r="F32" i="12"/>
  <c r="G32" i="12"/>
  <c r="H32" i="12"/>
  <c r="I32" i="12"/>
  <c r="J32" i="12"/>
  <c r="K32" i="12"/>
  <c r="C33" i="12"/>
  <c r="D33" i="12"/>
  <c r="E33" i="12"/>
  <c r="F33" i="12"/>
  <c r="G33" i="12"/>
  <c r="H33" i="12"/>
  <c r="I33" i="12"/>
  <c r="J33" i="12"/>
  <c r="K33" i="12"/>
  <c r="I38" i="12"/>
  <c r="J38" i="12"/>
  <c r="K38" i="12"/>
  <c r="I39" i="12"/>
  <c r="J39" i="12"/>
  <c r="K39" i="12"/>
  <c r="I40" i="12"/>
  <c r="J40" i="12"/>
  <c r="K40" i="12"/>
  <c r="C41" i="12"/>
  <c r="D41" i="12"/>
  <c r="E41" i="12"/>
  <c r="F41" i="12"/>
  <c r="G41" i="12"/>
  <c r="I41" i="12"/>
  <c r="J41" i="12"/>
  <c r="K41" i="12"/>
  <c r="C44" i="12"/>
  <c r="D44" i="12"/>
  <c r="E44" i="12"/>
  <c r="F44" i="12"/>
  <c r="G44" i="12"/>
  <c r="H44" i="12"/>
  <c r="I44" i="12"/>
  <c r="J44" i="12"/>
  <c r="K44" i="12"/>
  <c r="C60" i="12"/>
  <c r="H60" i="12"/>
  <c r="C61" i="12"/>
  <c r="H61" i="12"/>
  <c r="H62" i="12"/>
  <c r="C63" i="12"/>
  <c r="H63" i="12"/>
  <c r="C64" i="12"/>
  <c r="D64" i="12"/>
  <c r="E64" i="12"/>
  <c r="H64" i="12"/>
  <c r="J64" i="12"/>
  <c r="C67" i="12"/>
  <c r="D67" i="12"/>
  <c r="E67" i="12"/>
  <c r="H67" i="12"/>
  <c r="J67" i="12"/>
  <c r="C68" i="12"/>
  <c r="H68" i="12"/>
  <c r="C69" i="12"/>
  <c r="D69" i="12"/>
  <c r="E69" i="12"/>
  <c r="H69" i="12"/>
  <c r="J69" i="12"/>
  <c r="K69" i="12"/>
  <c r="H70" i="12"/>
  <c r="J70" i="12"/>
  <c r="C71" i="12"/>
  <c r="D71" i="12"/>
  <c r="E71" i="12"/>
  <c r="H71" i="12"/>
  <c r="J71" i="12"/>
  <c r="E8" i="18"/>
  <c r="I8" i="18"/>
  <c r="K8" i="18"/>
  <c r="M8" i="18"/>
  <c r="O8" i="18"/>
  <c r="E12" i="18"/>
  <c r="I12" i="18"/>
  <c r="K12" i="18"/>
  <c r="M12" i="18"/>
  <c r="O12" i="18"/>
  <c r="E13" i="18"/>
  <c r="I13" i="18"/>
  <c r="K13" i="18"/>
  <c r="M13" i="18"/>
  <c r="O13" i="18"/>
  <c r="E14" i="18"/>
  <c r="I14" i="18"/>
  <c r="K14" i="18"/>
  <c r="M14" i="18"/>
  <c r="O14" i="18"/>
  <c r="E17" i="18"/>
  <c r="F17" i="18"/>
  <c r="H17" i="18"/>
  <c r="I17" i="18"/>
  <c r="K17" i="18"/>
  <c r="M17" i="18"/>
  <c r="O17" i="18"/>
  <c r="J23" i="18"/>
  <c r="I25" i="18"/>
  <c r="K25" i="18"/>
  <c r="J27" i="18"/>
  <c r="I29" i="18"/>
  <c r="K29" i="18"/>
  <c r="J31" i="18"/>
  <c r="I33" i="18"/>
  <c r="K33" i="18"/>
  <c r="E9" i="17"/>
  <c r="I9" i="17"/>
  <c r="K9" i="17"/>
  <c r="M9" i="17"/>
  <c r="O9" i="17"/>
  <c r="E10" i="17"/>
  <c r="I10" i="17"/>
  <c r="K10" i="17"/>
  <c r="M10" i="17"/>
  <c r="O10" i="17"/>
  <c r="E13" i="17"/>
  <c r="I13" i="17"/>
  <c r="K13" i="17"/>
  <c r="M13" i="17"/>
  <c r="O13" i="17"/>
  <c r="E14" i="17"/>
  <c r="I14" i="17"/>
  <c r="K14" i="17"/>
  <c r="M14" i="17"/>
  <c r="O14" i="17"/>
  <c r="E17" i="17"/>
  <c r="F17" i="17"/>
  <c r="H17" i="17"/>
  <c r="I17" i="17"/>
  <c r="K17" i="17"/>
  <c r="M17" i="17"/>
  <c r="O17" i="17"/>
  <c r="J23" i="17"/>
  <c r="I25" i="17"/>
  <c r="K25" i="17"/>
  <c r="J27" i="17"/>
  <c r="I29" i="17"/>
  <c r="K29" i="17"/>
  <c r="J31" i="17"/>
  <c r="I33" i="17"/>
  <c r="K33" i="17"/>
  <c r="I9" i="31"/>
  <c r="G11" i="31"/>
  <c r="I11" i="31"/>
  <c r="G16" i="31"/>
  <c r="H16" i="31"/>
  <c r="I16" i="31"/>
  <c r="H18" i="31"/>
  <c r="G20" i="31"/>
  <c r="H20" i="31"/>
  <c r="I20" i="31"/>
  <c r="H22" i="31"/>
  <c r="G26" i="31"/>
  <c r="I26" i="31"/>
  <c r="E51" i="31"/>
  <c r="F51" i="31"/>
  <c r="G51" i="31"/>
  <c r="H51" i="31"/>
  <c r="I51" i="31"/>
  <c r="J51" i="31"/>
  <c r="F52" i="31"/>
  <c r="G52" i="31"/>
  <c r="H52" i="31"/>
  <c r="I52" i="31"/>
  <c r="J52" i="31"/>
  <c r="E53" i="31"/>
  <c r="F53" i="31"/>
  <c r="G53" i="31"/>
  <c r="H53" i="31"/>
  <c r="I53" i="31"/>
  <c r="J53" i="31"/>
  <c r="F56" i="31"/>
  <c r="G56" i="31"/>
  <c r="H56" i="31"/>
  <c r="I56" i="31"/>
  <c r="J56" i="31"/>
  <c r="F57" i="31"/>
  <c r="G57" i="31"/>
  <c r="H57" i="31"/>
  <c r="I57" i="31"/>
  <c r="J57" i="31"/>
  <c r="E58" i="31"/>
  <c r="F58" i="31"/>
  <c r="G58" i="31"/>
  <c r="H58" i="31"/>
  <c r="I58" i="31"/>
  <c r="J58" i="31"/>
  <c r="E60" i="31"/>
  <c r="F60" i="31"/>
  <c r="G60" i="31"/>
  <c r="H60" i="31"/>
  <c r="I60" i="31"/>
  <c r="J60" i="31"/>
  <c r="E61" i="31"/>
  <c r="F61" i="31"/>
  <c r="G61" i="31"/>
  <c r="H61" i="31"/>
  <c r="I61" i="31"/>
  <c r="J61" i="31"/>
  <c r="E62" i="31"/>
  <c r="F62" i="31"/>
  <c r="G62" i="31"/>
  <c r="H62" i="31"/>
  <c r="I62" i="31"/>
  <c r="J62" i="31"/>
  <c r="E63" i="31"/>
  <c r="F63" i="31"/>
  <c r="G63" i="31"/>
  <c r="H63" i="31"/>
  <c r="I63" i="31"/>
  <c r="J63" i="31"/>
  <c r="J65" i="31"/>
  <c r="D69" i="31"/>
  <c r="E69" i="31"/>
  <c r="F69" i="31"/>
  <c r="D70" i="31"/>
  <c r="E70" i="31"/>
  <c r="F70" i="31"/>
  <c r="D71" i="31"/>
  <c r="E71" i="31"/>
  <c r="F71" i="31"/>
  <c r="D72" i="31"/>
  <c r="E72" i="31"/>
  <c r="F72" i="31"/>
  <c r="D73" i="31"/>
  <c r="E73" i="31"/>
  <c r="F73" i="31"/>
  <c r="C8" i="9"/>
  <c r="D8" i="9"/>
  <c r="D10" i="9"/>
  <c r="D11" i="9"/>
  <c r="D12" i="9"/>
  <c r="I12" i="9"/>
  <c r="D13" i="9"/>
  <c r="I13" i="9"/>
  <c r="D14" i="9"/>
  <c r="E14" i="9"/>
  <c r="F14" i="9"/>
  <c r="G14" i="9"/>
  <c r="H14" i="9"/>
  <c r="I14" i="9"/>
  <c r="E16" i="9"/>
  <c r="F16" i="9"/>
  <c r="G16" i="9"/>
  <c r="H16" i="9"/>
  <c r="I16" i="9"/>
  <c r="E17" i="9"/>
  <c r="F17" i="9"/>
  <c r="G17" i="9"/>
  <c r="H17" i="9"/>
  <c r="I17" i="9"/>
  <c r="E19" i="9"/>
  <c r="F19" i="9"/>
  <c r="G19" i="9"/>
  <c r="H19" i="9"/>
  <c r="I19" i="9"/>
  <c r="J19" i="9"/>
  <c r="D20" i="9"/>
  <c r="E20" i="9"/>
  <c r="F20" i="9"/>
  <c r="G20" i="9"/>
  <c r="H20" i="9"/>
  <c r="I20" i="9"/>
  <c r="J20" i="9"/>
  <c r="D23" i="9"/>
  <c r="E23" i="9"/>
  <c r="G23" i="9"/>
  <c r="H23" i="9"/>
  <c r="I23" i="9"/>
  <c r="D24" i="9"/>
  <c r="E24" i="9"/>
  <c r="F24" i="9"/>
  <c r="G24" i="9"/>
  <c r="H24" i="9"/>
  <c r="I24" i="9"/>
  <c r="D25" i="9"/>
  <c r="E25" i="9"/>
  <c r="F25" i="9"/>
  <c r="G25" i="9"/>
  <c r="H25" i="9"/>
  <c r="I25" i="9"/>
  <c r="D26" i="9"/>
  <c r="E26" i="9"/>
  <c r="F26" i="9"/>
  <c r="G26" i="9"/>
  <c r="H26" i="9"/>
  <c r="I26" i="9"/>
  <c r="D27" i="9"/>
  <c r="H27" i="9"/>
  <c r="I27" i="9"/>
  <c r="J27" i="9"/>
  <c r="D30" i="9"/>
  <c r="E30" i="9"/>
  <c r="F30" i="9"/>
  <c r="G30" i="9"/>
  <c r="H30" i="9"/>
  <c r="I30" i="9"/>
  <c r="D31" i="9"/>
  <c r="E31" i="9"/>
  <c r="F31" i="9"/>
  <c r="G31" i="9"/>
  <c r="H31" i="9"/>
  <c r="I31" i="9"/>
  <c r="D32" i="9"/>
  <c r="D33" i="9"/>
  <c r="I34" i="9"/>
  <c r="J34" i="9"/>
  <c r="C8" i="10"/>
  <c r="D8" i="10"/>
  <c r="D10" i="10"/>
  <c r="D11" i="10"/>
  <c r="D12" i="10"/>
  <c r="I12" i="10"/>
  <c r="D13" i="10"/>
  <c r="I13" i="10"/>
  <c r="D14" i="10"/>
  <c r="E14" i="10"/>
  <c r="F14" i="10"/>
  <c r="G14" i="10"/>
  <c r="H14" i="10"/>
  <c r="I14" i="10"/>
  <c r="E16" i="10"/>
  <c r="F16" i="10"/>
  <c r="G16" i="10"/>
  <c r="H16" i="10"/>
  <c r="I16" i="10"/>
  <c r="E17" i="10"/>
  <c r="F17" i="10"/>
  <c r="G17" i="10"/>
  <c r="H17" i="10"/>
  <c r="I17" i="10"/>
  <c r="E19" i="10"/>
  <c r="F19" i="10"/>
  <c r="G19" i="10"/>
  <c r="H19" i="10"/>
  <c r="I19" i="10"/>
  <c r="J19" i="10"/>
  <c r="D20" i="10"/>
  <c r="E20" i="10"/>
  <c r="F20" i="10"/>
  <c r="G20" i="10"/>
  <c r="H20" i="10"/>
  <c r="I20" i="10"/>
  <c r="J20" i="10"/>
  <c r="D23" i="10"/>
  <c r="E23" i="10"/>
  <c r="G23" i="10"/>
  <c r="H23" i="10"/>
  <c r="I23" i="10"/>
  <c r="D24" i="10"/>
  <c r="E24" i="10"/>
  <c r="F24" i="10"/>
  <c r="G24" i="10"/>
  <c r="H24" i="10"/>
  <c r="I24" i="10"/>
  <c r="D25" i="10"/>
  <c r="E25" i="10"/>
  <c r="F25" i="10"/>
  <c r="G25" i="10"/>
  <c r="H25" i="10"/>
  <c r="I25" i="10"/>
  <c r="D26" i="10"/>
  <c r="E26" i="10"/>
  <c r="F26" i="10"/>
  <c r="G26" i="10"/>
  <c r="H26" i="10"/>
  <c r="I26" i="10"/>
  <c r="D27" i="10"/>
  <c r="H27" i="10"/>
  <c r="I27" i="10"/>
  <c r="J27" i="10"/>
  <c r="D30" i="10"/>
  <c r="E30" i="10"/>
  <c r="F30" i="10"/>
  <c r="G30" i="10"/>
  <c r="H30" i="10"/>
  <c r="I30" i="10"/>
  <c r="D31" i="10"/>
  <c r="E31" i="10"/>
  <c r="F31" i="10"/>
  <c r="G31" i="10"/>
  <c r="H31" i="10"/>
  <c r="I31" i="10"/>
  <c r="D32" i="10"/>
  <c r="D33" i="10"/>
  <c r="I34" i="10"/>
  <c r="J34" i="10"/>
  <c r="F12" i="8"/>
  <c r="F14" i="8"/>
  <c r="F15" i="8"/>
  <c r="F16" i="8"/>
  <c r="F17" i="8"/>
  <c r="F18" i="8"/>
  <c r="B23" i="8"/>
  <c r="E23" i="8"/>
  <c r="G23" i="8"/>
  <c r="E24" i="8"/>
  <c r="G24" i="8"/>
  <c r="E25" i="8"/>
  <c r="G25" i="8"/>
  <c r="E26" i="8"/>
  <c r="G26" i="8"/>
  <c r="E27" i="8"/>
  <c r="G27" i="8"/>
  <c r="B30" i="8"/>
  <c r="E30" i="8"/>
  <c r="G30" i="8"/>
  <c r="E31" i="8"/>
  <c r="G31" i="8"/>
  <c r="E32" i="8"/>
  <c r="G32" i="8"/>
  <c r="E33" i="8"/>
  <c r="G33" i="8"/>
  <c r="E34" i="8"/>
  <c r="G34" i="8"/>
  <c r="B36" i="8"/>
  <c r="E36" i="8"/>
  <c r="G36" i="8"/>
  <c r="E37" i="8"/>
  <c r="G37" i="8"/>
  <c r="E38" i="8"/>
  <c r="G38" i="8"/>
  <c r="E39" i="8"/>
  <c r="G39" i="8"/>
  <c r="B41" i="8"/>
  <c r="E41" i="8"/>
  <c r="G41" i="8"/>
  <c r="E42" i="8"/>
  <c r="G42" i="8"/>
  <c r="E43" i="8"/>
  <c r="G43" i="8"/>
  <c r="E44" i="8"/>
  <c r="G44" i="8"/>
  <c r="E45" i="8"/>
  <c r="G45" i="8"/>
  <c r="B47" i="8"/>
  <c r="E47" i="8"/>
  <c r="G47" i="8"/>
  <c r="E48" i="8"/>
  <c r="G48" i="8"/>
  <c r="E49" i="8"/>
  <c r="G49" i="8"/>
  <c r="E50" i="8"/>
  <c r="G50" i="8"/>
  <c r="E51" i="8"/>
  <c r="G51" i="8"/>
  <c r="E54" i="8"/>
  <c r="G54" i="8"/>
  <c r="E55" i="8"/>
  <c r="G55" i="8"/>
  <c r="E56" i="8"/>
  <c r="G56" i="8"/>
  <c r="E58" i="8"/>
  <c r="G58" i="8"/>
  <c r="J5" i="1"/>
  <c r="J6" i="1"/>
  <c r="J7" i="1"/>
  <c r="J8" i="1"/>
  <c r="J9" i="1"/>
  <c r="J10" i="1"/>
  <c r="J11" i="1"/>
  <c r="J12" i="1"/>
  <c r="J13" i="1"/>
  <c r="J14" i="1"/>
  <c r="C20" i="1"/>
  <c r="D20" i="1"/>
  <c r="E20" i="1"/>
  <c r="C21" i="1"/>
  <c r="D21" i="1"/>
  <c r="E21" i="1"/>
  <c r="K21" i="1"/>
  <c r="C22" i="1"/>
  <c r="D22" i="1"/>
  <c r="E22" i="1"/>
  <c r="C23" i="1"/>
  <c r="D23" i="1"/>
  <c r="E23" i="1"/>
  <c r="K23" i="1"/>
  <c r="C24" i="1"/>
  <c r="D24" i="1"/>
  <c r="E24" i="1"/>
  <c r="K24" i="1"/>
  <c r="C25" i="1"/>
  <c r="D25" i="1"/>
  <c r="E25" i="1"/>
  <c r="K25" i="1"/>
  <c r="C26" i="1"/>
  <c r="D26" i="1"/>
  <c r="E26" i="1"/>
  <c r="K26" i="1"/>
  <c r="C27" i="1"/>
  <c r="D27" i="1"/>
  <c r="E27" i="1"/>
  <c r="K27" i="1"/>
  <c r="C28" i="1"/>
  <c r="D28" i="1"/>
  <c r="E28" i="1"/>
  <c r="B10" i="5"/>
  <c r="G11" i="5"/>
  <c r="G13" i="5"/>
  <c r="G14" i="5"/>
  <c r="G15" i="5"/>
  <c r="G17" i="5"/>
  <c r="G18" i="5"/>
  <c r="G19" i="5"/>
  <c r="B23" i="5"/>
  <c r="E23" i="5"/>
  <c r="H23" i="5"/>
  <c r="E24" i="5"/>
  <c r="H24" i="5"/>
  <c r="E25" i="5"/>
  <c r="H25" i="5"/>
  <c r="E26" i="5"/>
  <c r="H26" i="5"/>
  <c r="E27" i="5"/>
  <c r="H27" i="5"/>
  <c r="B29" i="5"/>
  <c r="E29" i="5"/>
  <c r="H29" i="5"/>
  <c r="E30" i="5"/>
  <c r="H30" i="5"/>
  <c r="E31" i="5"/>
  <c r="H31" i="5"/>
  <c r="E32" i="5"/>
  <c r="H32" i="5"/>
  <c r="E33" i="5"/>
  <c r="H33" i="5"/>
  <c r="B35" i="5"/>
  <c r="E35" i="5"/>
  <c r="H35" i="5"/>
  <c r="E36" i="5"/>
  <c r="H36" i="5"/>
  <c r="E37" i="5"/>
  <c r="H37" i="5"/>
  <c r="E38" i="5"/>
  <c r="H38" i="5"/>
  <c r="E39" i="5"/>
  <c r="H39" i="5"/>
  <c r="B41" i="5"/>
  <c r="E41" i="5"/>
  <c r="H41" i="5"/>
  <c r="E42" i="5"/>
  <c r="H42" i="5"/>
  <c r="E43" i="5"/>
  <c r="H43" i="5"/>
  <c r="E44" i="5"/>
  <c r="H44" i="5"/>
  <c r="E45" i="5"/>
  <c r="H45" i="5"/>
  <c r="B47" i="5"/>
  <c r="E47" i="5"/>
  <c r="H47" i="5"/>
  <c r="E48" i="5"/>
  <c r="H48" i="5"/>
  <c r="E49" i="5"/>
  <c r="H49" i="5"/>
  <c r="E50" i="5"/>
  <c r="H50" i="5"/>
  <c r="E51" i="5"/>
  <c r="H51" i="5"/>
  <c r="F53" i="5"/>
  <c r="I53" i="5"/>
  <c r="E56" i="5"/>
  <c r="H56" i="5"/>
  <c r="E57" i="5"/>
  <c r="H57" i="5"/>
  <c r="E58" i="5"/>
  <c r="H58" i="5"/>
  <c r="C8" i="6"/>
  <c r="D8" i="6"/>
  <c r="D10" i="6"/>
  <c r="D11" i="6"/>
  <c r="D12" i="6"/>
  <c r="I12" i="6"/>
  <c r="J12" i="6"/>
  <c r="K12" i="6"/>
  <c r="D13" i="6"/>
  <c r="I13" i="6"/>
  <c r="J13" i="6"/>
  <c r="D14" i="6"/>
  <c r="E14" i="6"/>
  <c r="F14" i="6"/>
  <c r="G14" i="6"/>
  <c r="H14" i="6"/>
  <c r="I14" i="6"/>
  <c r="J14" i="6"/>
  <c r="K14" i="6"/>
  <c r="E16" i="6"/>
  <c r="F16" i="6"/>
  <c r="G16" i="6"/>
  <c r="H16" i="6"/>
  <c r="I16" i="6"/>
  <c r="E17" i="6"/>
  <c r="F17" i="6"/>
  <c r="G17" i="6"/>
  <c r="H17" i="6"/>
  <c r="I17" i="6"/>
  <c r="E19" i="6"/>
  <c r="F19" i="6"/>
  <c r="G19" i="6"/>
  <c r="H19" i="6"/>
  <c r="I19" i="6"/>
  <c r="K19" i="6"/>
  <c r="D20" i="6"/>
  <c r="E20" i="6"/>
  <c r="F20" i="6"/>
  <c r="G20" i="6"/>
  <c r="H20" i="6"/>
  <c r="I20" i="6"/>
  <c r="K20" i="6"/>
  <c r="D23" i="6"/>
  <c r="E23" i="6"/>
  <c r="F23" i="6"/>
  <c r="H23" i="6"/>
  <c r="I23" i="6"/>
  <c r="J23" i="6"/>
  <c r="D24" i="6"/>
  <c r="E24" i="6"/>
  <c r="F24" i="6"/>
  <c r="G24" i="6"/>
  <c r="H24" i="6"/>
  <c r="I24" i="6"/>
  <c r="J24" i="6"/>
  <c r="D25" i="6"/>
  <c r="E25" i="6"/>
  <c r="F25" i="6"/>
  <c r="G25" i="6"/>
  <c r="H25" i="6"/>
  <c r="I25" i="6"/>
  <c r="J25" i="6"/>
  <c r="D26" i="6"/>
  <c r="E26" i="6"/>
  <c r="F26" i="6"/>
  <c r="G26" i="6"/>
  <c r="H26" i="6"/>
  <c r="I26" i="6"/>
  <c r="J26" i="6"/>
  <c r="D27" i="6"/>
  <c r="H27" i="6"/>
  <c r="I27" i="6"/>
  <c r="J27" i="6"/>
  <c r="D30" i="6"/>
  <c r="E30" i="6"/>
  <c r="F30" i="6"/>
  <c r="G30" i="6"/>
  <c r="H30" i="6"/>
  <c r="I30" i="6"/>
  <c r="J30" i="6"/>
  <c r="D31" i="6"/>
  <c r="E31" i="6"/>
  <c r="F31" i="6"/>
  <c r="G31" i="6"/>
  <c r="H31" i="6"/>
  <c r="I31" i="6"/>
  <c r="J31" i="6"/>
  <c r="D32" i="6"/>
  <c r="J32" i="6"/>
  <c r="D33" i="6"/>
  <c r="J33" i="6"/>
  <c r="H34" i="6"/>
  <c r="I34" i="6"/>
  <c r="L52" i="6"/>
  <c r="M52" i="6"/>
  <c r="N52" i="6"/>
  <c r="O52" i="6"/>
  <c r="P52" i="6"/>
  <c r="Q52" i="6"/>
  <c r="R52" i="6"/>
  <c r="S52" i="6"/>
  <c r="M53" i="6"/>
  <c r="N53" i="6"/>
  <c r="O53" i="6"/>
  <c r="P53" i="6"/>
  <c r="Q53" i="6"/>
  <c r="R53" i="6"/>
  <c r="S53" i="6"/>
  <c r="N56" i="6"/>
  <c r="O56" i="6"/>
  <c r="P56" i="6"/>
  <c r="Q56" i="6"/>
  <c r="R56" i="6"/>
  <c r="S56" i="6"/>
  <c r="N57" i="6"/>
  <c r="O57" i="6"/>
  <c r="P57" i="6"/>
  <c r="Q57" i="6"/>
  <c r="R57" i="6"/>
  <c r="S57" i="6"/>
  <c r="N58" i="6"/>
  <c r="O58" i="6"/>
  <c r="P58" i="6"/>
  <c r="Q58" i="6"/>
  <c r="R58" i="6"/>
  <c r="S58" i="6"/>
  <c r="N59" i="6"/>
  <c r="O59" i="6"/>
  <c r="P59" i="6"/>
  <c r="Q59" i="6"/>
  <c r="R59" i="6"/>
  <c r="S59" i="6"/>
  <c r="M62" i="6"/>
  <c r="M64" i="6"/>
  <c r="C8" i="7"/>
  <c r="D8" i="7"/>
  <c r="D9" i="7"/>
  <c r="D10" i="7"/>
  <c r="D11" i="7"/>
  <c r="D12" i="7"/>
  <c r="I12" i="7"/>
  <c r="J12" i="7"/>
  <c r="K12" i="7"/>
  <c r="D13" i="7"/>
  <c r="I13" i="7"/>
  <c r="J13" i="7"/>
  <c r="D14" i="7"/>
  <c r="E14" i="7"/>
  <c r="F14" i="7"/>
  <c r="G14" i="7"/>
  <c r="H14" i="7"/>
  <c r="I14" i="7"/>
  <c r="J14" i="7"/>
  <c r="K14" i="7"/>
  <c r="E16" i="7"/>
  <c r="F16" i="7"/>
  <c r="G16" i="7"/>
  <c r="H16" i="7"/>
  <c r="I16" i="7"/>
  <c r="E17" i="7"/>
  <c r="F17" i="7"/>
  <c r="G17" i="7"/>
  <c r="H17" i="7"/>
  <c r="I17" i="7"/>
  <c r="E19" i="7"/>
  <c r="F19" i="7"/>
  <c r="G19" i="7"/>
  <c r="H19" i="7"/>
  <c r="I19" i="7"/>
  <c r="K19" i="7"/>
  <c r="D20" i="7"/>
  <c r="E20" i="7"/>
  <c r="F20" i="7"/>
  <c r="G20" i="7"/>
  <c r="H20" i="7"/>
  <c r="I20" i="7"/>
  <c r="K20" i="7"/>
  <c r="D23" i="7"/>
  <c r="E23" i="7"/>
  <c r="F23" i="7"/>
  <c r="H23" i="7"/>
  <c r="I23" i="7"/>
  <c r="J23" i="7"/>
  <c r="D24" i="7"/>
  <c r="E24" i="7"/>
  <c r="F24" i="7"/>
  <c r="G24" i="7"/>
  <c r="H24" i="7"/>
  <c r="I24" i="7"/>
  <c r="J24" i="7"/>
  <c r="D25" i="7"/>
  <c r="E25" i="7"/>
  <c r="F25" i="7"/>
  <c r="G25" i="7"/>
  <c r="H25" i="7"/>
  <c r="I25" i="7"/>
  <c r="J25" i="7"/>
  <c r="D26" i="7"/>
  <c r="E26" i="7"/>
  <c r="F26" i="7"/>
  <c r="G26" i="7"/>
  <c r="H26" i="7"/>
  <c r="I26" i="7"/>
  <c r="J26" i="7"/>
  <c r="D27" i="7"/>
  <c r="H27" i="7"/>
  <c r="I27" i="7"/>
  <c r="J27" i="7"/>
  <c r="D30" i="7"/>
  <c r="E30" i="7"/>
  <c r="F30" i="7"/>
  <c r="G30" i="7"/>
  <c r="H30" i="7"/>
  <c r="I30" i="7"/>
  <c r="J30" i="7"/>
  <c r="D31" i="7"/>
  <c r="E31" i="7"/>
  <c r="F31" i="7"/>
  <c r="G31" i="7"/>
  <c r="H31" i="7"/>
  <c r="I31" i="7"/>
  <c r="J31" i="7"/>
  <c r="D32" i="7"/>
  <c r="J32" i="7"/>
  <c r="D33" i="7"/>
  <c r="J33" i="7"/>
  <c r="H34" i="7"/>
  <c r="I34" i="7"/>
  <c r="L52" i="7"/>
  <c r="M52" i="7"/>
  <c r="N52" i="7"/>
  <c r="O52" i="7"/>
  <c r="P52" i="7"/>
  <c r="Q52" i="7"/>
  <c r="R52" i="7"/>
  <c r="S52" i="7"/>
  <c r="M53" i="7"/>
  <c r="N53" i="7"/>
  <c r="O53" i="7"/>
  <c r="P53" i="7"/>
  <c r="Q53" i="7"/>
  <c r="R53" i="7"/>
  <c r="S53" i="7"/>
  <c r="N56" i="7"/>
  <c r="O56" i="7"/>
  <c r="P56" i="7"/>
  <c r="Q56" i="7"/>
  <c r="R56" i="7"/>
  <c r="S56" i="7"/>
  <c r="N57" i="7"/>
  <c r="O57" i="7"/>
  <c r="P57" i="7"/>
  <c r="Q57" i="7"/>
  <c r="R57" i="7"/>
  <c r="S57" i="7"/>
  <c r="N58" i="7"/>
  <c r="O58" i="7"/>
  <c r="P58" i="7"/>
  <c r="Q58" i="7"/>
  <c r="R58" i="7"/>
  <c r="S58" i="7"/>
  <c r="N59" i="7"/>
  <c r="O59" i="7"/>
  <c r="P59" i="7"/>
  <c r="Q59" i="7"/>
  <c r="R59" i="7"/>
  <c r="S59" i="7"/>
  <c r="N60" i="7"/>
  <c r="O60" i="7"/>
  <c r="P60" i="7"/>
  <c r="Q60" i="7"/>
  <c r="R60" i="7"/>
  <c r="S60" i="7"/>
  <c r="M62" i="7"/>
  <c r="M64" i="7"/>
  <c r="E51" i="29"/>
  <c r="E53" i="29"/>
  <c r="E55" i="29"/>
  <c r="E57" i="29"/>
  <c r="E59" i="29"/>
  <c r="E61" i="29"/>
  <c r="E63" i="29"/>
  <c r="E65" i="29"/>
  <c r="E67" i="29"/>
  <c r="E69" i="29"/>
  <c r="E3" i="23"/>
  <c r="E4" i="23"/>
  <c r="D5" i="23"/>
  <c r="D8" i="23"/>
  <c r="D9" i="23"/>
  <c r="E23" i="23"/>
  <c r="E24" i="23"/>
  <c r="E26" i="23"/>
  <c r="E27" i="23"/>
  <c r="E31" i="23"/>
  <c r="E32" i="23"/>
  <c r="E34" i="23"/>
  <c r="E35" i="23"/>
  <c r="C36" i="23"/>
  <c r="D36" i="23"/>
  <c r="C39" i="23"/>
  <c r="D39" i="23"/>
  <c r="E39" i="23"/>
  <c r="C40" i="23"/>
  <c r="D40" i="23"/>
  <c r="E40" i="23"/>
  <c r="C42" i="23"/>
  <c r="D42" i="23"/>
  <c r="E42" i="23"/>
  <c r="C46" i="23"/>
  <c r="C47" i="23"/>
  <c r="C48" i="23"/>
  <c r="C49" i="23"/>
  <c r="C50" i="23"/>
  <c r="C51" i="23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K21" i="4"/>
  <c r="L21" i="4"/>
  <c r="M21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K38" i="4"/>
  <c r="L38" i="4"/>
  <c r="M38" i="4"/>
  <c r="M40" i="4"/>
  <c r="K42" i="4"/>
  <c r="L42" i="4"/>
  <c r="M42" i="4"/>
  <c r="M49" i="4"/>
  <c r="M50" i="4"/>
  <c r="L51" i="4"/>
  <c r="M52" i="4"/>
  <c r="M62" i="4"/>
  <c r="Y62" i="4"/>
  <c r="AA62" i="4"/>
  <c r="M63" i="4"/>
  <c r="Y63" i="4"/>
  <c r="AA63" i="4"/>
  <c r="M64" i="4"/>
  <c r="Y64" i="4"/>
  <c r="AA64" i="4"/>
  <c r="M65" i="4"/>
  <c r="Y65" i="4"/>
  <c r="AA65" i="4"/>
  <c r="M66" i="4"/>
  <c r="Y66" i="4"/>
  <c r="AA66" i="4"/>
  <c r="M67" i="4"/>
  <c r="Y67" i="4"/>
  <c r="AA67" i="4"/>
  <c r="M68" i="4"/>
  <c r="Y68" i="4"/>
  <c r="AA68" i="4"/>
  <c r="M69" i="4"/>
  <c r="Y69" i="4"/>
  <c r="AA69" i="4"/>
  <c r="M70" i="4"/>
  <c r="Y70" i="4"/>
  <c r="AA70" i="4"/>
  <c r="M71" i="4"/>
  <c r="Y71" i="4"/>
  <c r="AA71" i="4"/>
  <c r="M72" i="4"/>
  <c r="Y72" i="4"/>
  <c r="AA72" i="4"/>
  <c r="M73" i="4"/>
  <c r="Y73" i="4"/>
  <c r="AA73" i="4"/>
  <c r="M74" i="4"/>
  <c r="Y74" i="4"/>
  <c r="AA74" i="4"/>
  <c r="M75" i="4"/>
  <c r="Y75" i="4"/>
  <c r="AA75" i="4"/>
  <c r="M76" i="4"/>
  <c r="Y76" i="4"/>
  <c r="AA76" i="4"/>
  <c r="M77" i="4"/>
  <c r="Y77" i="4"/>
  <c r="AA77" i="4"/>
  <c r="M79" i="4"/>
  <c r="Y79" i="4"/>
  <c r="AA79" i="4"/>
  <c r="J9" i="15"/>
  <c r="J20" i="15"/>
  <c r="D7" i="20"/>
  <c r="I7" i="20"/>
  <c r="K7" i="20"/>
  <c r="Q7" i="20"/>
  <c r="S7" i="20"/>
  <c r="D8" i="20"/>
  <c r="M8" i="20"/>
  <c r="O8" i="20"/>
  <c r="D11" i="20"/>
  <c r="I11" i="20"/>
  <c r="K11" i="20"/>
  <c r="M11" i="20"/>
  <c r="O11" i="20"/>
  <c r="Q11" i="20"/>
  <c r="S11" i="20"/>
  <c r="D12" i="20"/>
  <c r="M12" i="20"/>
  <c r="O12" i="20"/>
  <c r="D15" i="20"/>
  <c r="I15" i="20"/>
  <c r="K15" i="20"/>
  <c r="M15" i="20"/>
  <c r="O15" i="20"/>
  <c r="Q15" i="20"/>
  <c r="S15" i="20"/>
  <c r="D16" i="20"/>
  <c r="M16" i="20"/>
  <c r="O16" i="20"/>
  <c r="Q23" i="20"/>
  <c r="S23" i="20"/>
  <c r="Q26" i="20"/>
  <c r="S26" i="20"/>
  <c r="Q28" i="20"/>
  <c r="S28" i="20"/>
  <c r="R30" i="20"/>
  <c r="Q31" i="20"/>
  <c r="S31" i="20"/>
  <c r="E115" i="20"/>
  <c r="F115" i="20"/>
  <c r="I115" i="20"/>
  <c r="J115" i="20"/>
  <c r="K115" i="20"/>
  <c r="L115" i="20"/>
  <c r="M115" i="20"/>
  <c r="N115" i="20"/>
  <c r="P115" i="20"/>
  <c r="Q115" i="20"/>
  <c r="R115" i="20"/>
  <c r="S115" i="20"/>
  <c r="T115" i="20"/>
  <c r="U115" i="20"/>
  <c r="V115" i="20"/>
  <c r="W115" i="20"/>
  <c r="Y115" i="20"/>
  <c r="AA115" i="20"/>
  <c r="B116" i="20"/>
  <c r="E116" i="20"/>
  <c r="F116" i="20"/>
  <c r="I116" i="20"/>
  <c r="J116" i="20"/>
  <c r="K116" i="20"/>
  <c r="L116" i="20"/>
  <c r="M116" i="20"/>
  <c r="N116" i="20"/>
  <c r="P116" i="20"/>
  <c r="Q116" i="20"/>
  <c r="R116" i="20"/>
  <c r="S116" i="20"/>
  <c r="T116" i="20"/>
  <c r="U116" i="20"/>
  <c r="V116" i="20"/>
  <c r="W116" i="20"/>
  <c r="Y116" i="20"/>
  <c r="AA116" i="20"/>
  <c r="B117" i="20"/>
  <c r="E117" i="20"/>
  <c r="I117" i="20"/>
  <c r="J117" i="20"/>
  <c r="K117" i="20"/>
  <c r="L117" i="20"/>
  <c r="M117" i="20"/>
  <c r="N117" i="20"/>
  <c r="O117" i="20"/>
  <c r="P117" i="20"/>
  <c r="Q117" i="20"/>
  <c r="R117" i="20"/>
  <c r="S117" i="20"/>
  <c r="T117" i="20"/>
  <c r="U117" i="20"/>
  <c r="B118" i="20"/>
  <c r="E118" i="20"/>
  <c r="I118" i="20"/>
  <c r="J118" i="20"/>
  <c r="K118" i="20"/>
  <c r="L118" i="20"/>
  <c r="M118" i="20"/>
  <c r="N118" i="20"/>
  <c r="O118" i="20"/>
  <c r="P118" i="20"/>
  <c r="Q118" i="20"/>
  <c r="R118" i="20"/>
  <c r="S118" i="20"/>
  <c r="T118" i="20"/>
  <c r="U118" i="20"/>
  <c r="V118" i="20"/>
  <c r="W118" i="20"/>
  <c r="Y118" i="20"/>
  <c r="AA118" i="20"/>
  <c r="B119" i="20"/>
  <c r="D119" i="20"/>
  <c r="E119" i="20"/>
  <c r="F119" i="20"/>
  <c r="I119" i="20"/>
  <c r="J119" i="20"/>
  <c r="K119" i="20"/>
  <c r="L119" i="20"/>
  <c r="M119" i="20"/>
  <c r="N119" i="20"/>
  <c r="O119" i="20"/>
  <c r="P119" i="20"/>
  <c r="Q119" i="20"/>
  <c r="R119" i="20"/>
  <c r="S119" i="20"/>
  <c r="T119" i="20"/>
  <c r="U119" i="20"/>
  <c r="V119" i="20"/>
  <c r="W119" i="20"/>
  <c r="Y119" i="20"/>
  <c r="AA119" i="20"/>
  <c r="B120" i="20"/>
  <c r="E120" i="20"/>
  <c r="F120" i="20"/>
  <c r="I120" i="20"/>
  <c r="J120" i="20"/>
  <c r="K120" i="20"/>
  <c r="L120" i="20"/>
  <c r="M120" i="20"/>
  <c r="N120" i="20"/>
  <c r="O120" i="20"/>
  <c r="P120" i="20"/>
  <c r="Q120" i="20"/>
  <c r="R120" i="20"/>
  <c r="S120" i="20"/>
  <c r="T120" i="20"/>
  <c r="U120" i="20"/>
  <c r="V120" i="20"/>
  <c r="W120" i="20"/>
  <c r="Y120" i="20"/>
  <c r="AA120" i="20"/>
  <c r="H6" i="28"/>
  <c r="I6" i="28"/>
  <c r="S6" i="28"/>
  <c r="T6" i="28"/>
  <c r="M9" i="28"/>
  <c r="O9" i="28"/>
  <c r="P9" i="28"/>
  <c r="X9" i="28"/>
  <c r="Z9" i="28"/>
  <c r="AA9" i="28"/>
  <c r="AR9" i="28"/>
  <c r="AS9" i="28"/>
  <c r="AT9" i="28"/>
  <c r="AU9" i="28"/>
  <c r="AV9" i="28"/>
  <c r="M10" i="28"/>
  <c r="O10" i="28"/>
  <c r="P10" i="28"/>
  <c r="X10" i="28"/>
  <c r="Z10" i="28"/>
  <c r="AA10" i="28"/>
  <c r="AR10" i="28"/>
  <c r="AS10" i="28"/>
  <c r="AT10" i="28"/>
  <c r="AU10" i="28"/>
  <c r="AV10" i="28"/>
  <c r="M11" i="28"/>
  <c r="O11" i="28"/>
  <c r="P11" i="28"/>
  <c r="X11" i="28"/>
  <c r="Z11" i="28"/>
  <c r="AA11" i="28"/>
  <c r="AR11" i="28"/>
  <c r="AS11" i="28"/>
  <c r="AT11" i="28"/>
  <c r="AU11" i="28"/>
  <c r="AV11" i="28"/>
  <c r="M12" i="28"/>
  <c r="O12" i="28"/>
  <c r="P12" i="28"/>
  <c r="X12" i="28"/>
  <c r="Z12" i="28"/>
  <c r="AA12" i="28"/>
  <c r="AR12" i="28"/>
  <c r="AS12" i="28"/>
  <c r="AT12" i="28"/>
  <c r="AU12" i="28"/>
  <c r="AV12" i="28"/>
  <c r="M13" i="28"/>
  <c r="O13" i="28"/>
  <c r="P13" i="28"/>
  <c r="X13" i="28"/>
  <c r="Z13" i="28"/>
  <c r="AA13" i="28"/>
  <c r="AR13" i="28"/>
  <c r="AS13" i="28"/>
  <c r="AT13" i="28"/>
  <c r="AU13" i="28"/>
  <c r="AV13" i="28"/>
  <c r="M14" i="28"/>
  <c r="O14" i="28"/>
  <c r="P14" i="28"/>
  <c r="X14" i="28"/>
  <c r="AR14" i="28"/>
  <c r="AS14" i="28"/>
  <c r="AT14" i="28"/>
  <c r="AU14" i="28"/>
  <c r="AV14" i="28"/>
  <c r="M15" i="28"/>
  <c r="O15" i="28"/>
  <c r="P15" i="28"/>
  <c r="X15" i="28"/>
  <c r="Z15" i="28"/>
  <c r="AA15" i="28"/>
  <c r="AR15" i="28"/>
  <c r="AS15" i="28"/>
  <c r="AT15" i="28"/>
  <c r="AU15" i="28"/>
  <c r="AV15" i="28"/>
  <c r="G16" i="28"/>
  <c r="H16" i="28"/>
  <c r="I16" i="28"/>
  <c r="J16" i="28"/>
  <c r="M16" i="28"/>
  <c r="O16" i="28"/>
  <c r="P16" i="28"/>
  <c r="R16" i="28"/>
  <c r="S16" i="28"/>
  <c r="T16" i="28"/>
  <c r="U16" i="28"/>
  <c r="X16" i="28"/>
  <c r="Z16" i="28"/>
  <c r="AA16" i="28"/>
  <c r="AR16" i="28"/>
  <c r="AS16" i="28"/>
  <c r="AT16" i="28"/>
  <c r="AU16" i="28"/>
  <c r="AV16" i="28"/>
  <c r="M18" i="28"/>
  <c r="O18" i="28"/>
  <c r="P18" i="28"/>
  <c r="X18" i="28"/>
  <c r="Z18" i="28"/>
  <c r="AA18" i="28"/>
  <c r="AR18" i="28"/>
  <c r="AS18" i="28"/>
  <c r="AT18" i="28"/>
  <c r="AU18" i="28"/>
  <c r="AV18" i="28"/>
  <c r="M19" i="28"/>
  <c r="X19" i="28"/>
  <c r="AR19" i="28"/>
  <c r="AS19" i="28"/>
  <c r="AT19" i="28"/>
  <c r="AU19" i="28"/>
  <c r="AV19" i="28"/>
  <c r="M20" i="28"/>
  <c r="O20" i="28"/>
  <c r="P20" i="28"/>
  <c r="X20" i="28"/>
  <c r="Z20" i="28"/>
  <c r="AA20" i="28"/>
  <c r="AR20" i="28"/>
  <c r="AS20" i="28"/>
  <c r="AT20" i="28"/>
  <c r="AU20" i="28"/>
  <c r="AV20" i="28"/>
  <c r="G21" i="28"/>
  <c r="H21" i="28"/>
  <c r="I21" i="28"/>
  <c r="J21" i="28"/>
  <c r="M21" i="28"/>
  <c r="O21" i="28"/>
  <c r="P21" i="28"/>
  <c r="R21" i="28"/>
  <c r="S21" i="28"/>
  <c r="T21" i="28"/>
  <c r="U21" i="28"/>
  <c r="X21" i="28"/>
  <c r="Z21" i="28"/>
  <c r="AA21" i="28"/>
  <c r="AR21" i="28"/>
  <c r="AS21" i="28"/>
  <c r="AT21" i="28"/>
  <c r="AU21" i="28"/>
  <c r="AV21" i="28"/>
  <c r="G23" i="28"/>
  <c r="H23" i="28"/>
  <c r="I23" i="28"/>
  <c r="J23" i="28"/>
  <c r="R23" i="28"/>
  <c r="S23" i="28"/>
  <c r="T23" i="28"/>
  <c r="U23" i="28"/>
  <c r="AR23" i="28"/>
  <c r="AS23" i="28"/>
  <c r="AT23" i="28"/>
  <c r="AU23" i="28"/>
  <c r="AV23" i="28"/>
  <c r="O24" i="28"/>
  <c r="P24" i="28"/>
  <c r="R24" i="28"/>
  <c r="S24" i="28"/>
  <c r="T24" i="28"/>
  <c r="U24" i="28"/>
  <c r="AR24" i="28"/>
  <c r="AS24" i="28"/>
  <c r="AT24" i="28"/>
  <c r="AU24" i="28"/>
  <c r="AV24" i="28"/>
  <c r="G25" i="28"/>
  <c r="H25" i="28"/>
  <c r="I25" i="28"/>
  <c r="J25" i="28"/>
  <c r="M25" i="28"/>
  <c r="O25" i="28"/>
  <c r="P25" i="28"/>
  <c r="X25" i="28"/>
  <c r="Z25" i="28"/>
  <c r="AA25" i="28"/>
  <c r="AR25" i="28"/>
  <c r="AS25" i="28"/>
  <c r="AT25" i="28"/>
  <c r="AU25" i="28"/>
  <c r="AV25" i="28"/>
  <c r="M28" i="28"/>
  <c r="N28" i="28"/>
  <c r="O28" i="28"/>
  <c r="P28" i="28"/>
  <c r="X28" i="28"/>
  <c r="Y28" i="28"/>
  <c r="Z28" i="28"/>
  <c r="AA28" i="28"/>
  <c r="AR28" i="28"/>
  <c r="AS28" i="28"/>
  <c r="AT28" i="28"/>
  <c r="AU28" i="28"/>
  <c r="AV28" i="28"/>
  <c r="M29" i="28"/>
  <c r="N29" i="28"/>
  <c r="O29" i="28"/>
  <c r="P29" i="28"/>
  <c r="Y29" i="28"/>
  <c r="Z29" i="28"/>
  <c r="AA29" i="28"/>
  <c r="AR29" i="28"/>
  <c r="AS29" i="28"/>
  <c r="AT29" i="28"/>
  <c r="AU29" i="28"/>
  <c r="AV29" i="28"/>
  <c r="M30" i="28"/>
  <c r="N30" i="28"/>
  <c r="O30" i="28"/>
  <c r="P30" i="28"/>
  <c r="X30" i="28"/>
  <c r="Y30" i="28"/>
  <c r="Z30" i="28"/>
  <c r="AA30" i="28"/>
  <c r="AR30" i="28"/>
  <c r="AS30" i="28"/>
  <c r="AT30" i="28"/>
  <c r="AU30" i="28"/>
  <c r="AV30" i="28"/>
  <c r="M31" i="28"/>
  <c r="N31" i="28"/>
  <c r="O31" i="28"/>
  <c r="P31" i="28"/>
  <c r="X31" i="28"/>
  <c r="Y31" i="28"/>
  <c r="Z31" i="28"/>
  <c r="AA31" i="28"/>
  <c r="AR31" i="28"/>
  <c r="AS31" i="28"/>
  <c r="AT31" i="28"/>
  <c r="AU31" i="28"/>
  <c r="AV31" i="28"/>
  <c r="M32" i="28"/>
  <c r="N32" i="28"/>
  <c r="O32" i="28"/>
  <c r="P32" i="28"/>
  <c r="X32" i="28"/>
  <c r="Y32" i="28"/>
  <c r="Z32" i="28"/>
  <c r="AA32" i="28"/>
  <c r="AR32" i="28"/>
  <c r="AS32" i="28"/>
  <c r="AT32" i="28"/>
  <c r="AU32" i="28"/>
  <c r="AV32" i="28"/>
  <c r="M33" i="28"/>
  <c r="N33" i="28"/>
  <c r="O33" i="28"/>
  <c r="P33" i="28"/>
  <c r="AR33" i="28"/>
  <c r="AS33" i="28"/>
  <c r="AT33" i="28"/>
  <c r="AU33" i="28"/>
  <c r="AV33" i="28"/>
  <c r="M34" i="28"/>
  <c r="O34" i="28"/>
  <c r="P34" i="28"/>
  <c r="Z34" i="28"/>
  <c r="AA34" i="28"/>
  <c r="AR34" i="28"/>
  <c r="AS34" i="28"/>
  <c r="AT34" i="28"/>
  <c r="AU34" i="28"/>
  <c r="AV34" i="28"/>
  <c r="G35" i="28"/>
  <c r="H35" i="28"/>
  <c r="I35" i="28"/>
  <c r="J35" i="28"/>
  <c r="M35" i="28"/>
  <c r="O35" i="28"/>
  <c r="P35" i="28"/>
  <c r="R35" i="28"/>
  <c r="S35" i="28"/>
  <c r="T35" i="28"/>
  <c r="U35" i="28"/>
  <c r="X35" i="28"/>
  <c r="Z35" i="28"/>
  <c r="AA35" i="28"/>
  <c r="AR35" i="28"/>
  <c r="AS35" i="28"/>
  <c r="AT35" i="28"/>
  <c r="AU35" i="28"/>
  <c r="AV35" i="28"/>
  <c r="O36" i="28"/>
  <c r="P36" i="28"/>
  <c r="Z36" i="28"/>
  <c r="AA36" i="28"/>
  <c r="M37" i="28"/>
  <c r="O37" i="28"/>
  <c r="P37" i="28"/>
  <c r="X37" i="28"/>
  <c r="Z37" i="28"/>
  <c r="AA37" i="28"/>
  <c r="AR37" i="28"/>
  <c r="AS37" i="28"/>
  <c r="AT37" i="28"/>
  <c r="AU37" i="28"/>
  <c r="AV37" i="28"/>
  <c r="G39" i="28"/>
  <c r="H39" i="28"/>
  <c r="I39" i="28"/>
  <c r="J39" i="28"/>
  <c r="K39" i="28"/>
  <c r="L39" i="28"/>
  <c r="M39" i="28"/>
  <c r="O39" i="28"/>
  <c r="P39" i="28"/>
  <c r="R39" i="28"/>
  <c r="S39" i="28"/>
  <c r="T39" i="28"/>
  <c r="U39" i="28"/>
  <c r="X39" i="28"/>
  <c r="Z39" i="28"/>
  <c r="AA39" i="28"/>
  <c r="AR39" i="28"/>
  <c r="AS39" i="28"/>
  <c r="AT39" i="28"/>
  <c r="AU39" i="28"/>
  <c r="AV39" i="28"/>
  <c r="G42" i="28"/>
  <c r="H42" i="28"/>
  <c r="I42" i="28"/>
  <c r="J42" i="28"/>
  <c r="M42" i="28"/>
  <c r="O42" i="28"/>
  <c r="P42" i="28"/>
  <c r="R42" i="28"/>
  <c r="S42" i="28"/>
  <c r="T42" i="28"/>
  <c r="U42" i="28"/>
  <c r="X42" i="28"/>
  <c r="Z42" i="28"/>
  <c r="AA42" i="28"/>
  <c r="AR42" i="28"/>
  <c r="AS42" i="28"/>
  <c r="AT42" i="28"/>
  <c r="AU42" i="28"/>
  <c r="AV42" i="28"/>
  <c r="O43" i="28"/>
  <c r="P43" i="28"/>
  <c r="Z43" i="28"/>
  <c r="AA43" i="28"/>
  <c r="G44" i="28"/>
  <c r="H44" i="28"/>
  <c r="I44" i="28"/>
  <c r="J44" i="28"/>
  <c r="M44" i="28"/>
  <c r="O44" i="28"/>
  <c r="P44" i="28"/>
  <c r="R44" i="28"/>
  <c r="S44" i="28"/>
  <c r="T44" i="28"/>
  <c r="U44" i="28"/>
  <c r="X44" i="28"/>
  <c r="Z44" i="28"/>
  <c r="AA44" i="28"/>
  <c r="AR44" i="28"/>
  <c r="AS44" i="28"/>
  <c r="AT44" i="28"/>
  <c r="AU44" i="28"/>
  <c r="AV44" i="28"/>
  <c r="O45" i="28"/>
  <c r="P45" i="28"/>
  <c r="Z45" i="28"/>
  <c r="AA45" i="28"/>
  <c r="G46" i="28"/>
  <c r="H46" i="28"/>
  <c r="I46" i="28"/>
  <c r="J46" i="28"/>
  <c r="M46" i="28"/>
  <c r="O46" i="28"/>
  <c r="P46" i="28"/>
  <c r="R46" i="28"/>
  <c r="S46" i="28"/>
  <c r="T46" i="28"/>
  <c r="U46" i="28"/>
  <c r="X46" i="28"/>
  <c r="Z46" i="28"/>
  <c r="AA46" i="28"/>
  <c r="AR46" i="28"/>
  <c r="AS46" i="28"/>
  <c r="AT46" i="28"/>
  <c r="AU46" i="28"/>
  <c r="AV46" i="28"/>
  <c r="O47" i="28"/>
  <c r="P47" i="28"/>
  <c r="Z47" i="28"/>
  <c r="AA47" i="28"/>
  <c r="G48" i="28"/>
  <c r="H48" i="28"/>
  <c r="I48" i="28"/>
  <c r="J48" i="28"/>
  <c r="M48" i="28"/>
  <c r="O48" i="28"/>
  <c r="P48" i="28"/>
  <c r="R48" i="28"/>
  <c r="S48" i="28"/>
  <c r="T48" i="28"/>
  <c r="U48" i="28"/>
  <c r="X48" i="28"/>
  <c r="Z48" i="28"/>
  <c r="AA48" i="28"/>
  <c r="AR48" i="28"/>
  <c r="AS48" i="28"/>
  <c r="AT48" i="28"/>
  <c r="AU48" i="28"/>
  <c r="AV48" i="28"/>
  <c r="O49" i="28"/>
  <c r="P49" i="28"/>
  <c r="Z49" i="28"/>
  <c r="AA49" i="28"/>
  <c r="G50" i="28"/>
  <c r="H50" i="28"/>
  <c r="I50" i="28"/>
  <c r="J50" i="28"/>
  <c r="M50" i="28"/>
  <c r="R50" i="28"/>
  <c r="S50" i="28"/>
  <c r="T50" i="28"/>
  <c r="U50" i="28"/>
  <c r="X50" i="28"/>
  <c r="AR50" i="28"/>
  <c r="AS50" i="28"/>
  <c r="AT50" i="28"/>
  <c r="AU50" i="28"/>
  <c r="AV50" i="28"/>
  <c r="X51" i="28"/>
  <c r="G52" i="28"/>
  <c r="H52" i="28"/>
  <c r="I52" i="28"/>
  <c r="J52" i="28"/>
  <c r="M52" i="28"/>
  <c r="O52" i="28"/>
  <c r="P52" i="28"/>
  <c r="X52" i="28"/>
  <c r="Z52" i="28"/>
  <c r="AA52" i="28"/>
  <c r="AR52" i="28"/>
  <c r="AS52" i="28"/>
  <c r="AT52" i="28"/>
  <c r="AU52" i="28"/>
  <c r="AV52" i="28"/>
  <c r="O53" i="28"/>
  <c r="P53" i="28"/>
  <c r="Z53" i="28"/>
  <c r="AA53" i="28"/>
  <c r="G54" i="28"/>
  <c r="H54" i="28"/>
  <c r="I54" i="28"/>
  <c r="J54" i="28"/>
  <c r="M54" i="28"/>
  <c r="O54" i="28"/>
  <c r="P54" i="28"/>
  <c r="R54" i="28"/>
  <c r="S54" i="28"/>
  <c r="T54" i="28"/>
  <c r="U54" i="28"/>
  <c r="X54" i="28"/>
  <c r="Z54" i="28"/>
  <c r="AA54" i="28"/>
  <c r="AR54" i="28"/>
  <c r="AS54" i="28"/>
  <c r="AT54" i="28"/>
  <c r="AU54" i="28"/>
  <c r="AV54" i="28"/>
  <c r="G56" i="28"/>
  <c r="H56" i="28"/>
  <c r="I56" i="28"/>
  <c r="J56" i="28"/>
  <c r="M56" i="28"/>
  <c r="O56" i="28"/>
  <c r="P56" i="28"/>
  <c r="R56" i="28"/>
  <c r="S56" i="28"/>
  <c r="T56" i="28"/>
  <c r="U56" i="28"/>
  <c r="X56" i="28"/>
  <c r="Z56" i="28"/>
  <c r="AA56" i="28"/>
  <c r="AR56" i="28"/>
  <c r="AS56" i="28"/>
  <c r="AT56" i="28"/>
  <c r="AU56" i="28"/>
  <c r="AV56" i="28"/>
  <c r="G62" i="28"/>
  <c r="H62" i="28"/>
  <c r="I62" i="28"/>
  <c r="J62" i="28"/>
  <c r="M63" i="28"/>
  <c r="O63" i="28"/>
  <c r="P63" i="28"/>
  <c r="AR63" i="28"/>
  <c r="AS63" i="28"/>
  <c r="AT63" i="28"/>
  <c r="AU63" i="28"/>
  <c r="AV63" i="28"/>
  <c r="G68" i="28"/>
  <c r="H68" i="28"/>
  <c r="I68" i="28"/>
  <c r="J68" i="28"/>
  <c r="K68" i="28"/>
  <c r="M68" i="28"/>
  <c r="O68" i="28"/>
  <c r="P68" i="28"/>
  <c r="R68" i="28"/>
  <c r="S68" i="28"/>
  <c r="T68" i="28"/>
  <c r="U68" i="28"/>
  <c r="X68" i="28"/>
  <c r="Z68" i="28"/>
  <c r="AA68" i="28"/>
  <c r="AR68" i="28"/>
  <c r="AS68" i="28"/>
  <c r="AT68" i="28"/>
  <c r="AU68" i="28"/>
  <c r="AV68" i="28"/>
  <c r="M72" i="28"/>
  <c r="O72" i="28"/>
  <c r="P72" i="28"/>
  <c r="X72" i="28"/>
  <c r="Z72" i="28"/>
  <c r="AA72" i="28"/>
  <c r="AR72" i="28"/>
  <c r="AS72" i="28"/>
  <c r="AT72" i="28"/>
  <c r="AU72" i="28"/>
  <c r="AV72" i="28"/>
  <c r="M73" i="28"/>
  <c r="O73" i="28"/>
  <c r="P73" i="28"/>
  <c r="X73" i="28"/>
  <c r="Z73" i="28"/>
  <c r="AA73" i="28"/>
  <c r="AR73" i="28"/>
  <c r="AS73" i="28"/>
  <c r="AT73" i="28"/>
  <c r="AU73" i="28"/>
  <c r="AV73" i="28"/>
  <c r="M74" i="28"/>
  <c r="O74" i="28"/>
  <c r="P74" i="28"/>
  <c r="Z74" i="28"/>
  <c r="AA74" i="28"/>
  <c r="AR74" i="28"/>
  <c r="AS74" i="28"/>
  <c r="AT74" i="28"/>
  <c r="AU74" i="28"/>
  <c r="AV74" i="28"/>
  <c r="O75" i="28"/>
  <c r="P75" i="28"/>
  <c r="Z75" i="28"/>
  <c r="AA75" i="28"/>
  <c r="AR75" i="28"/>
  <c r="AS75" i="28"/>
  <c r="AT75" i="28"/>
  <c r="AU75" i="28"/>
  <c r="AV75" i="28"/>
  <c r="O76" i="28"/>
  <c r="P76" i="28"/>
  <c r="Z76" i="28"/>
  <c r="AA76" i="28"/>
  <c r="AR76" i="28"/>
  <c r="AS76" i="28"/>
  <c r="AT76" i="28"/>
  <c r="AU76" i="28"/>
  <c r="AV76" i="28"/>
  <c r="G77" i="28"/>
  <c r="H77" i="28"/>
  <c r="I77" i="28"/>
  <c r="J77" i="28"/>
  <c r="K77" i="28"/>
  <c r="L77" i="28"/>
  <c r="M77" i="28"/>
  <c r="O77" i="28"/>
  <c r="P77" i="28"/>
  <c r="R77" i="28"/>
  <c r="S77" i="28"/>
  <c r="T77" i="28"/>
  <c r="U77" i="28"/>
  <c r="X77" i="28"/>
  <c r="Z77" i="28"/>
  <c r="AA77" i="28"/>
  <c r="AR77" i="28"/>
  <c r="AS77" i="28"/>
  <c r="AT77" i="28"/>
  <c r="AU77" i="28"/>
  <c r="AV77" i="28"/>
  <c r="O80" i="28"/>
  <c r="P80" i="28"/>
  <c r="X80" i="28"/>
  <c r="Z80" i="28"/>
  <c r="AA80" i="28"/>
  <c r="AR80" i="28"/>
  <c r="AS80" i="28"/>
  <c r="AT80" i="28"/>
  <c r="AU80" i="28"/>
  <c r="AV80" i="28"/>
  <c r="O81" i="28"/>
  <c r="P81" i="28"/>
  <c r="Z81" i="28"/>
  <c r="AA81" i="28"/>
  <c r="AR81" i="28"/>
  <c r="AS81" i="28"/>
  <c r="AT81" i="28"/>
  <c r="AU81" i="28"/>
  <c r="AV81" i="28"/>
  <c r="AX81" i="28"/>
  <c r="O82" i="28"/>
  <c r="P82" i="28"/>
  <c r="Z82" i="28"/>
  <c r="AA82" i="28"/>
  <c r="AR82" i="28"/>
  <c r="AS82" i="28"/>
  <c r="AT82" i="28"/>
  <c r="AU82" i="28"/>
  <c r="AV82" i="28"/>
  <c r="G83" i="28"/>
  <c r="H83" i="28"/>
  <c r="I83" i="28"/>
  <c r="J83" i="28"/>
  <c r="M83" i="28"/>
  <c r="O83" i="28"/>
  <c r="P83" i="28"/>
  <c r="R83" i="28"/>
  <c r="S83" i="28"/>
  <c r="T83" i="28"/>
  <c r="U83" i="28"/>
  <c r="V83" i="28"/>
  <c r="W83" i="28"/>
  <c r="X83" i="28"/>
  <c r="Z83" i="28"/>
  <c r="AA83" i="28"/>
  <c r="AR83" i="28"/>
  <c r="AS83" i="28"/>
  <c r="AT83" i="28"/>
  <c r="AU83" i="28"/>
  <c r="AV83" i="28"/>
  <c r="M85" i="28"/>
  <c r="O85" i="28"/>
  <c r="P85" i="28"/>
  <c r="X85" i="28"/>
  <c r="Z85" i="28"/>
  <c r="AA85" i="28"/>
  <c r="AR85" i="28"/>
  <c r="AS85" i="28"/>
  <c r="AT85" i="28"/>
  <c r="AU85" i="28"/>
  <c r="AV85" i="28"/>
  <c r="M86" i="28"/>
  <c r="O86" i="28"/>
  <c r="P86" i="28"/>
  <c r="X86" i="28"/>
  <c r="Z86" i="28"/>
  <c r="AA86" i="28"/>
  <c r="AR86" i="28"/>
  <c r="AS86" i="28"/>
  <c r="AT86" i="28"/>
  <c r="AU86" i="28"/>
  <c r="AV86" i="28"/>
  <c r="G87" i="28"/>
  <c r="H87" i="28"/>
  <c r="I87" i="28"/>
  <c r="J87" i="28"/>
  <c r="M87" i="28"/>
  <c r="O87" i="28"/>
  <c r="P87" i="28"/>
  <c r="X87" i="28"/>
  <c r="Z87" i="28"/>
  <c r="AA87" i="28"/>
  <c r="AR87" i="28"/>
  <c r="AS87" i="28"/>
  <c r="AT87" i="28"/>
  <c r="AU87" i="28"/>
  <c r="AV87" i="28"/>
  <c r="M88" i="28"/>
  <c r="O88" i="28"/>
  <c r="P88" i="28"/>
  <c r="R88" i="28"/>
  <c r="S88" i="28"/>
  <c r="T88" i="28"/>
  <c r="U88" i="28"/>
  <c r="V88" i="28"/>
  <c r="W88" i="28"/>
  <c r="X88" i="28"/>
  <c r="Z88" i="28"/>
  <c r="AA88" i="28"/>
  <c r="AR88" i="28"/>
  <c r="AS88" i="28"/>
  <c r="AT88" i="28"/>
  <c r="AU88" i="28"/>
  <c r="AV88" i="28"/>
  <c r="M90" i="28"/>
  <c r="O90" i="28"/>
  <c r="P90" i="28"/>
  <c r="X90" i="28"/>
  <c r="Z90" i="28"/>
  <c r="AA90" i="28"/>
  <c r="AR90" i="28"/>
  <c r="AS90" i="28"/>
  <c r="AT90" i="28"/>
  <c r="AU90" i="28"/>
  <c r="AV90" i="28"/>
  <c r="M91" i="28"/>
  <c r="O91" i="28"/>
  <c r="P91" i="28"/>
  <c r="X91" i="28"/>
  <c r="Z91" i="28"/>
  <c r="AA91" i="28"/>
  <c r="AR91" i="28"/>
  <c r="AS91" i="28"/>
  <c r="AT91" i="28"/>
  <c r="AU91" i="28"/>
  <c r="AV91" i="28"/>
  <c r="G92" i="28"/>
  <c r="H92" i="28"/>
  <c r="I92" i="28"/>
  <c r="J92" i="28"/>
  <c r="M92" i="28"/>
  <c r="N92" i="28"/>
  <c r="O92" i="28"/>
  <c r="P92" i="28"/>
  <c r="R92" i="28"/>
  <c r="S92" i="28"/>
  <c r="T92" i="28"/>
  <c r="U92" i="28"/>
  <c r="X92" i="28"/>
  <c r="Y92" i="28"/>
  <c r="Z92" i="28"/>
  <c r="AA92" i="28"/>
  <c r="AR92" i="28"/>
  <c r="AS92" i="28"/>
  <c r="AT92" i="28"/>
  <c r="AU92" i="28"/>
  <c r="AV92" i="28"/>
  <c r="M93" i="28"/>
  <c r="O93" i="28"/>
  <c r="P93" i="28"/>
  <c r="X93" i="28"/>
  <c r="Z93" i="28"/>
  <c r="AA93" i="28"/>
  <c r="AR93" i="28"/>
  <c r="AS93" i="28"/>
  <c r="AT93" i="28"/>
  <c r="AU93" i="28"/>
  <c r="AV93" i="28"/>
  <c r="M95" i="28"/>
  <c r="O95" i="28"/>
  <c r="P95" i="28"/>
  <c r="X95" i="28"/>
  <c r="Z95" i="28"/>
  <c r="AA95" i="28"/>
  <c r="AR95" i="28"/>
  <c r="AS95" i="28"/>
  <c r="AT95" i="28"/>
  <c r="AU95" i="28"/>
  <c r="AV95" i="28"/>
  <c r="M96" i="28"/>
  <c r="O96" i="28"/>
  <c r="P96" i="28"/>
  <c r="X96" i="28"/>
  <c r="Z96" i="28"/>
  <c r="AA96" i="28"/>
  <c r="AR96" i="28"/>
  <c r="AS96" i="28"/>
  <c r="AT96" i="28"/>
  <c r="AU96" i="28"/>
  <c r="AV96" i="28"/>
  <c r="G97" i="28"/>
  <c r="H97" i="28"/>
  <c r="I97" i="28"/>
  <c r="J97" i="28"/>
  <c r="M97" i="28"/>
  <c r="O97" i="28"/>
  <c r="P97" i="28"/>
  <c r="R97" i="28"/>
  <c r="S97" i="28"/>
  <c r="T97" i="28"/>
  <c r="U97" i="28"/>
  <c r="X97" i="28"/>
  <c r="Z97" i="28"/>
  <c r="AA97" i="28"/>
  <c r="AR97" i="28"/>
  <c r="AS97" i="28"/>
  <c r="AT97" i="28"/>
  <c r="AU97" i="28"/>
  <c r="AV97" i="28"/>
  <c r="M98" i="28"/>
  <c r="O98" i="28"/>
  <c r="P98" i="28"/>
  <c r="X98" i="28"/>
  <c r="Z98" i="28"/>
  <c r="AA98" i="28"/>
  <c r="AR98" i="28"/>
  <c r="AS98" i="28"/>
  <c r="AT98" i="28"/>
  <c r="AU98" i="28"/>
  <c r="AV98" i="28"/>
  <c r="AR101" i="28"/>
  <c r="AS101" i="28"/>
  <c r="AT101" i="28"/>
  <c r="AU101" i="28"/>
  <c r="AV101" i="28"/>
  <c r="AR102" i="28"/>
  <c r="AS102" i="28"/>
  <c r="AT102" i="28"/>
  <c r="AU102" i="28"/>
  <c r="AV102" i="28"/>
  <c r="G105" i="28"/>
  <c r="H105" i="28"/>
  <c r="I105" i="28"/>
  <c r="J105" i="28"/>
  <c r="M105" i="28"/>
  <c r="O105" i="28"/>
  <c r="P105" i="28"/>
  <c r="R105" i="28"/>
  <c r="S105" i="28"/>
  <c r="T105" i="28"/>
  <c r="U105" i="28"/>
  <c r="X105" i="28"/>
  <c r="Z105" i="28"/>
  <c r="AA105" i="28"/>
  <c r="AR105" i="28"/>
  <c r="AS105" i="28"/>
  <c r="AT105" i="28"/>
  <c r="AU105" i="28"/>
  <c r="AV105" i="28"/>
  <c r="G106" i="28"/>
  <c r="H106" i="28"/>
  <c r="I106" i="28"/>
  <c r="J106" i="28"/>
  <c r="M106" i="28"/>
  <c r="O106" i="28"/>
  <c r="P106" i="28"/>
  <c r="R106" i="28"/>
  <c r="S106" i="28"/>
  <c r="T106" i="28"/>
  <c r="U106" i="28"/>
  <c r="X106" i="28"/>
  <c r="Z106" i="28"/>
  <c r="AA106" i="28"/>
  <c r="AR106" i="28"/>
  <c r="AS106" i="28"/>
  <c r="AT106" i="28"/>
  <c r="AU106" i="28"/>
  <c r="AV106" i="28"/>
  <c r="G107" i="28"/>
  <c r="H107" i="28"/>
  <c r="I107" i="28"/>
  <c r="J107" i="28"/>
  <c r="M107" i="28"/>
  <c r="O107" i="28"/>
  <c r="P107" i="28"/>
  <c r="R107" i="28"/>
  <c r="S107" i="28"/>
  <c r="T107" i="28"/>
  <c r="U107" i="28"/>
  <c r="X107" i="28"/>
  <c r="Z107" i="28"/>
  <c r="AA107" i="28"/>
  <c r="AR107" i="28"/>
  <c r="AS107" i="28"/>
  <c r="AT107" i="28"/>
  <c r="AU107" i="28"/>
  <c r="AV107" i="28"/>
  <c r="G108" i="28"/>
  <c r="H108" i="28"/>
  <c r="I108" i="28"/>
  <c r="J108" i="28"/>
  <c r="M108" i="28"/>
  <c r="O108" i="28"/>
  <c r="P108" i="28"/>
  <c r="R108" i="28"/>
  <c r="S108" i="28"/>
  <c r="T108" i="28"/>
  <c r="U108" i="28"/>
  <c r="X108" i="28"/>
  <c r="Z108" i="28"/>
  <c r="AA108" i="28"/>
  <c r="AR108" i="28"/>
  <c r="AS108" i="28"/>
  <c r="AT108" i="28"/>
  <c r="AU108" i="28"/>
  <c r="AV108" i="28"/>
  <c r="G111" i="28"/>
  <c r="H111" i="28"/>
  <c r="I111" i="28"/>
  <c r="J111" i="28"/>
  <c r="M111" i="28"/>
  <c r="O111" i="28"/>
  <c r="P111" i="28"/>
  <c r="R111" i="28"/>
  <c r="S111" i="28"/>
  <c r="T111" i="28"/>
  <c r="U111" i="28"/>
  <c r="X111" i="28"/>
  <c r="Z111" i="28"/>
  <c r="AA111" i="28"/>
  <c r="AR111" i="28"/>
  <c r="AS111" i="28"/>
  <c r="AT111" i="28"/>
  <c r="AU111" i="28"/>
  <c r="AV111" i="28"/>
  <c r="G112" i="28"/>
  <c r="H112" i="28"/>
  <c r="I112" i="28"/>
  <c r="J112" i="28"/>
  <c r="M112" i="28"/>
  <c r="O112" i="28"/>
  <c r="P112" i="28"/>
  <c r="R112" i="28"/>
  <c r="S112" i="28"/>
  <c r="T112" i="28"/>
  <c r="U112" i="28"/>
  <c r="X112" i="28"/>
  <c r="Z112" i="28"/>
  <c r="AA112" i="28"/>
  <c r="AR112" i="28"/>
  <c r="AS112" i="28"/>
  <c r="AT112" i="28"/>
  <c r="AU112" i="28"/>
  <c r="AV112" i="28"/>
  <c r="G113" i="28"/>
  <c r="H113" i="28"/>
  <c r="I113" i="28"/>
  <c r="J113" i="28"/>
  <c r="M113" i="28"/>
  <c r="O113" i="28"/>
  <c r="P113" i="28"/>
  <c r="R113" i="28"/>
  <c r="S113" i="28"/>
  <c r="T113" i="28"/>
  <c r="U113" i="28"/>
  <c r="X113" i="28"/>
  <c r="Z113" i="28"/>
  <c r="AA113" i="28"/>
  <c r="AR113" i="28"/>
  <c r="AS113" i="28"/>
  <c r="AT113" i="28"/>
  <c r="AU113" i="28"/>
  <c r="AV113" i="28"/>
  <c r="G114" i="28"/>
  <c r="H114" i="28"/>
  <c r="I114" i="28"/>
  <c r="J114" i="28"/>
  <c r="M114" i="28"/>
  <c r="O114" i="28"/>
  <c r="P114" i="28"/>
  <c r="R114" i="28"/>
  <c r="S114" i="28"/>
  <c r="T114" i="28"/>
  <c r="U114" i="28"/>
  <c r="X114" i="28"/>
  <c r="Z114" i="28"/>
  <c r="AA114" i="28"/>
  <c r="AR114" i="28"/>
  <c r="AS114" i="28"/>
  <c r="AT114" i="28"/>
  <c r="AU114" i="28"/>
  <c r="AV114" i="28"/>
  <c r="H116" i="28"/>
  <c r="I116" i="28"/>
  <c r="J116" i="28"/>
  <c r="M116" i="28"/>
  <c r="O116" i="28"/>
  <c r="P116" i="28"/>
  <c r="Z116" i="28"/>
  <c r="AA116" i="28"/>
  <c r="G118" i="28"/>
  <c r="H118" i="28"/>
  <c r="I118" i="28"/>
  <c r="J118" i="28"/>
  <c r="M118" i="28"/>
  <c r="O118" i="28"/>
  <c r="P118" i="28"/>
  <c r="R118" i="28"/>
  <c r="S118" i="28"/>
  <c r="T118" i="28"/>
  <c r="U118" i="28"/>
  <c r="X118" i="28"/>
  <c r="Z118" i="28"/>
  <c r="AA118" i="28"/>
  <c r="AR118" i="28"/>
  <c r="AS118" i="28"/>
  <c r="AT118" i="28"/>
  <c r="AU118" i="28"/>
  <c r="AV118" i="28"/>
  <c r="G119" i="28"/>
  <c r="H119" i="28"/>
  <c r="I119" i="28"/>
  <c r="J119" i="28"/>
  <c r="M119" i="28"/>
  <c r="O119" i="28"/>
  <c r="P119" i="28"/>
  <c r="R119" i="28"/>
  <c r="S119" i="28"/>
  <c r="T119" i="28"/>
  <c r="U119" i="28"/>
  <c r="X119" i="28"/>
  <c r="Z119" i="28"/>
  <c r="AA119" i="28"/>
  <c r="AR119" i="28"/>
  <c r="AS119" i="28"/>
  <c r="AT119" i="28"/>
  <c r="AU119" i="28"/>
  <c r="AV119" i="28"/>
  <c r="M120" i="28"/>
  <c r="O120" i="28"/>
  <c r="P120" i="28"/>
  <c r="X120" i="28"/>
  <c r="Z120" i="28"/>
  <c r="AA120" i="28"/>
  <c r="AR120" i="28"/>
  <c r="AS120" i="28"/>
  <c r="AT120" i="28"/>
  <c r="AU120" i="28"/>
  <c r="AV120" i="28"/>
  <c r="M121" i="28"/>
  <c r="O121" i="28"/>
  <c r="P121" i="28"/>
  <c r="X121" i="28"/>
  <c r="Z121" i="28"/>
  <c r="AA121" i="28"/>
  <c r="AR121" i="28"/>
  <c r="AS121" i="28"/>
  <c r="AT121" i="28"/>
  <c r="AU121" i="28"/>
  <c r="AV121" i="28"/>
  <c r="O124" i="28"/>
  <c r="P124" i="28"/>
  <c r="X124" i="28"/>
  <c r="Z124" i="28"/>
  <c r="AA124" i="28"/>
  <c r="AR124" i="28"/>
  <c r="AS124" i="28"/>
  <c r="AT124" i="28"/>
  <c r="AU124" i="28"/>
  <c r="AV124" i="28"/>
  <c r="O125" i="28"/>
  <c r="P125" i="28"/>
  <c r="S125" i="28"/>
  <c r="T125" i="28"/>
  <c r="U125" i="28"/>
  <c r="X125" i="28"/>
  <c r="Z125" i="28"/>
  <c r="AA125" i="28"/>
  <c r="AR125" i="28"/>
  <c r="AS125" i="28"/>
  <c r="AT125" i="28"/>
  <c r="AU125" i="28"/>
  <c r="AV125" i="28"/>
  <c r="O126" i="28"/>
  <c r="P126" i="28"/>
  <c r="R126" i="28"/>
  <c r="S126" i="28"/>
  <c r="T126" i="28"/>
  <c r="U126" i="28"/>
  <c r="X126" i="28"/>
  <c r="Z126" i="28"/>
  <c r="AA126" i="28"/>
  <c r="AR126" i="28"/>
  <c r="AS126" i="28"/>
  <c r="AT126" i="28"/>
  <c r="AU126" i="28"/>
  <c r="AV126" i="28"/>
  <c r="G127" i="28"/>
  <c r="H127" i="28"/>
  <c r="I127" i="28"/>
  <c r="J127" i="28"/>
  <c r="M127" i="28"/>
  <c r="O127" i="28"/>
  <c r="P127" i="28"/>
  <c r="R127" i="28"/>
  <c r="X127" i="28"/>
  <c r="Z127" i="28"/>
  <c r="AA127" i="28"/>
  <c r="AR127" i="28"/>
  <c r="AS127" i="28"/>
  <c r="AT127" i="28"/>
  <c r="AU127" i="28"/>
  <c r="AV127" i="28"/>
  <c r="G130" i="28"/>
  <c r="H130" i="28"/>
  <c r="I130" i="28"/>
  <c r="J130" i="28"/>
  <c r="M130" i="28"/>
  <c r="O130" i="28"/>
  <c r="P130" i="28"/>
  <c r="R130" i="28"/>
  <c r="S130" i="28"/>
  <c r="T130" i="28"/>
  <c r="U130" i="28"/>
  <c r="X130" i="28"/>
  <c r="Z130" i="28"/>
  <c r="AA130" i="28"/>
  <c r="AR130" i="28"/>
  <c r="AS130" i="28"/>
  <c r="AT130" i="28"/>
  <c r="AU130" i="28"/>
  <c r="AV130" i="28"/>
  <c r="G131" i="28"/>
  <c r="H131" i="28"/>
  <c r="I131" i="28"/>
  <c r="J131" i="28"/>
  <c r="M131" i="28"/>
  <c r="O131" i="28"/>
  <c r="P131" i="28"/>
  <c r="R131" i="28"/>
  <c r="S131" i="28"/>
  <c r="T131" i="28"/>
  <c r="U131" i="28"/>
  <c r="Z131" i="28"/>
  <c r="AA131" i="28"/>
  <c r="AR131" i="28"/>
  <c r="AS131" i="28"/>
  <c r="AT131" i="28"/>
  <c r="AU131" i="28"/>
  <c r="AV131" i="28"/>
  <c r="G132" i="28"/>
  <c r="H132" i="28"/>
  <c r="I132" i="28"/>
  <c r="J132" i="28"/>
  <c r="M132" i="28"/>
  <c r="O132" i="28"/>
  <c r="P132" i="28"/>
  <c r="R132" i="28"/>
  <c r="S132" i="28"/>
  <c r="T132" i="28"/>
  <c r="U132" i="28"/>
  <c r="Z132" i="28"/>
  <c r="AA132" i="28"/>
  <c r="AR132" i="28"/>
  <c r="AS132" i="28"/>
  <c r="AT132" i="28"/>
  <c r="AU132" i="28"/>
  <c r="AV132" i="28"/>
  <c r="G133" i="28"/>
  <c r="H133" i="28"/>
  <c r="I133" i="28"/>
  <c r="J133" i="28"/>
  <c r="M133" i="28"/>
  <c r="O133" i="28"/>
  <c r="P133" i="28"/>
  <c r="R133" i="28"/>
  <c r="S133" i="28"/>
  <c r="T133" i="28"/>
  <c r="U133" i="28"/>
  <c r="X133" i="28"/>
  <c r="Z133" i="28"/>
  <c r="AA133" i="28"/>
  <c r="AR133" i="28"/>
  <c r="AS133" i="28"/>
  <c r="AT133" i="28"/>
  <c r="AU133" i="28"/>
  <c r="AV133" i="28"/>
  <c r="M136" i="28"/>
  <c r="N136" i="28"/>
  <c r="O136" i="28"/>
  <c r="P136" i="28"/>
  <c r="X136" i="28"/>
  <c r="Y136" i="28"/>
  <c r="Z136" i="28"/>
  <c r="AA136" i="28"/>
  <c r="AR136" i="28"/>
  <c r="AS136" i="28"/>
  <c r="AT136" i="28"/>
  <c r="AU136" i="28"/>
  <c r="AV136" i="28"/>
  <c r="M137" i="28"/>
  <c r="N137" i="28"/>
  <c r="O137" i="28"/>
  <c r="P137" i="28"/>
  <c r="S137" i="28"/>
  <c r="T137" i="28"/>
  <c r="U137" i="28"/>
  <c r="Z137" i="28"/>
  <c r="AA137" i="28"/>
  <c r="AR137" i="28"/>
  <c r="AS137" i="28"/>
  <c r="AT137" i="28"/>
  <c r="AU137" i="28"/>
  <c r="AV137" i="28"/>
  <c r="G138" i="28"/>
  <c r="H138" i="28"/>
  <c r="I138" i="28"/>
  <c r="J138" i="28"/>
  <c r="M138" i="28"/>
  <c r="N138" i="28"/>
  <c r="O138" i="28"/>
  <c r="P138" i="28"/>
  <c r="R138" i="28"/>
  <c r="S138" i="28"/>
  <c r="T138" i="28"/>
  <c r="U138" i="28"/>
  <c r="X138" i="28"/>
  <c r="Y138" i="28"/>
  <c r="Z138" i="28"/>
  <c r="AA138" i="28"/>
  <c r="AR138" i="28"/>
  <c r="AS138" i="28"/>
  <c r="AT138" i="28"/>
  <c r="AU138" i="28"/>
  <c r="AV138" i="28"/>
  <c r="M139" i="28"/>
  <c r="O139" i="28"/>
  <c r="P139" i="28"/>
  <c r="X139" i="28"/>
  <c r="Z139" i="28"/>
  <c r="AA139" i="28"/>
  <c r="AR139" i="28"/>
  <c r="AS139" i="28"/>
  <c r="AT139" i="28"/>
  <c r="AU139" i="28"/>
  <c r="AV139" i="28"/>
  <c r="G142" i="28"/>
  <c r="H142" i="28"/>
  <c r="I142" i="28"/>
  <c r="J142" i="28"/>
  <c r="M142" i="28"/>
  <c r="O142" i="28"/>
  <c r="P142" i="28"/>
  <c r="R142" i="28"/>
  <c r="S142" i="28"/>
  <c r="T142" i="28"/>
  <c r="U142" i="28"/>
  <c r="X142" i="28"/>
  <c r="Z142" i="28"/>
  <c r="AA142" i="28"/>
  <c r="AR142" i="28"/>
  <c r="AS142" i="28"/>
  <c r="AT142" i="28"/>
  <c r="AU142" i="28"/>
  <c r="AV142" i="28"/>
  <c r="G143" i="28"/>
  <c r="H143" i="28"/>
  <c r="I143" i="28"/>
  <c r="J143" i="28"/>
  <c r="M143" i="28"/>
  <c r="O143" i="28"/>
  <c r="P143" i="28"/>
  <c r="R143" i="28"/>
  <c r="S143" i="28"/>
  <c r="T143" i="28"/>
  <c r="U143" i="28"/>
  <c r="X143" i="28"/>
  <c r="Z143" i="28"/>
  <c r="AA143" i="28"/>
  <c r="AR143" i="28"/>
  <c r="AS143" i="28"/>
  <c r="AT143" i="28"/>
  <c r="AU143" i="28"/>
  <c r="AV143" i="28"/>
  <c r="G144" i="28"/>
  <c r="H144" i="28"/>
  <c r="I144" i="28"/>
  <c r="J144" i="28"/>
  <c r="M144" i="28"/>
  <c r="O144" i="28"/>
  <c r="P144" i="28"/>
  <c r="R144" i="28"/>
  <c r="S144" i="28"/>
  <c r="T144" i="28"/>
  <c r="U144" i="28"/>
  <c r="X144" i="28"/>
  <c r="Z144" i="28"/>
  <c r="AA144" i="28"/>
  <c r="AR144" i="28"/>
  <c r="AS144" i="28"/>
  <c r="AT144" i="28"/>
  <c r="AU144" i="28"/>
  <c r="AV144" i="28"/>
  <c r="G145" i="28"/>
  <c r="H145" i="28"/>
  <c r="I145" i="28"/>
  <c r="J145" i="28"/>
  <c r="M145" i="28"/>
  <c r="O145" i="28"/>
  <c r="P145" i="28"/>
  <c r="R145" i="28"/>
  <c r="S145" i="28"/>
  <c r="T145" i="28"/>
  <c r="U145" i="28"/>
  <c r="X145" i="28"/>
  <c r="Z145" i="28"/>
  <c r="AA145" i="28"/>
  <c r="AR145" i="28"/>
  <c r="AS145" i="28"/>
  <c r="AT145" i="28"/>
  <c r="AU145" i="28"/>
  <c r="AV145" i="28"/>
  <c r="AT149" i="28"/>
  <c r="AU149" i="28"/>
  <c r="AV149" i="28"/>
  <c r="X150" i="28"/>
  <c r="AS150" i="28"/>
  <c r="AT150" i="28"/>
  <c r="AU150" i="28"/>
  <c r="AV150" i="28"/>
  <c r="AU151" i="28"/>
  <c r="AV151" i="28"/>
  <c r="AU152" i="28"/>
  <c r="AV152" i="28"/>
  <c r="AU153" i="28"/>
  <c r="AV153" i="28"/>
  <c r="G154" i="28"/>
  <c r="H154" i="28"/>
  <c r="I154" i="28"/>
  <c r="J154" i="28"/>
  <c r="M154" i="28"/>
  <c r="O154" i="28"/>
  <c r="P154" i="28"/>
  <c r="R154" i="28"/>
  <c r="S154" i="28"/>
  <c r="T154" i="28"/>
  <c r="U154" i="28"/>
  <c r="X154" i="28"/>
  <c r="Z154" i="28"/>
  <c r="AA154" i="28"/>
  <c r="AR154" i="28"/>
  <c r="AS154" i="28"/>
  <c r="AT154" i="28"/>
  <c r="AU154" i="28"/>
  <c r="AV154" i="28"/>
  <c r="M156" i="28"/>
  <c r="X156" i="28"/>
  <c r="AR156" i="28"/>
  <c r="AS156" i="28"/>
  <c r="AT156" i="28"/>
  <c r="AU156" i="28"/>
  <c r="AV156" i="28"/>
  <c r="G160" i="28"/>
  <c r="H160" i="28"/>
  <c r="I160" i="28"/>
  <c r="J160" i="28"/>
  <c r="M160" i="28"/>
  <c r="O160" i="28"/>
  <c r="P160" i="28"/>
  <c r="R160" i="28"/>
  <c r="S160" i="28"/>
  <c r="T160" i="28"/>
  <c r="U160" i="28"/>
  <c r="X160" i="28"/>
  <c r="Z160" i="28"/>
  <c r="AA160" i="28"/>
  <c r="AR160" i="28"/>
  <c r="AS160" i="28"/>
  <c r="AT160" i="28"/>
  <c r="AU160" i="28"/>
  <c r="AV160" i="28"/>
  <c r="G161" i="28"/>
  <c r="H161" i="28"/>
  <c r="I161" i="28"/>
  <c r="J161" i="28"/>
  <c r="M161" i="28"/>
  <c r="O161" i="28"/>
  <c r="P161" i="28"/>
  <c r="R161" i="28"/>
  <c r="S161" i="28"/>
  <c r="T161" i="28"/>
  <c r="U161" i="28"/>
  <c r="Z161" i="28"/>
  <c r="AA161" i="28"/>
  <c r="AR161" i="28"/>
  <c r="AS161" i="28"/>
  <c r="AT161" i="28"/>
  <c r="AU161" i="28"/>
  <c r="AV161" i="28"/>
  <c r="G162" i="28"/>
  <c r="H162" i="28"/>
  <c r="I162" i="28"/>
  <c r="J162" i="28"/>
  <c r="M162" i="28"/>
  <c r="O162" i="28"/>
  <c r="P162" i="28"/>
  <c r="R162" i="28"/>
  <c r="S162" i="28"/>
  <c r="T162" i="28"/>
  <c r="U162" i="28"/>
  <c r="Z162" i="28"/>
  <c r="AA162" i="28"/>
  <c r="AR162" i="28"/>
  <c r="AS162" i="28"/>
  <c r="AT162" i="28"/>
  <c r="AU162" i="28"/>
  <c r="AV162" i="28"/>
  <c r="G163" i="28"/>
  <c r="H163" i="28"/>
  <c r="I163" i="28"/>
  <c r="J163" i="28"/>
  <c r="M163" i="28"/>
  <c r="O163" i="28"/>
  <c r="P163" i="28"/>
  <c r="R163" i="28"/>
  <c r="S163" i="28"/>
  <c r="T163" i="28"/>
  <c r="U163" i="28"/>
  <c r="X163" i="28"/>
  <c r="Z163" i="28"/>
  <c r="AA163" i="28"/>
  <c r="AR163" i="28"/>
  <c r="AS163" i="28"/>
  <c r="AT163" i="28"/>
  <c r="AU163" i="28"/>
  <c r="AV163" i="28"/>
  <c r="J168" i="28"/>
  <c r="O168" i="28"/>
  <c r="P168" i="28"/>
  <c r="U168" i="28"/>
  <c r="X168" i="28"/>
  <c r="Z168" i="28"/>
  <c r="AA168" i="28"/>
  <c r="AR168" i="28"/>
  <c r="AS168" i="28"/>
  <c r="AT168" i="28"/>
  <c r="AU168" i="28"/>
  <c r="AV168" i="28"/>
  <c r="J176" i="28"/>
  <c r="U176" i="28"/>
  <c r="AS176" i="28"/>
  <c r="AS177" i="28"/>
  <c r="AS178" i="28"/>
  <c r="I179" i="28"/>
  <c r="J179" i="28"/>
  <c r="T179" i="28"/>
  <c r="U179" i="28"/>
  <c r="AR179" i="28"/>
  <c r="AS179" i="28"/>
  <c r="AS181" i="28"/>
  <c r="AS182" i="28"/>
  <c r="I183" i="28"/>
  <c r="J183" i="28"/>
  <c r="T183" i="28"/>
  <c r="U183" i="28"/>
  <c r="AR183" i="28"/>
  <c r="AS183" i="28"/>
  <c r="J185" i="28"/>
  <c r="U185" i="28"/>
  <c r="AS185" i="28"/>
  <c r="AS187" i="28"/>
  <c r="J188" i="28"/>
  <c r="U188" i="28"/>
  <c r="AS188" i="28"/>
  <c r="J190" i="28"/>
  <c r="U190" i="28"/>
  <c r="AS190" i="28"/>
  <c r="U194" i="28"/>
  <c r="J197" i="28"/>
  <c r="U197" i="28"/>
  <c r="AS197" i="28"/>
  <c r="F13" i="30"/>
  <c r="G13" i="30"/>
  <c r="H13" i="30"/>
  <c r="I13" i="30"/>
  <c r="J13" i="30"/>
  <c r="K13" i="30"/>
  <c r="L13" i="30"/>
  <c r="M13" i="30"/>
  <c r="N13" i="30"/>
  <c r="O13" i="30"/>
  <c r="P13" i="30"/>
  <c r="F14" i="30"/>
  <c r="G14" i="30"/>
  <c r="H14" i="30"/>
  <c r="I14" i="30"/>
  <c r="J14" i="30"/>
  <c r="K14" i="30"/>
  <c r="L14" i="30"/>
  <c r="M14" i="30"/>
  <c r="N14" i="30"/>
  <c r="O14" i="30"/>
  <c r="P14" i="30"/>
  <c r="F15" i="30"/>
  <c r="G15" i="30"/>
  <c r="H15" i="30"/>
  <c r="I15" i="30"/>
  <c r="J15" i="30"/>
  <c r="K15" i="30"/>
  <c r="L15" i="30"/>
  <c r="M15" i="30"/>
  <c r="N15" i="30"/>
  <c r="O15" i="30"/>
  <c r="P15" i="30"/>
  <c r="F16" i="30"/>
  <c r="G16" i="30"/>
  <c r="H16" i="30"/>
  <c r="I16" i="30"/>
  <c r="J16" i="30"/>
  <c r="K16" i="30"/>
  <c r="L16" i="30"/>
  <c r="M16" i="30"/>
  <c r="N16" i="30"/>
  <c r="O16" i="30"/>
  <c r="P16" i="30"/>
  <c r="F43" i="30"/>
  <c r="G43" i="30"/>
  <c r="J43" i="30"/>
  <c r="M43" i="30"/>
  <c r="R43" i="30"/>
  <c r="S43" i="30"/>
  <c r="T43" i="30"/>
  <c r="U43" i="30"/>
  <c r="W43" i="30"/>
  <c r="Y43" i="30"/>
  <c r="F44" i="30"/>
  <c r="G44" i="30"/>
  <c r="I44" i="30"/>
  <c r="J44" i="30"/>
  <c r="M44" i="30"/>
  <c r="R44" i="30"/>
  <c r="S44" i="30"/>
  <c r="T44" i="30"/>
  <c r="U44" i="30"/>
  <c r="W44" i="30"/>
  <c r="Y44" i="30"/>
  <c r="E45" i="30"/>
  <c r="F45" i="30"/>
  <c r="G45" i="30"/>
  <c r="I45" i="30"/>
  <c r="J45" i="30"/>
  <c r="K45" i="30"/>
  <c r="M45" i="30"/>
  <c r="R45" i="30"/>
  <c r="S45" i="30"/>
  <c r="T45" i="30"/>
  <c r="U45" i="30"/>
  <c r="W45" i="30"/>
  <c r="Y45" i="30"/>
  <c r="D46" i="30"/>
  <c r="F46" i="30"/>
  <c r="G46" i="30"/>
  <c r="I46" i="30"/>
  <c r="J46" i="30"/>
  <c r="M46" i="30"/>
  <c r="R46" i="30"/>
  <c r="S46" i="30"/>
  <c r="T46" i="30"/>
  <c r="U46" i="30"/>
  <c r="W46" i="30"/>
  <c r="Y46" i="30"/>
  <c r="F47" i="30"/>
  <c r="G47" i="30"/>
  <c r="I47" i="30"/>
  <c r="J47" i="30"/>
  <c r="M47" i="30"/>
  <c r="R47" i="30"/>
  <c r="S47" i="30"/>
  <c r="T47" i="30"/>
  <c r="U47" i="30"/>
  <c r="W47" i="30"/>
  <c r="Y47" i="30"/>
  <c r="F48" i="30"/>
  <c r="G48" i="30"/>
  <c r="J48" i="30"/>
  <c r="M48" i="30"/>
  <c r="R48" i="30"/>
  <c r="S48" i="30"/>
  <c r="T48" i="30"/>
  <c r="U48" i="30"/>
  <c r="W48" i="30"/>
  <c r="Y48" i="30"/>
  <c r="M50" i="30"/>
  <c r="R50" i="30"/>
  <c r="S50" i="30"/>
  <c r="T50" i="30"/>
  <c r="U50" i="30"/>
  <c r="W50" i="30"/>
  <c r="Y50" i="30"/>
  <c r="M51" i="30"/>
  <c r="R51" i="30"/>
  <c r="S51" i="30"/>
  <c r="T51" i="30"/>
  <c r="U51" i="30"/>
  <c r="W51" i="30"/>
  <c r="Y51" i="30"/>
  <c r="M52" i="30"/>
  <c r="R52" i="30"/>
  <c r="S52" i="30"/>
  <c r="T52" i="30"/>
  <c r="U52" i="30"/>
  <c r="W52" i="30"/>
  <c r="Y52" i="30"/>
  <c r="M53" i="30"/>
  <c r="R53" i="30"/>
  <c r="S53" i="30"/>
  <c r="T53" i="30"/>
  <c r="U53" i="30"/>
  <c r="W53" i="30"/>
  <c r="Y53" i="30"/>
  <c r="D3" i="27"/>
  <c r="E3" i="27"/>
  <c r="D4" i="27"/>
  <c r="E4" i="27"/>
  <c r="D5" i="27"/>
  <c r="E5" i="27"/>
  <c r="D6" i="27"/>
  <c r="E6" i="27"/>
  <c r="D7" i="27"/>
  <c r="E7" i="27"/>
  <c r="D8" i="27"/>
  <c r="E8" i="27"/>
  <c r="D9" i="27"/>
  <c r="E9" i="27"/>
  <c r="D10" i="27"/>
  <c r="E10" i="27"/>
  <c r="D11" i="27"/>
  <c r="E11" i="27"/>
  <c r="D12" i="27"/>
  <c r="E12" i="27"/>
  <c r="D13" i="27"/>
  <c r="E13" i="27"/>
  <c r="D14" i="27"/>
  <c r="E14" i="27"/>
  <c r="D15" i="27"/>
  <c r="E15" i="27"/>
  <c r="D16" i="27"/>
  <c r="E16" i="27"/>
  <c r="D17" i="27"/>
  <c r="E17" i="27"/>
  <c r="D18" i="27"/>
  <c r="E18" i="27"/>
  <c r="D19" i="27"/>
  <c r="E19" i="27"/>
  <c r="D20" i="27"/>
  <c r="E20" i="27"/>
  <c r="D21" i="27"/>
  <c r="E21" i="27"/>
  <c r="D22" i="27"/>
  <c r="E22" i="27"/>
  <c r="D23" i="27"/>
  <c r="E23" i="27"/>
  <c r="D24" i="27"/>
  <c r="E24" i="27"/>
  <c r="D25" i="27"/>
  <c r="E25" i="27"/>
  <c r="D26" i="27"/>
  <c r="E26" i="27"/>
  <c r="D27" i="27"/>
  <c r="E27" i="27"/>
  <c r="D28" i="27"/>
  <c r="E28" i="27"/>
  <c r="D29" i="27"/>
  <c r="E29" i="27"/>
  <c r="D30" i="27"/>
  <c r="E30" i="27"/>
  <c r="D31" i="27"/>
  <c r="E31" i="27"/>
  <c r="D32" i="27"/>
  <c r="E32" i="27"/>
  <c r="D33" i="27"/>
  <c r="E33" i="27"/>
  <c r="D34" i="27"/>
  <c r="E34" i="27"/>
  <c r="D35" i="27"/>
  <c r="E35" i="27"/>
  <c r="D36" i="27"/>
  <c r="E36" i="27"/>
  <c r="D37" i="27"/>
  <c r="E37" i="27"/>
  <c r="D38" i="27"/>
  <c r="E38" i="27"/>
  <c r="D39" i="27"/>
  <c r="E39" i="27"/>
  <c r="D40" i="27"/>
  <c r="E40" i="27"/>
  <c r="D41" i="27"/>
  <c r="E41" i="27"/>
  <c r="D42" i="27"/>
  <c r="E42" i="27"/>
  <c r="D43" i="27"/>
  <c r="E43" i="27"/>
  <c r="D44" i="27"/>
  <c r="E44" i="27"/>
  <c r="D45" i="27"/>
  <c r="E45" i="27"/>
  <c r="D46" i="27"/>
  <c r="E46" i="27"/>
  <c r="D47" i="27"/>
  <c r="E47" i="27"/>
  <c r="D48" i="27"/>
  <c r="E48" i="27"/>
  <c r="D49" i="27"/>
  <c r="E49" i="27"/>
  <c r="D50" i="27"/>
  <c r="E50" i="27"/>
  <c r="D51" i="27"/>
  <c r="E51" i="27"/>
  <c r="D52" i="27"/>
  <c r="E52" i="27"/>
  <c r="D53" i="27"/>
  <c r="E53" i="27"/>
  <c r="D54" i="27"/>
  <c r="E54" i="27"/>
  <c r="D55" i="27"/>
  <c r="E55" i="27"/>
  <c r="D56" i="27"/>
  <c r="E56" i="27"/>
  <c r="D57" i="27"/>
  <c r="E57" i="27"/>
  <c r="D58" i="27"/>
  <c r="E58" i="27"/>
  <c r="D59" i="27"/>
  <c r="E59" i="27"/>
  <c r="D60" i="27"/>
  <c r="E60" i="27"/>
  <c r="D61" i="27"/>
  <c r="E61" i="27"/>
  <c r="D62" i="27"/>
  <c r="E62" i="27"/>
  <c r="D63" i="27"/>
  <c r="E63" i="27"/>
  <c r="D64" i="27"/>
  <c r="E64" i="27"/>
  <c r="D65" i="27"/>
  <c r="E65" i="27"/>
  <c r="D66" i="27"/>
  <c r="E66" i="27"/>
  <c r="D67" i="27"/>
  <c r="E67" i="27"/>
  <c r="D68" i="27"/>
  <c r="E68" i="27"/>
  <c r="D69" i="27"/>
  <c r="E69" i="27"/>
  <c r="D70" i="27"/>
  <c r="E70" i="27"/>
  <c r="D71" i="27"/>
  <c r="E71" i="27"/>
  <c r="D72" i="27"/>
  <c r="E72" i="27"/>
  <c r="D73" i="27"/>
  <c r="E73" i="27"/>
  <c r="D74" i="27"/>
  <c r="E74" i="27"/>
  <c r="D75" i="27"/>
  <c r="E75" i="27"/>
  <c r="D76" i="27"/>
  <c r="E76" i="27"/>
  <c r="D77" i="27"/>
  <c r="E77" i="27"/>
  <c r="D78" i="27"/>
  <c r="E78" i="27"/>
  <c r="D79" i="27"/>
  <c r="E79" i="27"/>
  <c r="D80" i="27"/>
  <c r="E80" i="27"/>
  <c r="D81" i="27"/>
  <c r="E81" i="27"/>
  <c r="D82" i="27"/>
  <c r="E82" i="27"/>
  <c r="D83" i="27"/>
  <c r="E83" i="27"/>
  <c r="D84" i="27"/>
  <c r="E84" i="27"/>
  <c r="D85" i="27"/>
  <c r="E85" i="27"/>
  <c r="D86" i="27"/>
  <c r="E86" i="27"/>
  <c r="D87" i="27"/>
  <c r="E87" i="27"/>
  <c r="D88" i="27"/>
  <c r="E88" i="27"/>
  <c r="D89" i="27"/>
  <c r="E89" i="27"/>
  <c r="D90" i="27"/>
  <c r="E90" i="27"/>
  <c r="D91" i="27"/>
  <c r="E91" i="27"/>
  <c r="D92" i="27"/>
  <c r="E92" i="27"/>
  <c r="D93" i="27"/>
  <c r="E93" i="27"/>
  <c r="D94" i="27"/>
  <c r="E94" i="27"/>
  <c r="D95" i="27"/>
  <c r="E95" i="27"/>
  <c r="D96" i="27"/>
  <c r="E96" i="27"/>
  <c r="D97" i="27"/>
  <c r="E97" i="27"/>
  <c r="D98" i="27"/>
  <c r="E98" i="27"/>
  <c r="D99" i="27"/>
  <c r="E99" i="27"/>
  <c r="D100" i="27"/>
  <c r="E100" i="27"/>
  <c r="D101" i="27"/>
  <c r="E101" i="27"/>
  <c r="D102" i="27"/>
  <c r="E102" i="27"/>
  <c r="D103" i="27"/>
  <c r="E103" i="27"/>
  <c r="D104" i="27"/>
  <c r="E104" i="27"/>
  <c r="D105" i="27"/>
  <c r="E105" i="27"/>
  <c r="D106" i="27"/>
  <c r="E106" i="27"/>
  <c r="D107" i="27"/>
  <c r="E107" i="27"/>
  <c r="D108" i="27"/>
  <c r="E108" i="27"/>
  <c r="D109" i="27"/>
  <c r="E109" i="27"/>
  <c r="D110" i="27"/>
  <c r="E110" i="27"/>
  <c r="D111" i="27"/>
  <c r="E111" i="27"/>
  <c r="D112" i="27"/>
  <c r="E112" i="27"/>
  <c r="D113" i="27"/>
  <c r="E113" i="27"/>
  <c r="D114" i="27"/>
  <c r="E114" i="27"/>
  <c r="D115" i="27"/>
  <c r="E115" i="27"/>
  <c r="D116" i="27"/>
  <c r="E116" i="27"/>
  <c r="D117" i="27"/>
  <c r="E117" i="27"/>
  <c r="D118" i="27"/>
  <c r="E118" i="27"/>
  <c r="D119" i="27"/>
  <c r="E119" i="27"/>
  <c r="D120" i="27"/>
  <c r="E120" i="27"/>
  <c r="D121" i="27"/>
  <c r="E121" i="27"/>
  <c r="D122" i="27"/>
  <c r="E122" i="27"/>
  <c r="D123" i="27"/>
  <c r="E123" i="27"/>
  <c r="D124" i="27"/>
  <c r="E124" i="27"/>
  <c r="D125" i="27"/>
  <c r="E125" i="27"/>
  <c r="D126" i="27"/>
  <c r="E126" i="27"/>
  <c r="D127" i="27"/>
  <c r="E127" i="27"/>
  <c r="D128" i="27"/>
  <c r="E128" i="27"/>
  <c r="D129" i="27"/>
  <c r="E129" i="27"/>
  <c r="D130" i="27"/>
  <c r="E130" i="27"/>
  <c r="D131" i="27"/>
  <c r="E131" i="27"/>
  <c r="D132" i="27"/>
  <c r="E132" i="27"/>
  <c r="D133" i="27"/>
  <c r="E133" i="27"/>
  <c r="D134" i="27"/>
  <c r="E134" i="27"/>
  <c r="D135" i="27"/>
  <c r="E135" i="27"/>
  <c r="D136" i="27"/>
  <c r="E136" i="27"/>
  <c r="D137" i="27"/>
  <c r="E137" i="27"/>
  <c r="D138" i="27"/>
  <c r="E138" i="27"/>
  <c r="D139" i="27"/>
  <c r="E139" i="27"/>
  <c r="D140" i="27"/>
  <c r="E140" i="27"/>
  <c r="D141" i="27"/>
  <c r="E141" i="27"/>
  <c r="D142" i="27"/>
  <c r="E142" i="27"/>
  <c r="D143" i="27"/>
  <c r="E143" i="27"/>
  <c r="D144" i="27"/>
  <c r="E144" i="27"/>
  <c r="D145" i="27"/>
  <c r="E145" i="27"/>
  <c r="D146" i="27"/>
  <c r="E146" i="27"/>
  <c r="D147" i="27"/>
  <c r="E147" i="27"/>
  <c r="D148" i="27"/>
  <c r="E148" i="27"/>
  <c r="D149" i="27"/>
  <c r="E149" i="27"/>
  <c r="D150" i="27"/>
  <c r="E150" i="27"/>
  <c r="D151" i="27"/>
  <c r="E151" i="27"/>
  <c r="D152" i="27"/>
  <c r="E152" i="27"/>
  <c r="D153" i="27"/>
  <c r="E153" i="27"/>
  <c r="D154" i="27"/>
  <c r="E154" i="27"/>
  <c r="D155" i="27"/>
  <c r="E155" i="27"/>
  <c r="D156" i="27"/>
  <c r="E156" i="27"/>
  <c r="D157" i="27"/>
  <c r="E157" i="27"/>
  <c r="D158" i="27"/>
  <c r="E158" i="27"/>
  <c r="D159" i="27"/>
  <c r="E159" i="27"/>
  <c r="D160" i="27"/>
  <c r="E160" i="27"/>
  <c r="D161" i="27"/>
  <c r="E161" i="27"/>
  <c r="D162" i="27"/>
  <c r="E162" i="27"/>
  <c r="D163" i="27"/>
  <c r="E163" i="27"/>
  <c r="D164" i="27"/>
  <c r="E164" i="27"/>
  <c r="D165" i="27"/>
  <c r="E165" i="27"/>
  <c r="D166" i="27"/>
  <c r="E166" i="27"/>
  <c r="D167" i="27"/>
  <c r="E167" i="27"/>
  <c r="D168" i="27"/>
  <c r="E168" i="27"/>
  <c r="D169" i="27"/>
  <c r="E169" i="27"/>
  <c r="D170" i="27"/>
  <c r="E170" i="27"/>
  <c r="D171" i="27"/>
  <c r="E171" i="27"/>
  <c r="D172" i="27"/>
  <c r="E172" i="27"/>
  <c r="D173" i="27"/>
  <c r="E173" i="27"/>
  <c r="D174" i="27"/>
  <c r="E174" i="27"/>
  <c r="D175" i="27"/>
  <c r="E175" i="27"/>
  <c r="D176" i="27"/>
  <c r="E176" i="27"/>
  <c r="D177" i="27"/>
  <c r="E177" i="27"/>
  <c r="D178" i="27"/>
  <c r="E178" i="27"/>
  <c r="D179" i="27"/>
  <c r="E179" i="27"/>
  <c r="D180" i="27"/>
  <c r="E180" i="27"/>
  <c r="D181" i="27"/>
  <c r="E181" i="27"/>
  <c r="D182" i="27"/>
  <c r="E182" i="27"/>
  <c r="D183" i="27"/>
  <c r="E183" i="27"/>
  <c r="D184" i="27"/>
  <c r="E184" i="27"/>
  <c r="D185" i="27"/>
  <c r="E185" i="27"/>
  <c r="D186" i="27"/>
  <c r="E186" i="27"/>
  <c r="D187" i="27"/>
  <c r="E187" i="27"/>
  <c r="D188" i="27"/>
  <c r="E188" i="27"/>
  <c r="D189" i="27"/>
  <c r="E189" i="27"/>
  <c r="D190" i="27"/>
  <c r="E190" i="27"/>
  <c r="D191" i="27"/>
  <c r="E191" i="27"/>
  <c r="D192" i="27"/>
  <c r="E192" i="27"/>
  <c r="D193" i="27"/>
  <c r="E193" i="27"/>
  <c r="D194" i="27"/>
  <c r="E194" i="27"/>
  <c r="D195" i="27"/>
  <c r="E195" i="27"/>
  <c r="D196" i="27"/>
  <c r="E196" i="27"/>
  <c r="D197" i="27"/>
  <c r="E197" i="27"/>
  <c r="D198" i="27"/>
  <c r="E198" i="27"/>
  <c r="D199" i="27"/>
  <c r="E199" i="27"/>
  <c r="D200" i="27"/>
  <c r="E200" i="27"/>
  <c r="D201" i="27"/>
  <c r="E201" i="27"/>
  <c r="D202" i="27"/>
  <c r="E202" i="27"/>
  <c r="D203" i="27"/>
  <c r="E203" i="27"/>
  <c r="D204" i="27"/>
  <c r="E204" i="27"/>
  <c r="D205" i="27"/>
  <c r="E205" i="27"/>
  <c r="D206" i="27"/>
  <c r="E206" i="27"/>
  <c r="D207" i="27"/>
  <c r="E207" i="27"/>
  <c r="D208" i="27"/>
  <c r="E208" i="27"/>
  <c r="D209" i="27"/>
  <c r="E209" i="27"/>
  <c r="D210" i="27"/>
  <c r="E210" i="27"/>
  <c r="D211" i="27"/>
  <c r="E211" i="27"/>
  <c r="D212" i="27"/>
  <c r="E212" i="27"/>
  <c r="D213" i="27"/>
  <c r="E213" i="27"/>
  <c r="D214" i="27"/>
  <c r="E214" i="27"/>
  <c r="D215" i="27"/>
  <c r="E215" i="27"/>
  <c r="D216" i="27"/>
  <c r="E216" i="27"/>
  <c r="D217" i="27"/>
  <c r="E217" i="27"/>
  <c r="D218" i="27"/>
  <c r="E218" i="27"/>
  <c r="D219" i="27"/>
  <c r="E219" i="27"/>
  <c r="D220" i="27"/>
  <c r="E220" i="27"/>
  <c r="D221" i="27"/>
  <c r="E221" i="27"/>
  <c r="D222" i="27"/>
  <c r="E222" i="27"/>
  <c r="D223" i="27"/>
  <c r="E223" i="27"/>
  <c r="D224" i="27"/>
  <c r="E224" i="27"/>
  <c r="D225" i="27"/>
  <c r="E225" i="27"/>
  <c r="D226" i="27"/>
  <c r="E226" i="27"/>
  <c r="D227" i="27"/>
  <c r="E227" i="27"/>
  <c r="D228" i="27"/>
  <c r="E228" i="27"/>
  <c r="D229" i="27"/>
  <c r="E229" i="27"/>
  <c r="D230" i="27"/>
  <c r="E230" i="27"/>
  <c r="D231" i="27"/>
  <c r="E231" i="27"/>
  <c r="D232" i="27"/>
  <c r="E232" i="27"/>
  <c r="D233" i="27"/>
  <c r="E233" i="27"/>
  <c r="D234" i="27"/>
  <c r="E234" i="27"/>
  <c r="D235" i="27"/>
  <c r="E235" i="27"/>
  <c r="D236" i="27"/>
  <c r="E236" i="27"/>
  <c r="D237" i="27"/>
  <c r="E237" i="27"/>
  <c r="D238" i="27"/>
  <c r="E238" i="27"/>
  <c r="D239" i="27"/>
  <c r="E239" i="27"/>
  <c r="D240" i="27"/>
  <c r="E240" i="27"/>
  <c r="D241" i="27"/>
  <c r="E241" i="27"/>
  <c r="D242" i="27"/>
  <c r="E242" i="27"/>
  <c r="D243" i="27"/>
  <c r="E243" i="27"/>
  <c r="D244" i="27"/>
  <c r="E244" i="27"/>
  <c r="D245" i="27"/>
  <c r="E245" i="27"/>
  <c r="D246" i="27"/>
  <c r="E246" i="27"/>
  <c r="D247" i="27"/>
  <c r="E247" i="27"/>
  <c r="D248" i="27"/>
  <c r="E248" i="27"/>
  <c r="D249" i="27"/>
  <c r="E249" i="27"/>
  <c r="D250" i="27"/>
  <c r="E250" i="27"/>
  <c r="D251" i="27"/>
  <c r="E251" i="27"/>
  <c r="D252" i="27"/>
  <c r="E252" i="27"/>
  <c r="D253" i="27"/>
  <c r="E253" i="27"/>
  <c r="D254" i="27"/>
  <c r="E254" i="27"/>
  <c r="D255" i="27"/>
  <c r="E255" i="27"/>
  <c r="D256" i="27"/>
  <c r="E256" i="27"/>
  <c r="D257" i="27"/>
  <c r="E257" i="27"/>
  <c r="D258" i="27"/>
  <c r="E258" i="27"/>
  <c r="D259" i="27"/>
  <c r="E259" i="27"/>
  <c r="D260" i="27"/>
  <c r="E260" i="27"/>
  <c r="D261" i="27"/>
  <c r="E261" i="27"/>
  <c r="D262" i="27"/>
  <c r="E262" i="27"/>
  <c r="D263" i="27"/>
  <c r="E263" i="27"/>
  <c r="D264" i="27"/>
  <c r="E264" i="27"/>
  <c r="D265" i="27"/>
  <c r="E265" i="27"/>
  <c r="D266" i="27"/>
  <c r="E266" i="27"/>
  <c r="D267" i="27"/>
  <c r="E267" i="27"/>
  <c r="D268" i="27"/>
  <c r="E268" i="27"/>
  <c r="D269" i="27"/>
  <c r="E269" i="27"/>
  <c r="D270" i="27"/>
  <c r="E270" i="27"/>
  <c r="D271" i="27"/>
  <c r="E271" i="27"/>
  <c r="D272" i="27"/>
  <c r="E272" i="27"/>
  <c r="D273" i="27"/>
  <c r="E273" i="27"/>
  <c r="D274" i="27"/>
  <c r="E274" i="27"/>
  <c r="D275" i="27"/>
  <c r="E275" i="27"/>
  <c r="D276" i="27"/>
  <c r="E276" i="27"/>
  <c r="D277" i="27"/>
  <c r="E277" i="27"/>
  <c r="D278" i="27"/>
  <c r="E278" i="27"/>
  <c r="D279" i="27"/>
  <c r="E279" i="27"/>
  <c r="D280" i="27"/>
  <c r="E280" i="27"/>
  <c r="D281" i="27"/>
  <c r="E281" i="27"/>
  <c r="D282" i="27"/>
  <c r="E282" i="27"/>
  <c r="D283" i="27"/>
  <c r="E283" i="27"/>
  <c r="D284" i="27"/>
  <c r="E284" i="27"/>
  <c r="D285" i="27"/>
  <c r="E285" i="27"/>
  <c r="D286" i="27"/>
  <c r="E286" i="27"/>
  <c r="D287" i="27"/>
  <c r="E287" i="27"/>
  <c r="D288" i="27"/>
  <c r="E288" i="27"/>
  <c r="D289" i="27"/>
  <c r="E289" i="27"/>
  <c r="D290" i="27"/>
  <c r="E290" i="27"/>
  <c r="D291" i="27"/>
  <c r="E291" i="27"/>
  <c r="D292" i="27"/>
  <c r="E292" i="27"/>
  <c r="D293" i="27"/>
  <c r="E293" i="27"/>
  <c r="D294" i="27"/>
  <c r="E294" i="27"/>
  <c r="D295" i="27"/>
  <c r="E295" i="27"/>
  <c r="D296" i="27"/>
  <c r="E296" i="27"/>
  <c r="D297" i="27"/>
  <c r="E297" i="27"/>
  <c r="D298" i="27"/>
  <c r="E298" i="27"/>
  <c r="D299" i="27"/>
  <c r="E299" i="27"/>
  <c r="D300" i="27"/>
  <c r="E300" i="27"/>
  <c r="D301" i="27"/>
  <c r="E301" i="27"/>
  <c r="D302" i="27"/>
  <c r="E302" i="27"/>
  <c r="D303" i="27"/>
  <c r="E303" i="27"/>
  <c r="D304" i="27"/>
  <c r="E304" i="27"/>
  <c r="D305" i="27"/>
  <c r="E305" i="27"/>
  <c r="D306" i="27"/>
  <c r="E306" i="27"/>
  <c r="D307" i="27"/>
  <c r="E307" i="27"/>
  <c r="D308" i="27"/>
  <c r="E308" i="27"/>
  <c r="D309" i="27"/>
  <c r="E309" i="27"/>
  <c r="D310" i="27"/>
  <c r="E310" i="27"/>
  <c r="D311" i="27"/>
  <c r="E311" i="27"/>
  <c r="D312" i="27"/>
  <c r="E312" i="27"/>
  <c r="D313" i="27"/>
  <c r="E313" i="27"/>
  <c r="D314" i="27"/>
  <c r="E314" i="27"/>
  <c r="D315" i="27"/>
  <c r="E315" i="27"/>
  <c r="D316" i="27"/>
  <c r="E316" i="27"/>
  <c r="D317" i="27"/>
  <c r="E317" i="27"/>
  <c r="D318" i="27"/>
  <c r="E318" i="27"/>
  <c r="D319" i="27"/>
  <c r="E319" i="27"/>
  <c r="D320" i="27"/>
  <c r="E320" i="27"/>
  <c r="D321" i="27"/>
  <c r="E321" i="27"/>
  <c r="D322" i="27"/>
  <c r="E322" i="27"/>
  <c r="D323" i="27"/>
  <c r="E323" i="27"/>
  <c r="D324" i="27"/>
  <c r="E324" i="27"/>
  <c r="D325" i="27"/>
  <c r="E325" i="27"/>
  <c r="D326" i="27"/>
  <c r="E326" i="27"/>
  <c r="D327" i="27"/>
  <c r="E327" i="27"/>
  <c r="D328" i="27"/>
  <c r="E328" i="27"/>
  <c r="D329" i="27"/>
  <c r="E329" i="27"/>
  <c r="D330" i="27"/>
  <c r="E330" i="27"/>
  <c r="D331" i="27"/>
  <c r="E331" i="27"/>
  <c r="D332" i="27"/>
  <c r="E332" i="27"/>
  <c r="D333" i="27"/>
  <c r="E333" i="27"/>
  <c r="D334" i="27"/>
  <c r="E334" i="27"/>
  <c r="D335" i="27"/>
  <c r="E335" i="27"/>
  <c r="D336" i="27"/>
  <c r="E336" i="27"/>
  <c r="D337" i="27"/>
  <c r="E337" i="27"/>
  <c r="D338" i="27"/>
  <c r="E338" i="27"/>
  <c r="D339" i="27"/>
  <c r="E339" i="27"/>
  <c r="D340" i="27"/>
  <c r="E340" i="27"/>
  <c r="D341" i="27"/>
  <c r="E341" i="27"/>
  <c r="D342" i="27"/>
  <c r="E342" i="27"/>
  <c r="D343" i="27"/>
  <c r="E343" i="27"/>
  <c r="D344" i="27"/>
  <c r="E344" i="27"/>
  <c r="D345" i="27"/>
  <c r="E345" i="27"/>
  <c r="D346" i="27"/>
  <c r="E346" i="27"/>
  <c r="D347" i="27"/>
  <c r="E347" i="27"/>
  <c r="D348" i="27"/>
  <c r="E348" i="27"/>
  <c r="D349" i="27"/>
  <c r="E349" i="27"/>
  <c r="D350" i="27"/>
  <c r="E350" i="27"/>
  <c r="D351" i="27"/>
  <c r="E351" i="27"/>
  <c r="D352" i="27"/>
  <c r="E352" i="27"/>
  <c r="D353" i="27"/>
  <c r="E353" i="27"/>
  <c r="D354" i="27"/>
  <c r="E354" i="27"/>
  <c r="D355" i="27"/>
  <c r="E355" i="27"/>
  <c r="D356" i="27"/>
  <c r="E356" i="27"/>
  <c r="D357" i="27"/>
  <c r="E357" i="27"/>
  <c r="D358" i="27"/>
  <c r="E358" i="27"/>
  <c r="D359" i="27"/>
  <c r="E359" i="27"/>
  <c r="D360" i="27"/>
  <c r="E360" i="27"/>
  <c r="D361" i="27"/>
  <c r="E361" i="27"/>
  <c r="D362" i="27"/>
  <c r="E362" i="27"/>
  <c r="D363" i="27"/>
  <c r="E363" i="27"/>
  <c r="D364" i="27"/>
  <c r="E364" i="27"/>
  <c r="D365" i="27"/>
  <c r="E365" i="27"/>
  <c r="D366" i="27"/>
  <c r="E366" i="27"/>
  <c r="D367" i="27"/>
  <c r="E367" i="27"/>
  <c r="D368" i="27"/>
  <c r="E368" i="27"/>
  <c r="D369" i="27"/>
  <c r="E369" i="27"/>
  <c r="D370" i="27"/>
  <c r="E370" i="27"/>
  <c r="D371" i="27"/>
  <c r="E371" i="27"/>
  <c r="D372" i="27"/>
  <c r="E372" i="27"/>
  <c r="D373" i="27"/>
  <c r="E373" i="27"/>
  <c r="D374" i="27"/>
  <c r="E374" i="27"/>
  <c r="D375" i="27"/>
  <c r="E375" i="27"/>
  <c r="D376" i="27"/>
  <c r="E376" i="27"/>
  <c r="D377" i="27"/>
  <c r="E377" i="27"/>
  <c r="D378" i="27"/>
  <c r="E378" i="27"/>
  <c r="D379" i="27"/>
  <c r="E379" i="27"/>
  <c r="D380" i="27"/>
  <c r="E380" i="27"/>
  <c r="D381" i="27"/>
  <c r="E381" i="27"/>
  <c r="D382" i="27"/>
  <c r="E382" i="27"/>
  <c r="D383" i="27"/>
  <c r="E383" i="27"/>
  <c r="D384" i="27"/>
  <c r="E384" i="27"/>
  <c r="D385" i="27"/>
  <c r="E385" i="27"/>
  <c r="D386" i="27"/>
  <c r="E386" i="27"/>
  <c r="D387" i="27"/>
  <c r="E387" i="27"/>
  <c r="D388" i="27"/>
  <c r="E388" i="27"/>
  <c r="D389" i="27"/>
  <c r="E389" i="27"/>
  <c r="D390" i="27"/>
  <c r="E390" i="27"/>
  <c r="D391" i="27"/>
  <c r="E391" i="27"/>
  <c r="D392" i="27"/>
  <c r="E392" i="27"/>
  <c r="D393" i="27"/>
  <c r="E393" i="27"/>
  <c r="D394" i="27"/>
  <c r="E394" i="27"/>
  <c r="D395" i="27"/>
  <c r="E395" i="27"/>
  <c r="D396" i="27"/>
  <c r="E396" i="27"/>
  <c r="D397" i="27"/>
  <c r="E397" i="27"/>
  <c r="D398" i="27"/>
  <c r="E398" i="27"/>
  <c r="D399" i="27"/>
  <c r="E399" i="27"/>
  <c r="D400" i="27"/>
  <c r="E400" i="27"/>
  <c r="D401" i="27"/>
  <c r="E401" i="27"/>
  <c r="D402" i="27"/>
  <c r="E402" i="27"/>
  <c r="D403" i="27"/>
  <c r="E403" i="27"/>
  <c r="D404" i="27"/>
  <c r="E404" i="27"/>
  <c r="D405" i="27"/>
  <c r="E405" i="27"/>
  <c r="D406" i="27"/>
  <c r="E406" i="27"/>
  <c r="D407" i="27"/>
  <c r="E407" i="27"/>
  <c r="D408" i="27"/>
  <c r="E408" i="27"/>
  <c r="D409" i="27"/>
  <c r="E409" i="27"/>
  <c r="D410" i="27"/>
  <c r="E410" i="27"/>
  <c r="D411" i="27"/>
  <c r="E411" i="27"/>
  <c r="D412" i="27"/>
  <c r="E412" i="27"/>
  <c r="D413" i="27"/>
  <c r="E413" i="27"/>
  <c r="D414" i="27"/>
  <c r="E414" i="27"/>
  <c r="D415" i="27"/>
  <c r="E415" i="27"/>
  <c r="D416" i="27"/>
  <c r="E416" i="27"/>
  <c r="D417" i="27"/>
  <c r="E417" i="27"/>
  <c r="D418" i="27"/>
  <c r="E418" i="27"/>
  <c r="D419" i="27"/>
  <c r="E419" i="27"/>
  <c r="D420" i="27"/>
  <c r="E420" i="27"/>
  <c r="D421" i="27"/>
  <c r="E421" i="27"/>
  <c r="D422" i="27"/>
  <c r="E422" i="27"/>
  <c r="D423" i="27"/>
  <c r="E423" i="27"/>
  <c r="D424" i="27"/>
  <c r="E424" i="27"/>
  <c r="D425" i="27"/>
  <c r="E425" i="27"/>
  <c r="D426" i="27"/>
  <c r="E426" i="27"/>
  <c r="D427" i="27"/>
  <c r="E427" i="27"/>
  <c r="D428" i="27"/>
  <c r="E428" i="27"/>
  <c r="D429" i="27"/>
  <c r="E429" i="27"/>
  <c r="D430" i="27"/>
  <c r="E430" i="27"/>
  <c r="D431" i="27"/>
  <c r="E431" i="27"/>
  <c r="D432" i="27"/>
  <c r="E432" i="27"/>
  <c r="D433" i="27"/>
  <c r="E433" i="27"/>
  <c r="D434" i="27"/>
  <c r="E434" i="27"/>
  <c r="D435" i="27"/>
  <c r="E435" i="27"/>
  <c r="D436" i="27"/>
  <c r="E436" i="27"/>
  <c r="D437" i="27"/>
  <c r="E437" i="27"/>
  <c r="D438" i="27"/>
  <c r="E438" i="27"/>
  <c r="D439" i="27"/>
  <c r="E439" i="27"/>
  <c r="D440" i="27"/>
  <c r="E440" i="27"/>
  <c r="D441" i="27"/>
  <c r="E441" i="27"/>
  <c r="D442" i="27"/>
  <c r="E442" i="27"/>
  <c r="D443" i="27"/>
  <c r="E443" i="27"/>
  <c r="D444" i="27"/>
  <c r="E444" i="27"/>
  <c r="D445" i="27"/>
  <c r="E445" i="27"/>
  <c r="D446" i="27"/>
  <c r="E446" i="27"/>
  <c r="D447" i="27"/>
  <c r="E447" i="27"/>
  <c r="D448" i="27"/>
  <c r="E448" i="27"/>
  <c r="D449" i="27"/>
  <c r="E449" i="27"/>
  <c r="D450" i="27"/>
  <c r="E450" i="27"/>
  <c r="D451" i="27"/>
  <c r="E451" i="27"/>
  <c r="D452" i="27"/>
  <c r="E452" i="27"/>
  <c r="D453" i="27"/>
  <c r="E453" i="27"/>
  <c r="D454" i="27"/>
  <c r="E454" i="27"/>
  <c r="D455" i="27"/>
  <c r="E455" i="27"/>
  <c r="D456" i="27"/>
  <c r="E456" i="27"/>
  <c r="D457" i="27"/>
  <c r="E457" i="27"/>
  <c r="D458" i="27"/>
  <c r="E458" i="27"/>
  <c r="D459" i="27"/>
  <c r="E459" i="27"/>
  <c r="D460" i="27"/>
  <c r="E460" i="27"/>
  <c r="D461" i="27"/>
  <c r="E461" i="27"/>
  <c r="D462" i="27"/>
  <c r="E462" i="27"/>
  <c r="D463" i="27"/>
  <c r="E463" i="27"/>
  <c r="D464" i="27"/>
  <c r="E464" i="27"/>
  <c r="D465" i="27"/>
  <c r="E465" i="27"/>
  <c r="D466" i="27"/>
  <c r="E466" i="27"/>
  <c r="D467" i="27"/>
  <c r="E467" i="27"/>
  <c r="D468" i="27"/>
  <c r="E468" i="27"/>
  <c r="D469" i="27"/>
  <c r="E469" i="27"/>
  <c r="D470" i="27"/>
  <c r="E470" i="27"/>
  <c r="D471" i="27"/>
  <c r="E471" i="27"/>
  <c r="D472" i="27"/>
  <c r="E472" i="27"/>
  <c r="D473" i="27"/>
  <c r="E473" i="27"/>
  <c r="D474" i="27"/>
  <c r="E474" i="27"/>
  <c r="D475" i="27"/>
  <c r="E475" i="27"/>
  <c r="D476" i="27"/>
  <c r="E476" i="27"/>
  <c r="D477" i="27"/>
  <c r="E477" i="27"/>
  <c r="D478" i="27"/>
  <c r="E478" i="27"/>
  <c r="D479" i="27"/>
  <c r="E479" i="27"/>
  <c r="D480" i="27"/>
  <c r="E480" i="27"/>
  <c r="D481" i="27"/>
  <c r="E481" i="27"/>
  <c r="D482" i="27"/>
  <c r="E482" i="27"/>
  <c r="D483" i="27"/>
  <c r="E483" i="27"/>
  <c r="D484" i="27"/>
  <c r="E484" i="27"/>
  <c r="D485" i="27"/>
  <c r="E485" i="27"/>
  <c r="D486" i="27"/>
  <c r="E486" i="27"/>
  <c r="D487" i="27"/>
  <c r="E487" i="27"/>
  <c r="D488" i="27"/>
  <c r="E488" i="27"/>
  <c r="D489" i="27"/>
  <c r="E489" i="27"/>
  <c r="D490" i="27"/>
  <c r="E490" i="27"/>
  <c r="D491" i="27"/>
  <c r="E491" i="27"/>
  <c r="D492" i="27"/>
  <c r="E492" i="27"/>
  <c r="D493" i="27"/>
  <c r="E493" i="27"/>
  <c r="D494" i="27"/>
  <c r="E494" i="27"/>
  <c r="D495" i="27"/>
  <c r="E495" i="27"/>
  <c r="D496" i="27"/>
  <c r="E496" i="27"/>
  <c r="D497" i="27"/>
  <c r="E497" i="27"/>
  <c r="D498" i="27"/>
  <c r="E498" i="27"/>
  <c r="D499" i="27"/>
  <c r="E499" i="27"/>
  <c r="D500" i="27"/>
  <c r="E500" i="27"/>
  <c r="D501" i="27"/>
  <c r="E501" i="27"/>
  <c r="D502" i="27"/>
  <c r="E502" i="27"/>
  <c r="D503" i="27"/>
  <c r="E503" i="27"/>
  <c r="D504" i="27"/>
  <c r="E504" i="27"/>
  <c r="D505" i="27"/>
  <c r="E505" i="27"/>
  <c r="D506" i="27"/>
  <c r="E506" i="27"/>
  <c r="D507" i="27"/>
  <c r="E507" i="27"/>
  <c r="D508" i="27"/>
  <c r="E508" i="27"/>
  <c r="D509" i="27"/>
  <c r="E509" i="27"/>
  <c r="D510" i="27"/>
  <c r="E510" i="27"/>
  <c r="D8" i="3"/>
  <c r="J8" i="3"/>
  <c r="L8" i="3"/>
  <c r="J9" i="3"/>
  <c r="L9" i="3"/>
  <c r="J10" i="3"/>
  <c r="L10" i="3"/>
  <c r="J11" i="3"/>
  <c r="L11" i="3"/>
  <c r="D14" i="3"/>
  <c r="J14" i="3"/>
  <c r="L14" i="3"/>
  <c r="J15" i="3"/>
  <c r="L15" i="3"/>
  <c r="J16" i="3"/>
  <c r="L16" i="3"/>
  <c r="Q16" i="3"/>
  <c r="J17" i="3"/>
  <c r="L17" i="3"/>
  <c r="Q17" i="3"/>
  <c r="D21" i="3"/>
  <c r="J21" i="3"/>
  <c r="L21" i="3"/>
  <c r="D24" i="3"/>
  <c r="J24" i="3"/>
  <c r="L24" i="3"/>
  <c r="D28" i="3"/>
  <c r="J28" i="3"/>
  <c r="L28" i="3"/>
  <c r="D29" i="3"/>
  <c r="J29" i="3"/>
  <c r="K29" i="3"/>
  <c r="L29" i="3"/>
  <c r="D30" i="3"/>
  <c r="J30" i="3"/>
  <c r="L30" i="3"/>
  <c r="J33" i="3"/>
  <c r="L33" i="3"/>
  <c r="D34" i="3"/>
  <c r="J34" i="3"/>
  <c r="L34" i="3"/>
  <c r="D35" i="3"/>
  <c r="J35" i="3"/>
  <c r="L35" i="3"/>
  <c r="D36" i="3"/>
  <c r="J36" i="3"/>
  <c r="L36" i="3"/>
  <c r="M38" i="3"/>
  <c r="O38" i="3"/>
  <c r="M42" i="3"/>
  <c r="O42" i="3"/>
  <c r="N44" i="3"/>
  <c r="M46" i="3"/>
  <c r="O46" i="3"/>
  <c r="N48" i="3"/>
  <c r="M49" i="3"/>
  <c r="O49" i="3"/>
  <c r="N51" i="3"/>
  <c r="M52" i="3"/>
  <c r="O52" i="3"/>
  <c r="E3" i="2"/>
  <c r="F3" i="2"/>
  <c r="G3" i="2"/>
  <c r="I3" i="2"/>
  <c r="J3" i="2"/>
  <c r="K3" i="2"/>
  <c r="C4" i="2"/>
  <c r="D4" i="2"/>
  <c r="E4" i="2"/>
  <c r="F4" i="2"/>
  <c r="G4" i="2"/>
  <c r="H4" i="2"/>
  <c r="I4" i="2"/>
  <c r="J4" i="2"/>
  <c r="K4" i="2"/>
  <c r="C5" i="2"/>
  <c r="D5" i="2"/>
  <c r="E5" i="2"/>
  <c r="F5" i="2"/>
  <c r="G5" i="2"/>
  <c r="H5" i="2"/>
  <c r="I5" i="2"/>
  <c r="J5" i="2"/>
  <c r="K5" i="2"/>
  <c r="K6" i="2"/>
  <c r="E7" i="2"/>
  <c r="F7" i="2"/>
  <c r="G7" i="2"/>
  <c r="I7" i="2"/>
  <c r="J7" i="2"/>
  <c r="K7" i="2"/>
  <c r="L7" i="2"/>
  <c r="M7" i="2"/>
  <c r="C8" i="2"/>
  <c r="D8" i="2"/>
  <c r="E8" i="2"/>
  <c r="F8" i="2"/>
  <c r="G8" i="2"/>
  <c r="H8" i="2"/>
  <c r="I8" i="2"/>
  <c r="J8" i="2"/>
  <c r="K8" i="2"/>
  <c r="C9" i="2"/>
  <c r="D9" i="2"/>
  <c r="E9" i="2"/>
  <c r="F9" i="2"/>
  <c r="G9" i="2"/>
  <c r="H9" i="2"/>
  <c r="I9" i="2"/>
  <c r="J9" i="2"/>
  <c r="K9" i="2"/>
  <c r="L9" i="2"/>
  <c r="M9" i="2"/>
  <c r="D11" i="2"/>
  <c r="L11" i="2"/>
  <c r="M11" i="2"/>
  <c r="D12" i="2"/>
  <c r="E12" i="2"/>
  <c r="I12" i="2"/>
  <c r="F18" i="2"/>
  <c r="F19" i="2"/>
  <c r="F20" i="2"/>
  <c r="F21" i="2"/>
  <c r="F23" i="2"/>
  <c r="F24" i="2"/>
  <c r="F25" i="2"/>
  <c r="F26" i="2"/>
  <c r="D27" i="2"/>
  <c r="E27" i="2"/>
  <c r="D28" i="2"/>
  <c r="E28" i="2"/>
  <c r="F28" i="2"/>
  <c r="D29" i="2"/>
  <c r="E29" i="2"/>
  <c r="F29" i="2"/>
  <c r="D30" i="2"/>
  <c r="E30" i="2"/>
  <c r="F30" i="2"/>
  <c r="F35" i="2"/>
  <c r="F36" i="2"/>
  <c r="E37" i="2"/>
  <c r="E40" i="2"/>
  <c r="E41" i="2"/>
  <c r="D48" i="2"/>
  <c r="D49" i="2"/>
  <c r="C52" i="2"/>
  <c r="D52" i="2"/>
  <c r="C57" i="2"/>
  <c r="C60" i="2"/>
  <c r="D60" i="2"/>
  <c r="C6" i="13"/>
  <c r="E6" i="13"/>
  <c r="F6" i="13"/>
  <c r="I6" i="13"/>
  <c r="K6" i="13"/>
  <c r="L6" i="13"/>
  <c r="M6" i="13"/>
  <c r="N6" i="13"/>
  <c r="O6" i="13"/>
  <c r="P6" i="13"/>
  <c r="R6" i="13"/>
  <c r="S6" i="13"/>
  <c r="T6" i="13"/>
  <c r="U6" i="13"/>
  <c r="V6" i="13"/>
  <c r="W6" i="13"/>
  <c r="Y6" i="13"/>
  <c r="AA6" i="13"/>
  <c r="C7" i="13"/>
  <c r="E7" i="13"/>
  <c r="F7" i="13"/>
  <c r="I7" i="13"/>
  <c r="K7" i="13"/>
  <c r="L7" i="13"/>
  <c r="M7" i="13"/>
  <c r="N7" i="13"/>
  <c r="O7" i="13"/>
  <c r="P7" i="13"/>
  <c r="R7" i="13"/>
  <c r="S7" i="13"/>
  <c r="T7" i="13"/>
  <c r="U7" i="13"/>
  <c r="V7" i="13"/>
  <c r="W7" i="13"/>
  <c r="Y7" i="13"/>
  <c r="AA7" i="13"/>
  <c r="C8" i="13"/>
  <c r="E8" i="13"/>
  <c r="F8" i="13"/>
  <c r="H8" i="13"/>
  <c r="I8" i="13"/>
  <c r="K8" i="13"/>
  <c r="L8" i="13"/>
  <c r="M8" i="13"/>
  <c r="N8" i="13"/>
  <c r="O8" i="13"/>
  <c r="P8" i="13"/>
  <c r="R8" i="13"/>
  <c r="S8" i="13"/>
  <c r="T8" i="13"/>
  <c r="U8" i="13"/>
  <c r="V8" i="13"/>
  <c r="W8" i="13"/>
  <c r="Y8" i="13"/>
  <c r="AA8" i="13"/>
  <c r="E9" i="13"/>
  <c r="F9" i="13"/>
  <c r="H9" i="13"/>
  <c r="I9" i="13"/>
  <c r="J9" i="13"/>
  <c r="K9" i="13"/>
  <c r="L9" i="13"/>
  <c r="N9" i="13"/>
  <c r="O9" i="13"/>
  <c r="P9" i="13"/>
  <c r="R9" i="13"/>
  <c r="S9" i="13"/>
  <c r="V9" i="13"/>
  <c r="W9" i="13"/>
  <c r="Y9" i="13"/>
  <c r="AA9" i="13"/>
  <c r="C10" i="13"/>
  <c r="E10" i="13"/>
  <c r="F10" i="13"/>
  <c r="I10" i="13"/>
  <c r="O10" i="13"/>
  <c r="P10" i="13"/>
  <c r="Q10" i="13"/>
  <c r="R10" i="13"/>
  <c r="S10" i="13"/>
  <c r="T10" i="13"/>
  <c r="U10" i="13"/>
  <c r="V10" i="13"/>
  <c r="W10" i="13"/>
  <c r="Y10" i="13"/>
  <c r="AA10" i="13"/>
  <c r="E11" i="13"/>
  <c r="F11" i="13"/>
  <c r="H11" i="13"/>
  <c r="I11" i="13"/>
  <c r="K11" i="13"/>
  <c r="L11" i="13"/>
  <c r="M11" i="13"/>
  <c r="N11" i="13"/>
  <c r="O11" i="13"/>
  <c r="P11" i="13"/>
  <c r="R11" i="13"/>
  <c r="S11" i="13"/>
  <c r="T11" i="13"/>
  <c r="U11" i="13"/>
  <c r="V11" i="13"/>
  <c r="W11" i="13"/>
  <c r="Y11" i="13"/>
  <c r="AA11" i="13"/>
  <c r="C12" i="13"/>
  <c r="D12" i="13"/>
  <c r="E12" i="13"/>
  <c r="F12" i="13"/>
  <c r="H12" i="13"/>
  <c r="I12" i="13"/>
  <c r="J12" i="13"/>
  <c r="K12" i="13"/>
  <c r="L12" i="13"/>
  <c r="M12" i="13"/>
  <c r="N12" i="13"/>
  <c r="O12" i="13"/>
  <c r="P12" i="13"/>
  <c r="R12" i="13"/>
  <c r="S12" i="13"/>
  <c r="T12" i="13"/>
  <c r="U12" i="13"/>
  <c r="V12" i="13"/>
  <c r="W12" i="13"/>
  <c r="Y12" i="13"/>
  <c r="AA12" i="13"/>
  <c r="C13" i="13"/>
  <c r="E13" i="13"/>
  <c r="F13" i="13"/>
  <c r="H13" i="13"/>
  <c r="I13" i="13"/>
  <c r="K13" i="13"/>
  <c r="L13" i="13"/>
  <c r="M13" i="13"/>
  <c r="N13" i="13"/>
  <c r="O13" i="13"/>
  <c r="P13" i="13"/>
  <c r="R13" i="13"/>
  <c r="S13" i="13"/>
  <c r="T13" i="13"/>
  <c r="U13" i="13"/>
  <c r="V13" i="13"/>
  <c r="W13" i="13"/>
  <c r="Y13" i="13"/>
  <c r="AA13" i="13"/>
  <c r="E14" i="13"/>
  <c r="F14" i="13"/>
  <c r="H14" i="13"/>
  <c r="I14" i="13"/>
  <c r="K14" i="13"/>
  <c r="L14" i="13"/>
  <c r="M14" i="13"/>
  <c r="N14" i="13"/>
  <c r="O14" i="13"/>
  <c r="P14" i="13"/>
  <c r="R14" i="13"/>
  <c r="S14" i="13"/>
  <c r="T14" i="13"/>
  <c r="U14" i="13"/>
  <c r="V14" i="13"/>
  <c r="W14" i="13"/>
  <c r="Y14" i="13"/>
  <c r="AA14" i="13"/>
  <c r="C15" i="13"/>
  <c r="E15" i="13"/>
  <c r="F15" i="13"/>
  <c r="H15" i="13"/>
  <c r="I15" i="13"/>
  <c r="K15" i="13"/>
  <c r="L15" i="13"/>
  <c r="M15" i="13"/>
  <c r="N15" i="13"/>
  <c r="O15" i="13"/>
  <c r="P15" i="13"/>
  <c r="R15" i="13"/>
  <c r="S15" i="13"/>
  <c r="T15" i="13"/>
  <c r="U15" i="13"/>
  <c r="V15" i="13"/>
  <c r="W15" i="13"/>
  <c r="Y15" i="13"/>
  <c r="AA15" i="13"/>
  <c r="P17" i="13"/>
  <c r="R17" i="13"/>
  <c r="V17" i="13"/>
  <c r="W17" i="13"/>
  <c r="X17" i="13"/>
  <c r="Y17" i="13"/>
  <c r="Z17" i="13"/>
  <c r="AA17" i="13"/>
  <c r="P18" i="13"/>
  <c r="R18" i="13"/>
  <c r="V18" i="13"/>
  <c r="W18" i="13"/>
  <c r="X18" i="13"/>
  <c r="Y18" i="13"/>
  <c r="Z18" i="13"/>
  <c r="AA18" i="13"/>
  <c r="P20" i="13"/>
  <c r="R20" i="13"/>
  <c r="V20" i="13"/>
  <c r="W20" i="13"/>
  <c r="X20" i="13"/>
  <c r="Y20" i="13"/>
  <c r="Z20" i="13"/>
  <c r="AA20" i="13"/>
  <c r="P21" i="13"/>
  <c r="R21" i="13"/>
  <c r="V21" i="13"/>
  <c r="W21" i="13"/>
  <c r="X21" i="13"/>
  <c r="Y21" i="13"/>
  <c r="Z21" i="13"/>
  <c r="AA21" i="13"/>
  <c r="C3" i="11"/>
  <c r="C7" i="11"/>
  <c r="E7" i="11"/>
  <c r="G7" i="11"/>
  <c r="I7" i="11"/>
  <c r="C8" i="11"/>
  <c r="E8" i="11"/>
  <c r="G8" i="11"/>
  <c r="I8" i="11"/>
  <c r="C11" i="11"/>
  <c r="E11" i="11"/>
  <c r="G11" i="11"/>
  <c r="I11" i="11"/>
  <c r="E15" i="11"/>
  <c r="F15" i="11"/>
  <c r="G15" i="11"/>
  <c r="H15" i="11"/>
  <c r="I15" i="11"/>
  <c r="J15" i="11"/>
  <c r="K15" i="11"/>
  <c r="E16" i="11"/>
  <c r="F16" i="11"/>
  <c r="G16" i="11"/>
  <c r="H16" i="11"/>
  <c r="I16" i="11"/>
  <c r="J16" i="11"/>
  <c r="K16" i="11"/>
  <c r="C17" i="11"/>
  <c r="E17" i="11"/>
  <c r="F17" i="11"/>
  <c r="G17" i="11"/>
  <c r="H17" i="11"/>
  <c r="I17" i="11"/>
  <c r="J17" i="11"/>
  <c r="K17" i="11"/>
  <c r="M17" i="11"/>
  <c r="C18" i="11"/>
  <c r="E18" i="11"/>
  <c r="F18" i="11"/>
  <c r="G18" i="11"/>
  <c r="H18" i="11"/>
  <c r="I18" i="11"/>
  <c r="J18" i="11"/>
  <c r="K18" i="11"/>
  <c r="M18" i="11"/>
  <c r="E19" i="11"/>
  <c r="F19" i="11"/>
  <c r="G19" i="11"/>
  <c r="H19" i="11"/>
  <c r="I19" i="11"/>
  <c r="J19" i="11"/>
  <c r="K19" i="11"/>
  <c r="E20" i="11"/>
  <c r="F20" i="11"/>
  <c r="G20" i="11"/>
  <c r="H20" i="11"/>
  <c r="I20" i="11"/>
  <c r="J20" i="11"/>
  <c r="K20" i="11"/>
  <c r="C21" i="11"/>
  <c r="E21" i="11"/>
  <c r="F21" i="11"/>
  <c r="G21" i="11"/>
  <c r="H21" i="11"/>
  <c r="I21" i="11"/>
  <c r="J21" i="11"/>
  <c r="K21" i="11"/>
  <c r="M21" i="11"/>
  <c r="E23" i="11"/>
  <c r="F23" i="11"/>
  <c r="G23" i="11"/>
  <c r="H23" i="11"/>
  <c r="I23" i="11"/>
  <c r="J23" i="11"/>
  <c r="K23" i="11"/>
  <c r="C24" i="11"/>
  <c r="E24" i="11"/>
  <c r="F24" i="11"/>
  <c r="G24" i="11"/>
  <c r="H24" i="11"/>
  <c r="I24" i="11"/>
  <c r="J24" i="11"/>
  <c r="K24" i="11"/>
  <c r="M24" i="11"/>
  <c r="C25" i="11"/>
  <c r="E25" i="11"/>
  <c r="F25" i="11"/>
  <c r="G25" i="11"/>
  <c r="H25" i="11"/>
  <c r="I25" i="11"/>
  <c r="J25" i="11"/>
  <c r="K25" i="11"/>
  <c r="M25" i="11"/>
  <c r="C26" i="11"/>
  <c r="E26" i="11"/>
  <c r="F26" i="11"/>
  <c r="G26" i="11"/>
  <c r="H26" i="11"/>
  <c r="I26" i="11"/>
  <c r="J26" i="11"/>
  <c r="K26" i="11"/>
  <c r="M26" i="11"/>
  <c r="C27" i="11"/>
  <c r="E27" i="11"/>
  <c r="F27" i="11"/>
  <c r="G27" i="11"/>
  <c r="H27" i="11"/>
  <c r="I27" i="11"/>
  <c r="J27" i="11"/>
  <c r="K27" i="11"/>
  <c r="M27" i="11"/>
  <c r="E30" i="11"/>
  <c r="F30" i="11"/>
  <c r="G30" i="11"/>
  <c r="H30" i="11"/>
  <c r="I30" i="11"/>
  <c r="J30" i="11"/>
  <c r="K30" i="11"/>
  <c r="E31" i="11"/>
  <c r="F31" i="11"/>
  <c r="G31" i="11"/>
  <c r="H31" i="11"/>
  <c r="I31" i="11"/>
  <c r="J31" i="11"/>
  <c r="K31" i="11"/>
</calcChain>
</file>

<file path=xl/comments1.xml><?xml version="1.0" encoding="utf-8"?>
<comments xmlns="http://schemas.openxmlformats.org/spreadsheetml/2006/main">
  <authors>
    <author>anovotn</author>
  </authors>
  <commentList>
    <comment ref="G156" authorId="0" shapeId="0">
      <text>
        <r>
          <rPr>
            <b/>
            <sz val="8"/>
            <color indexed="81"/>
            <rFont val="Tahoma"/>
          </rPr>
          <t>anovotn:</t>
        </r>
        <r>
          <rPr>
            <sz val="8"/>
            <color indexed="81"/>
            <rFont val="Tahoma"/>
          </rPr>
          <t xml:space="preserve">
made up
</t>
        </r>
      </text>
    </comment>
  </commentList>
</comments>
</file>

<file path=xl/comments2.xml><?xml version="1.0" encoding="utf-8"?>
<comments xmlns="http://schemas.openxmlformats.org/spreadsheetml/2006/main">
  <authors>
    <author>rkelley</author>
    <author>Jeffrey M. Bartlett</author>
  </authors>
  <commentList>
    <comment ref="D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All blue is Alok's numbers
</t>
        </r>
      </text>
    </comment>
    <comment ref="N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First union equity research 3/2/00
</t>
        </r>
      </text>
    </comment>
    <comment ref="V43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First Union research 1/25/00
</t>
        </r>
      </text>
    </comment>
    <comment ref="N44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2/15/00 calced from income statement
</t>
        </r>
      </text>
    </comment>
    <comment ref="L45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2/25/00</t>
        </r>
      </text>
    </comment>
    <comment ref="L46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2/3/00</t>
        </r>
      </text>
    </comment>
    <comment ref="L47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CSFB 3/8/00</t>
        </r>
      </text>
    </comment>
    <comment ref="E48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Duetsche Bank Alex Brown 9/17/99</t>
        </r>
      </text>
    </comment>
    <comment ref="L48" authorId="0" shapeId="0">
      <text>
        <r>
          <rPr>
            <b/>
            <sz val="8"/>
            <color indexed="81"/>
            <rFont val="Tahoma"/>
          </rPr>
          <t>rkelley:</t>
        </r>
        <r>
          <rPr>
            <sz val="8"/>
            <color indexed="81"/>
            <rFont val="Tahoma"/>
          </rPr>
          <t xml:space="preserve">
Merrill Lynch 1/27/00
</t>
        </r>
      </text>
    </comment>
    <comment ref="W48" authorId="1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source:  Deutsche Banc Alex Brown - 9/17/00</t>
        </r>
      </text>
    </comment>
    <comment ref="Y48" authorId="1" shapeId="0">
      <text>
        <r>
          <rPr>
            <b/>
            <sz val="8"/>
            <color indexed="81"/>
            <rFont val="Tahoma"/>
          </rPr>
          <t>Jeffrey M. Bartlett:</t>
        </r>
        <r>
          <rPr>
            <sz val="8"/>
            <color indexed="81"/>
            <rFont val="Tahoma"/>
          </rPr>
          <t xml:space="preserve">
Source:  Deutsche Banc  Alex Brown - 9/17/99.</t>
        </r>
      </text>
    </comment>
  </commentList>
</comments>
</file>

<file path=xl/sharedStrings.xml><?xml version="1.0" encoding="utf-8"?>
<sst xmlns="http://schemas.openxmlformats.org/spreadsheetml/2006/main" count="2486" uniqueCount="966">
  <si>
    <t>Recent Events:</t>
  </si>
  <si>
    <t>Capability</t>
  </si>
  <si>
    <t>Total</t>
  </si>
  <si>
    <t>(KW)</t>
  </si>
  <si>
    <t>Fuel</t>
  </si>
  <si>
    <t>Coal</t>
  </si>
  <si>
    <t>Gas</t>
  </si>
  <si>
    <t>Joint Venture Power Assets</t>
  </si>
  <si>
    <t>Hydro</t>
  </si>
  <si>
    <t>Residential</t>
  </si>
  <si>
    <t>Commercial</t>
  </si>
  <si>
    <t>Industrial</t>
  </si>
  <si>
    <t>Retail Revenues</t>
  </si>
  <si>
    <t>Other</t>
  </si>
  <si>
    <t>LTM</t>
  </si>
  <si>
    <t>Pro Forma</t>
  </si>
  <si>
    <t>Total Revenues</t>
  </si>
  <si>
    <t>($'s in millions)</t>
  </si>
  <si>
    <t>Gas Revenues</t>
  </si>
  <si>
    <t>Adjustment</t>
  </si>
  <si>
    <t>Cost of Goods Sold</t>
  </si>
  <si>
    <t>Electric</t>
  </si>
  <si>
    <t>DD&amp;A</t>
  </si>
  <si>
    <t>EBIT</t>
  </si>
  <si>
    <t>EBITDA</t>
  </si>
  <si>
    <t>Equity In Joint Ventures</t>
  </si>
  <si>
    <t>Capitalization</t>
  </si>
  <si>
    <t>Short Term Debt</t>
  </si>
  <si>
    <t>Total Debt</t>
  </si>
  <si>
    <t>Minority Interest</t>
  </si>
  <si>
    <t>Preferred Stock</t>
  </si>
  <si>
    <t>Total Debt &amp; Preferred</t>
  </si>
  <si>
    <t>Long Term Debt Subsidiary</t>
  </si>
  <si>
    <t>EV/EBITDA</t>
  </si>
  <si>
    <t>Cash</t>
  </si>
  <si>
    <t>Net Debt</t>
  </si>
  <si>
    <t>Equity Value</t>
  </si>
  <si>
    <t>Enterprise Value</t>
  </si>
  <si>
    <t>Shares Outstanding</t>
  </si>
  <si>
    <t>Implied Share Price</t>
  </si>
  <si>
    <t>Current Share Price</t>
  </si>
  <si>
    <t>Premium/Discount</t>
  </si>
  <si>
    <t>Current Enterprise Value</t>
  </si>
  <si>
    <t>Shares</t>
  </si>
  <si>
    <t>Market</t>
  </si>
  <si>
    <t>Enterprise</t>
  </si>
  <si>
    <t>IOU's</t>
  </si>
  <si>
    <t>Ticker</t>
  </si>
  <si>
    <t>Price</t>
  </si>
  <si>
    <t>Outstanding</t>
  </si>
  <si>
    <t>Cap</t>
  </si>
  <si>
    <t>Debt</t>
  </si>
  <si>
    <t>Preferred</t>
  </si>
  <si>
    <t>Value</t>
  </si>
  <si>
    <t>AMEREN CORP</t>
  </si>
  <si>
    <t>AEE</t>
  </si>
  <si>
    <t>AMERICAN ELECTRIC POWER</t>
  </si>
  <si>
    <t>AEP</t>
  </si>
  <si>
    <t>UNICOM CORP</t>
  </si>
  <si>
    <t>UCM</t>
  </si>
  <si>
    <t>Average</t>
  </si>
  <si>
    <t>Median</t>
  </si>
  <si>
    <t>Comparable LDCs</t>
  </si>
  <si>
    <t>Current Trading Multiple on LTM EBITDA</t>
  </si>
  <si>
    <t>`</t>
  </si>
  <si>
    <t>Electric Operations (Thousands MWH)</t>
  </si>
  <si>
    <t>Total to ultimate customer</t>
  </si>
  <si>
    <t>Wholesale sales</t>
  </si>
  <si>
    <t>Provision for rate refund</t>
  </si>
  <si>
    <t>Total wholesale &amp; other</t>
  </si>
  <si>
    <t>Total electric revenues</t>
  </si>
  <si>
    <t xml:space="preserve">Electric Revenues </t>
  </si>
  <si>
    <t>Public authorities</t>
  </si>
  <si>
    <t>Total gas revenues</t>
  </si>
  <si>
    <t>Implied Electric Pricing ($/MWH) (a)</t>
  </si>
  <si>
    <t>(a) Assumed $10 MM across the board in 1999 rate reductions from 1998 levels and $6 MM in 2000, $5 MM each in 1999 and $3 MM each in 2000.</t>
  </si>
  <si>
    <t>Argentina gas distribution</t>
  </si>
  <si>
    <t>Financials</t>
  </si>
  <si>
    <t>Fuel for electric generation</t>
  </si>
  <si>
    <t>Power purchased</t>
  </si>
  <si>
    <t>Gas supply expenses</t>
  </si>
  <si>
    <t>Maintenance</t>
  </si>
  <si>
    <t>Property &amp; Other Taxes</t>
  </si>
  <si>
    <t>Operating Expenses</t>
  </si>
  <si>
    <t>FIRSTENERGY CORP</t>
  </si>
  <si>
    <t>SOUTHERN CO</t>
  </si>
  <si>
    <t>TXU</t>
  </si>
  <si>
    <t>RELIANT ENERGY</t>
  </si>
  <si>
    <t>ILLINOVA CORP</t>
  </si>
  <si>
    <t>ILN</t>
  </si>
  <si>
    <t>SO</t>
  </si>
  <si>
    <t>FE</t>
  </si>
  <si>
    <t>REI</t>
  </si>
  <si>
    <t>NISOURCE INC</t>
  </si>
  <si>
    <t>NI</t>
  </si>
  <si>
    <t>TEXAS UTILITIES CO</t>
  </si>
  <si>
    <t>DELTA NATURAL GAS CO</t>
  </si>
  <si>
    <t>ENERGYNORTH INC</t>
  </si>
  <si>
    <t>PROVIDENCE ENERGY CORP</t>
  </si>
  <si>
    <t>ROANOKE GAS CO</t>
  </si>
  <si>
    <t>VALLEY RESOURCES</t>
  </si>
  <si>
    <t>FALL RIVER GAS CO</t>
  </si>
  <si>
    <t>Interest Charges</t>
  </si>
  <si>
    <t>Other Income/Losses</t>
  </si>
  <si>
    <t>Net Income</t>
  </si>
  <si>
    <t>Income Taxes--Federal</t>
  </si>
  <si>
    <t>Net Income Before Non-Recurring Items</t>
  </si>
  <si>
    <t>Cumilative Effect of Acct Change</t>
  </si>
  <si>
    <t>Provision for Rate Refunds</t>
  </si>
  <si>
    <t>Merger Costs to Achieve and Non-Recurring Charges</t>
  </si>
  <si>
    <t>Unusual Items</t>
  </si>
  <si>
    <t>Loss from Discontinued Ops</t>
  </si>
  <si>
    <t>Loss on Disposal of Discontinued Ops</t>
  </si>
  <si>
    <t>Preferred Dividends</t>
  </si>
  <si>
    <t>check:</t>
  </si>
  <si>
    <t>EPS</t>
  </si>
  <si>
    <t>P/E</t>
  </si>
  <si>
    <t>10Q</t>
  </si>
  <si>
    <t>IPP (a)</t>
  </si>
  <si>
    <t>--</t>
  </si>
  <si>
    <t>Total value</t>
  </si>
  <si>
    <t>Net debt (Corp. Adjustments)</t>
  </si>
  <si>
    <t>Total equity value</t>
  </si>
  <si>
    <t>Shares outstanding</t>
  </si>
  <si>
    <t>Implied price</t>
  </si>
  <si>
    <t>Current price</t>
  </si>
  <si>
    <t>Multiple Range</t>
  </si>
  <si>
    <t>Comps</t>
  </si>
  <si>
    <t>Value Range</t>
  </si>
  <si>
    <t>Reference</t>
  </si>
  <si>
    <t>Range</t>
  </si>
  <si>
    <t>Minimum</t>
  </si>
  <si>
    <t>Maximum</t>
  </si>
  <si>
    <t>Mean</t>
  </si>
  <si>
    <t>Rate Refund</t>
  </si>
  <si>
    <t>2000E</t>
  </si>
  <si>
    <t>Growth</t>
  </si>
  <si>
    <t>Rate</t>
  </si>
  <si>
    <t>EBITDA/NI</t>
  </si>
  <si>
    <t>EV/Net PP&amp;E</t>
  </si>
  <si>
    <t>Net PP&amp;E</t>
  </si>
  <si>
    <t>1999E</t>
  </si>
  <si>
    <t>% allocation</t>
  </si>
  <si>
    <t>Analysts Estimates</t>
  </si>
  <si>
    <t>Average number of shares</t>
  </si>
  <si>
    <t>Pre-Tax Income</t>
  </si>
  <si>
    <t>Surcredit</t>
  </si>
  <si>
    <t>Surcredit (50% of non-fuel merger savings)</t>
  </si>
  <si>
    <t>22.184/yr</t>
  </si>
  <si>
    <t>(a) Assumed $20 MM in 1999 rate reductions from 1998 levels and $8 MM for the next four years.</t>
  </si>
  <si>
    <t xml:space="preserve">(a)  The 247% increase in equity in ventures in 1998 to $71.3 mln was primarily due to the closure of the MRA transaction with NIMO and an arbitration award receibed by the Frederickson, </t>
  </si>
  <si>
    <t>Washington, venture partially offset by a write-off of the Company's investment in the WPP 94 venture.</t>
  </si>
  <si>
    <t xml:space="preserve">Generation </t>
  </si>
  <si>
    <t>Distribution</t>
  </si>
  <si>
    <t>Plant</t>
  </si>
  <si>
    <t>Cat</t>
  </si>
  <si>
    <t>Cincinnati Gas &amp; Electric</t>
  </si>
  <si>
    <t>PSI Energy Inc</t>
  </si>
  <si>
    <t>Comercial</t>
  </si>
  <si>
    <t>Pub Str &amp; Hwy Lt Rev $</t>
  </si>
  <si>
    <t>Public Authority Rev $</t>
  </si>
  <si>
    <t>Interdepartmental Rev $</t>
  </si>
  <si>
    <t>Pub Str &amp; Hwy Lt MWh</t>
  </si>
  <si>
    <t>Public Authority MWh</t>
  </si>
  <si>
    <t>Interdepartmental MWh</t>
  </si>
  <si>
    <t>Pub Str &amp; Hwy</t>
  </si>
  <si>
    <t>Interdepartmental Rev</t>
  </si>
  <si>
    <t>1st 6 Mo. 1998</t>
  </si>
  <si>
    <t>1st 6 Mo. 1999</t>
  </si>
  <si>
    <t>RDI Gas Rev</t>
  </si>
  <si>
    <t>Fudge Factor</t>
  </si>
  <si>
    <t>RDI total Electric rev</t>
  </si>
  <si>
    <t>Preferred Stock buy back</t>
  </si>
  <si>
    <t>Net Income to Common</t>
  </si>
  <si>
    <t>LGE ENERGY</t>
  </si>
  <si>
    <t>LGE</t>
  </si>
  <si>
    <t>CG&amp;E Gas</t>
  </si>
  <si>
    <t>PSI</t>
  </si>
  <si>
    <t>CG&amp;E Electric</t>
  </si>
  <si>
    <t>1 year debt</t>
  </si>
  <si>
    <t>CGE</t>
  </si>
  <si>
    <t>INSERVICE:</t>
  </si>
  <si>
    <t>ELECTRIC</t>
  </si>
  <si>
    <t>GAS</t>
  </si>
  <si>
    <t>NET PPE</t>
  </si>
  <si>
    <t>TOTAL</t>
  </si>
  <si>
    <t>Miami Fort Station (Units 5&amp;6)</t>
  </si>
  <si>
    <t>Miami Fort Station (Units 7&amp;8)</t>
  </si>
  <si>
    <t>W.C. Beckjord Station (Units 1-5)</t>
  </si>
  <si>
    <t>W.C. Beckjord Station (Unit 6)</t>
  </si>
  <si>
    <t>J.M. Stuart Station</t>
  </si>
  <si>
    <t>Killen Station</t>
  </si>
  <si>
    <t>Conesville Station</t>
  </si>
  <si>
    <t>William H. Zimmer Generating Station</t>
  </si>
  <si>
    <t>East Bend Station</t>
  </si>
  <si>
    <t>Gibson Generating Station (Units 1-4)</t>
  </si>
  <si>
    <t>Wabash River Station</t>
  </si>
  <si>
    <t>Cayuga Station</t>
  </si>
  <si>
    <t>R.A. Gallagher Station</t>
  </si>
  <si>
    <t>Edwardsport Station</t>
  </si>
  <si>
    <t>Noblesville Station</t>
  </si>
  <si>
    <t>Wabash River Coal Gasification Project</t>
  </si>
  <si>
    <t>Markland Generating Station</t>
  </si>
  <si>
    <t>Water</t>
  </si>
  <si>
    <t>Dicks Creek Station</t>
  </si>
  <si>
    <t>Woodsdale Generating Station</t>
  </si>
  <si>
    <t>Cayuga Combustion Turbine</t>
  </si>
  <si>
    <t>Miami Fort Gas Turbine Station</t>
  </si>
  <si>
    <t>Oil</t>
  </si>
  <si>
    <t>W.C. Beckjord Gas Turbine Station</t>
  </si>
  <si>
    <t>Connersville Peaking Station</t>
  </si>
  <si>
    <t>Miami-Wabash Peaking Station</t>
  </si>
  <si>
    <t>Cayuga Peaking Units</t>
  </si>
  <si>
    <t>Wabash River Peaking Units</t>
  </si>
  <si>
    <t>CGE GAS</t>
  </si>
  <si>
    <t>Type</t>
  </si>
  <si>
    <t>Steam Units:</t>
  </si>
  <si>
    <t>Combustion Turbines:</t>
  </si>
  <si>
    <t>CG&amp;E Generation Assets</t>
  </si>
  <si>
    <t>PSI Generation Assets</t>
  </si>
  <si>
    <t>TRANSMISSION &amp; DISTRIBUTION</t>
  </si>
  <si>
    <t>CINERGY</t>
  </si>
  <si>
    <t>TRANSMISSION</t>
  </si>
  <si>
    <t>DISTRIBUTION</t>
  </si>
  <si>
    <t xml:space="preserve">SUBSTATION </t>
  </si>
  <si>
    <t>(CIRCUIT MILES)</t>
  </si>
  <si>
    <t>TOTAL PPE</t>
  </si>
  <si>
    <t>TRANSMISSION AND DISTRIBUTION</t>
  </si>
  <si>
    <t>* GAS VALUES ARE FROM 1997</t>
  </si>
  <si>
    <t>TOTAL PLANT INSERVICE</t>
  </si>
  <si>
    <t>DEPRECIATION</t>
  </si>
  <si>
    <t>9/15/99 - N. Y. announced it would sue owners of 17 midwest coal plants including Cinergy's 950 MW Beckjord</t>
  </si>
  <si>
    <t>7/30/1999 - Cinergy declares force majure on a number of power contracts</t>
  </si>
  <si>
    <t xml:space="preserve">8/10/1999 - Cinergy revealed that the July Heat wave will cost the company $73 million </t>
  </si>
  <si>
    <t>7/6/1999 - OH governor signs Electricity Deregulation Bill</t>
  </si>
  <si>
    <t>6/23/1999 - Cinergy announces it will buy remainder of Dynegy's coal gasification contract for $250 million</t>
  </si>
  <si>
    <t>3/4/1999 - OH PUC orders utilities to file their Summer 1999 plans to prevent capacity deficiency</t>
  </si>
  <si>
    <t>1/6/1999 - Cinergy announces it will form a joint venture with Lattice comm to use existing transmission towers as communication antennas</t>
  </si>
  <si>
    <t>notes pay</t>
  </si>
  <si>
    <t>Energy East</t>
  </si>
  <si>
    <t>Indiana Energy</t>
  </si>
  <si>
    <t>ULH&amp;P</t>
  </si>
  <si>
    <t>8/11/99 - Company announces it will review strategic alternatives including the sale of the geration and supply assets, as well as the power marketing arm</t>
  </si>
  <si>
    <t>7/7/1999 - Cinergy announces it will sell its 50% stake in Midlands Electric, a British utility for $670 million; proceeds to be used to repay debt</t>
  </si>
  <si>
    <t>COMB KVa</t>
  </si>
  <si>
    <t>Tax effect of selling T &amp; D</t>
  </si>
  <si>
    <t>Total PPE T&amp;D</t>
  </si>
  <si>
    <t>basis</t>
  </si>
  <si>
    <t>Cap Gain</t>
  </si>
  <si>
    <t>per share</t>
  </si>
  <si>
    <t>Sell for:</t>
  </si>
  <si>
    <t>Comparable Trading</t>
  </si>
  <si>
    <t>Comparable Corporate Transactions</t>
  </si>
  <si>
    <t>Estimated Tax Basis</t>
  </si>
  <si>
    <t>Effective Tax Rate</t>
  </si>
  <si>
    <t>Tax vs. Book Difference</t>
  </si>
  <si>
    <t>Net Book PP&amp;E</t>
  </si>
  <si>
    <t>.35 tax</t>
  </si>
  <si>
    <t>Business Segments Asset Value</t>
  </si>
  <si>
    <t>Generation DCF Summary</t>
  </si>
  <si>
    <t>Firm Value</t>
  </si>
  <si>
    <t>All units</t>
  </si>
  <si>
    <t>Generation</t>
  </si>
  <si>
    <t>Generation PSI (1)</t>
  </si>
  <si>
    <t>Total Book PPE</t>
  </si>
  <si>
    <t>Total Depreciation</t>
  </si>
  <si>
    <t>(w/ 7.5% to 9.5% WACC and 7.0x to 9.0x terminal EBITDA)</t>
  </si>
  <si>
    <t>Generation DCF Assumptions</t>
  </si>
  <si>
    <t>CapEx</t>
  </si>
  <si>
    <t>CapEx Growth Rate</t>
  </si>
  <si>
    <t>Energy Pricing</t>
  </si>
  <si>
    <t>Energy Price growth rate</t>
  </si>
  <si>
    <t>Weighted average capacity factor</t>
  </si>
  <si>
    <t>Fuel Expense Growth Rate</t>
  </si>
  <si>
    <t>Non-Fuel O&amp;M expense</t>
  </si>
  <si>
    <t>Terminal convention</t>
  </si>
  <si>
    <t>WACC</t>
  </si>
  <si>
    <t>7.5% to 9.5%</t>
  </si>
  <si>
    <t>$ in Million except Energy Price and Generation</t>
  </si>
  <si>
    <t>Revenues</t>
  </si>
  <si>
    <t>Energy Price</t>
  </si>
  <si>
    <t xml:space="preserve">  Total Revenues</t>
  </si>
  <si>
    <t>Expenses</t>
  </si>
  <si>
    <t>Fuel Expense</t>
  </si>
  <si>
    <t>Non-fuel Expense</t>
  </si>
  <si>
    <t xml:space="preserve">  Total Expenses</t>
  </si>
  <si>
    <t>Capital Expenditures</t>
  </si>
  <si>
    <t>Pretax Free Cash flow</t>
  </si>
  <si>
    <t xml:space="preserve">   Unlevered Free Cash Flow</t>
  </si>
  <si>
    <t xml:space="preserve">Tax </t>
  </si>
  <si>
    <t>Terminal EBITDA Multiple Range</t>
  </si>
  <si>
    <t>12/31/98</t>
  </si>
  <si>
    <t>Operating Revenues</t>
  </si>
  <si>
    <t xml:space="preserve">               Electric</t>
  </si>
  <si>
    <t xml:space="preserve">               Gas</t>
  </si>
  <si>
    <t xml:space="preserve">               Other</t>
  </si>
  <si>
    <t xml:space="preserve">               Fuel and purchased and exchanged power</t>
  </si>
  <si>
    <t xml:space="preserve">               Gas purchased</t>
  </si>
  <si>
    <t xml:space="preserve">               Other operation and maintenance</t>
  </si>
  <si>
    <t xml:space="preserve">               Depreciation and amortization</t>
  </si>
  <si>
    <t xml:space="preserve">               Taxes other than income taxes</t>
  </si>
  <si>
    <t>Operating Income</t>
  </si>
  <si>
    <t xml:space="preserve">          Equity in Earnings of Unconsolidated Subsidiaries</t>
  </si>
  <si>
    <t xml:space="preserve">          Other Income and (Expenses) - Net</t>
  </si>
  <si>
    <t xml:space="preserve">          Interest</t>
  </si>
  <si>
    <t xml:space="preserve">          Preferred Dividend Requirements of Subsidiaries</t>
  </si>
  <si>
    <t xml:space="preserve">     Current Assets</t>
  </si>
  <si>
    <t xml:space="preserve">          Cash and temporary cash investments</t>
  </si>
  <si>
    <t xml:space="preserve">          Restricted deposits</t>
  </si>
  <si>
    <t xml:space="preserve">          Prepayments and other</t>
  </si>
  <si>
    <t xml:space="preserve">               Common</t>
  </si>
  <si>
    <t xml:space="preserve">          Accumulated depreciation</t>
  </si>
  <si>
    <t xml:space="preserve">               Construction work in progress</t>
  </si>
  <si>
    <t xml:space="preserve">     Total utility plant</t>
  </si>
  <si>
    <t xml:space="preserve">     Other Assets</t>
  </si>
  <si>
    <t xml:space="preserve">          Other</t>
  </si>
  <si>
    <t xml:space="preserve">          Current Liabilities</t>
  </si>
  <si>
    <t xml:space="preserve">               Accounts payable</t>
  </si>
  <si>
    <t xml:space="preserve">               Accrued taxes</t>
  </si>
  <si>
    <t xml:space="preserve">               Accrued interest</t>
  </si>
  <si>
    <t xml:space="preserve">          Non-Current Liabilities</t>
  </si>
  <si>
    <t xml:space="preserve">               Unamortized investment tax credits</t>
  </si>
  <si>
    <t xml:space="preserve">     Total liabilities</t>
  </si>
  <si>
    <t xml:space="preserve">          Paid-in capital</t>
  </si>
  <si>
    <t xml:space="preserve">          Retained earnings</t>
  </si>
  <si>
    <t xml:space="preserve">          Accumulated other comprehensive loss</t>
  </si>
  <si>
    <t>Total common stock equity</t>
  </si>
  <si>
    <t>Income (Loss) Before Taxes</t>
  </si>
  <si>
    <t xml:space="preserve">          Income Taxes</t>
  </si>
  <si>
    <t>Earnings Per Common Share</t>
  </si>
  <si>
    <t>Basic</t>
  </si>
  <si>
    <t>Assuming dilution</t>
  </si>
  <si>
    <t>Dividends Declared Per Common Share</t>
  </si>
  <si>
    <t>Average Common Shares Outstanding</t>
  </si>
  <si>
    <t>Common stock options</t>
  </si>
  <si>
    <t>Contingently issuable common stock</t>
  </si>
  <si>
    <t xml:space="preserve">          Energy risk management assets</t>
  </si>
  <si>
    <t xml:space="preserve">          Regulatory assets</t>
  </si>
  <si>
    <t xml:space="preserve">          Investments in unconsolidated subsidiaries</t>
  </si>
  <si>
    <t xml:space="preserve">               Notes payable and other short-term obligations</t>
  </si>
  <si>
    <t xml:space="preserve">               Long-term debt due within one year</t>
  </si>
  <si>
    <t xml:space="preserve">               Energy risk management liabilities</t>
  </si>
  <si>
    <t xml:space="preserve">               Long-term debt</t>
  </si>
  <si>
    <t xml:space="preserve">               Deferred income taxes</t>
  </si>
  <si>
    <t xml:space="preserve">               Accrued pension and other postretirement benefit costs</t>
  </si>
  <si>
    <t xml:space="preserve">     Common Stock Equity</t>
  </si>
  <si>
    <t>INCOME STATEMENT</t>
  </si>
  <si>
    <t>BALANCE SHEET</t>
  </si>
  <si>
    <t>Long-term debt</t>
  </si>
  <si>
    <t>Notes payable and other short-term obligations</t>
  </si>
  <si>
    <t>Long-term debt due within one year</t>
  </si>
  <si>
    <t>In millions Except Per Share Amounts</t>
  </si>
  <si>
    <t>Prefered Stock</t>
  </si>
  <si>
    <t>Total Debt + Preferred</t>
  </si>
  <si>
    <t>As a multiple of:</t>
  </si>
  <si>
    <t>Values</t>
  </si>
  <si>
    <t>Retail</t>
  </si>
  <si>
    <t>Book Value</t>
  </si>
  <si>
    <t>Trading Comp Evaluation</t>
  </si>
  <si>
    <t>Cinergy Consolidated Summary</t>
  </si>
  <si>
    <t>Company</t>
  </si>
  <si>
    <t>Allegheny(AYE)</t>
  </si>
  <si>
    <t>Book</t>
  </si>
  <si>
    <t>Yield</t>
  </si>
  <si>
    <t>Payout</t>
  </si>
  <si>
    <t>ROE</t>
  </si>
  <si>
    <t>5-Year</t>
  </si>
  <si>
    <t>3-Year</t>
  </si>
  <si>
    <t>Hist EPS</t>
  </si>
  <si>
    <t>Ameren (AEE)</t>
  </si>
  <si>
    <t>Constellation Energy (CEG)</t>
  </si>
  <si>
    <t>DPL Inc. (DPL)</t>
  </si>
  <si>
    <t>DTE Energy Company (DTE)</t>
  </si>
  <si>
    <t>LG&amp;E Energy (LGE)</t>
  </si>
  <si>
    <t>PP&amp;L Resources (PPL)</t>
  </si>
  <si>
    <t>Wisconsin Energy Corporation (WEC)</t>
  </si>
  <si>
    <t>NA</t>
  </si>
  <si>
    <t>NM</t>
  </si>
  <si>
    <t>Stock</t>
  </si>
  <si>
    <t>Equity</t>
  </si>
  <si>
    <t>Firm</t>
  </si>
  <si>
    <t>High</t>
  </si>
  <si>
    <t>Low</t>
  </si>
  <si>
    <t xml:space="preserve">Firm </t>
  </si>
  <si>
    <t>FY+1</t>
  </si>
  <si>
    <t>FY+2</t>
  </si>
  <si>
    <t>Customer</t>
  </si>
  <si>
    <t xml:space="preserve">Net </t>
  </si>
  <si>
    <t>Premium/Mkt Price</t>
  </si>
  <si>
    <t>1-day</t>
  </si>
  <si>
    <t xml:space="preserve">5-day </t>
  </si>
  <si>
    <t>1-month</t>
  </si>
  <si>
    <t>Target/</t>
  </si>
  <si>
    <t>Acquirer</t>
  </si>
  <si>
    <t>Date</t>
  </si>
  <si>
    <t>Announced/</t>
  </si>
  <si>
    <t>(Completed)</t>
  </si>
  <si>
    <t>Cogeneration Corp. of America/</t>
  </si>
  <si>
    <t>(Pending)</t>
  </si>
  <si>
    <t>Calpine Corp.</t>
  </si>
  <si>
    <t>Florida Progress/</t>
  </si>
  <si>
    <t>Carolina Power &amp; Light</t>
  </si>
  <si>
    <t>CMP Group/</t>
  </si>
  <si>
    <t>Illinova/</t>
  </si>
  <si>
    <t>Dynegy</t>
  </si>
  <si>
    <t>SIGCORP/</t>
  </si>
  <si>
    <t>12/31/97</t>
  </si>
  <si>
    <t>12/31/96</t>
  </si>
  <si>
    <t>Net Income (Loss) before extraordinary</t>
  </si>
  <si>
    <t>Extraordinary Item</t>
  </si>
  <si>
    <t>Less cost of reacquisition of pref. Stock of sub.</t>
  </si>
  <si>
    <t>Earnings</t>
  </si>
  <si>
    <t>Net Income before extraordinary</t>
  </si>
  <si>
    <t>Additional Extraordinary</t>
  </si>
  <si>
    <t>Pretax Extraordinary Expense</t>
  </si>
  <si>
    <t>.</t>
  </si>
  <si>
    <t>12/31/99</t>
  </si>
  <si>
    <t>12/31/00</t>
  </si>
  <si>
    <t>12/31/01</t>
  </si>
  <si>
    <t>*Assumes Tax rate of:</t>
  </si>
  <si>
    <t>*Forecasts come from first call estimate of earnings</t>
  </si>
  <si>
    <t>Trading Comps for IOUs</t>
  </si>
  <si>
    <t>Price/Net Income</t>
  </si>
  <si>
    <t>Firm Value/EBITDA</t>
  </si>
  <si>
    <t>Transaction Comps for IOUs</t>
  </si>
  <si>
    <t>Net Debt:</t>
  </si>
  <si>
    <t>Reference Range:</t>
  </si>
  <si>
    <t>Transaction Comps for LDCs</t>
  </si>
  <si>
    <t>1999E (1)</t>
  </si>
  <si>
    <t>1999E (2)</t>
  </si>
  <si>
    <t>(2) Net income estimates are from first call EPS consensus</t>
  </si>
  <si>
    <t>(1) EBITDA forecasts are modeled back from firstcall EPS consensus</t>
  </si>
  <si>
    <t>LTM (1)</t>
  </si>
  <si>
    <t>(1) From the 10-K and 10-Q</t>
  </si>
  <si>
    <t>1999 (2)</t>
  </si>
  <si>
    <t>2000 (2)</t>
  </si>
  <si>
    <t>2000E (2)</t>
  </si>
  <si>
    <t>(2) Source: 10-K and 10-Q</t>
  </si>
  <si>
    <t>(1) 10-K</t>
  </si>
  <si>
    <t>(2) 10-K and 10-Q</t>
  </si>
  <si>
    <t>Precedent Electric M&amp;A Transactions</t>
  </si>
  <si>
    <t>Midwest</t>
  </si>
  <si>
    <t>Deal</t>
  </si>
  <si>
    <t>Price $/kw</t>
  </si>
  <si>
    <t>Production $/MW</t>
  </si>
  <si>
    <t>Cap Factor</t>
  </si>
  <si>
    <t>SO2 LBS/MWH</t>
  </si>
  <si>
    <t>NOX LBS/MWH</t>
  </si>
  <si>
    <t>ADJ SO2+NOX</t>
  </si>
  <si>
    <t>ADJ NO.</t>
  </si>
  <si>
    <t>Northeast</t>
  </si>
  <si>
    <t>SO2 Price Assumption $/Ton</t>
  </si>
  <si>
    <t>NOX Price Assumption $/Ton</t>
  </si>
  <si>
    <t>Duquesne Deal</t>
  </si>
  <si>
    <t>Big Cajun: Cajun to Louisiana Gen</t>
  </si>
  <si>
    <t>Unicom Deal to Edison Mission</t>
  </si>
  <si>
    <t>KINCAID STATION</t>
  </si>
  <si>
    <t>Stateline</t>
  </si>
  <si>
    <t>NORTHEAST UTILITIES TO NRG</t>
  </si>
  <si>
    <t>PP&amp;L RESOURCES TO WPS POWER DEVEL</t>
  </si>
  <si>
    <t>NIMO/RGE TO NRG</t>
  </si>
  <si>
    <t>CONED TO ORION</t>
  </si>
  <si>
    <t>CONED TO NRG</t>
  </si>
  <si>
    <t>CONED TO KEYSPAN</t>
  </si>
  <si>
    <t>NIMO TO NRG</t>
  </si>
  <si>
    <t>SOUTHERN PURCHASE OF CONED/O&amp;R PLANTS</t>
  </si>
  <si>
    <t>GPU DEAL WITH SITHE</t>
  </si>
  <si>
    <t>Homer City to Edison Mission</t>
  </si>
  <si>
    <t>Canal #2 Eastern Utilities to Southern</t>
  </si>
  <si>
    <t>LG&amp;E Trading Comparables</t>
  </si>
  <si>
    <t>T&amp;D</t>
  </si>
  <si>
    <t>Tax Implications (3)</t>
  </si>
  <si>
    <t>(3) Tax implications involve selling everyting but the genco as assets, and selling the genco as a company</t>
  </si>
  <si>
    <t>/MWh. (year 2000)</t>
  </si>
  <si>
    <t>/per annum</t>
  </si>
  <si>
    <t>million per annum</t>
  </si>
  <si>
    <t>/ per annum</t>
  </si>
  <si>
    <t xml:space="preserve"> </t>
  </si>
  <si>
    <t>N/A</t>
  </si>
  <si>
    <t xml:space="preserve">Implied Multiples </t>
  </si>
  <si>
    <t>Premium Paid Over Market Price</t>
  </si>
  <si>
    <t>Data</t>
  </si>
  <si>
    <t>Equity Market Value</t>
  </si>
  <si>
    <t>Company Data</t>
  </si>
  <si>
    <t xml:space="preserve">Entity Shares outstanding </t>
  </si>
  <si>
    <t>Entity share price as of close</t>
  </si>
  <si>
    <t>Enron Share Price as of close</t>
  </si>
  <si>
    <t>Market Capitalization ($MMs)</t>
  </si>
  <si>
    <t>plus Equity Purchase Premium</t>
  </si>
  <si>
    <t>Equity Market Cap with Premium</t>
  </si>
  <si>
    <t>Total Enterprise Value</t>
  </si>
  <si>
    <t>Enron Shares Issued (MM)</t>
  </si>
  <si>
    <t>Current Outstanding ENE Shares</t>
  </si>
  <si>
    <t>% of Shares Outstanding</t>
  </si>
  <si>
    <t>Accretion/Dilution Analysis</t>
  </si>
  <si>
    <t>Funding</t>
  </si>
  <si>
    <t>Enron Net Income</t>
  </si>
  <si>
    <t>Entity Net Income  (Adjusted)</t>
  </si>
  <si>
    <t>Combined Net Income</t>
  </si>
  <si>
    <t>Goodwill Calculation</t>
  </si>
  <si>
    <t>Old Enron shares</t>
  </si>
  <si>
    <t>New Enron shares</t>
  </si>
  <si>
    <t>Purchase Price of Equity</t>
  </si>
  <si>
    <t>Post Transaction shares</t>
  </si>
  <si>
    <t>Net Book Value</t>
  </si>
  <si>
    <t>Goodwill</t>
  </si>
  <si>
    <t>Amortized Life (years)</t>
  </si>
  <si>
    <t>Forecast Enron EPS</t>
  </si>
  <si>
    <t>Goodwill Amortization Per Year</t>
  </si>
  <si>
    <t xml:space="preserve">Accretion / (Dilution) </t>
  </si>
  <si>
    <t>Fully Diluted</t>
  </si>
  <si>
    <t>CONSOLIDATED</t>
  </si>
  <si>
    <t xml:space="preserve">% of </t>
  </si>
  <si>
    <t>(In $millions)</t>
  </si>
  <si>
    <t>9 mo 99</t>
  </si>
  <si>
    <t>9 mo 98</t>
  </si>
  <si>
    <t>*Data from DLJ report dated 11/19/99</t>
  </si>
  <si>
    <t>In Thousands For Period Ended Sep 30, 1999</t>
  </si>
  <si>
    <t>09/30/99</t>
  </si>
  <si>
    <t xml:space="preserve">          Notes receivable</t>
  </si>
  <si>
    <t xml:space="preserve">          Accounts receivable less accumulated provision for doubtful accounts of $31,057 at September 30, 1999, and $25,622 at December 31, 1998</t>
  </si>
  <si>
    <t xml:space="preserve">          Materials, supplies, and fuel--at average cost</t>
  </si>
  <si>
    <t xml:space="preserve">     Utility Plant--Original Cost</t>
  </si>
  <si>
    <t xml:space="preserve">          In service</t>
  </si>
  <si>
    <t xml:space="preserve">     Cumulative Preferred Stock of</t>
  </si>
  <si>
    <t xml:space="preserve">     Subsidiaries</t>
  </si>
  <si>
    <t xml:space="preserve">     Not subject to mandatory redemption</t>
  </si>
  <si>
    <t xml:space="preserve">          Common stock--$.01 par value; authorized shares--600,000,000; outstanding shares--158,917,210 at September 30, 1999, and 158,664,532 at December 31, 1998</t>
  </si>
  <si>
    <t>1st 9 Mo. 1999</t>
  </si>
  <si>
    <t>Valuation Premium/(Discount)</t>
  </si>
  <si>
    <t>(US$mm)</t>
  </si>
  <si>
    <t>Equity Value Range</t>
  </si>
  <si>
    <t>------</t>
  </si>
  <si>
    <t xml:space="preserve">    Enterprise Value</t>
  </si>
  <si>
    <t>Current Price</t>
  </si>
  <si>
    <t>Others</t>
  </si>
  <si>
    <t>Consolidated</t>
  </si>
  <si>
    <t>CALCULATION OF NET DEBT  (10K)</t>
  </si>
  <si>
    <t>CG&amp;E</t>
  </si>
  <si>
    <t>PSI Energy</t>
  </si>
  <si>
    <t>UL,H&amp;P</t>
  </si>
  <si>
    <t>Accretion/Dillution Analysis</t>
  </si>
  <si>
    <t>($'s in millions except per share)</t>
  </si>
  <si>
    <t>Entity Net Income</t>
  </si>
  <si>
    <t>Goodwill amortation</t>
  </si>
  <si>
    <t xml:space="preserve">Accretion/Dillution </t>
  </si>
  <si>
    <r>
      <t xml:space="preserve">Combined EPS - </t>
    </r>
    <r>
      <rPr>
        <sz val="8"/>
        <rFont val="Arial"/>
        <family val="2"/>
      </rPr>
      <t>assum 30% premium over market</t>
    </r>
  </si>
  <si>
    <t xml:space="preserve">NET </t>
  </si>
  <si>
    <t>Total (1+2)</t>
  </si>
  <si>
    <t>Gas/Oil</t>
  </si>
  <si>
    <t>Holding Level</t>
  </si>
  <si>
    <t>Total CG&amp;E</t>
  </si>
  <si>
    <t>CG&amp;E Electric TD</t>
  </si>
  <si>
    <t>Total PSI</t>
  </si>
  <si>
    <t>PSI Electric TD</t>
  </si>
  <si>
    <t>*Information from Powerdat</t>
  </si>
  <si>
    <t>TOTAL PPE*</t>
  </si>
  <si>
    <t>Current Stock Price of Target</t>
  </si>
  <si>
    <t>Current Stock Price of ENE</t>
  </si>
  <si>
    <t>Target ENE Debt/Equity</t>
  </si>
  <si>
    <t xml:space="preserve">     Effect of change in Debt</t>
  </si>
  <si>
    <t>Change in Debt</t>
  </si>
  <si>
    <t>CIN</t>
  </si>
  <si>
    <t>Accretive (Dilutive) to Enron EPS By (1):</t>
  </si>
  <si>
    <t>Year</t>
  </si>
  <si>
    <t>Acquire Cinergy</t>
  </si>
  <si>
    <t>Acquisition Cost</t>
  </si>
  <si>
    <t>2 Year Historical Average Price</t>
  </si>
  <si>
    <t>A/T Value To Shareholders</t>
  </si>
  <si>
    <t>Taxes Due</t>
  </si>
  <si>
    <t>Tax Gain</t>
  </si>
  <si>
    <t>A/T Proceeds To ENE</t>
  </si>
  <si>
    <t>1. Acquire Cinergy</t>
  </si>
  <si>
    <t>Vanguard/Wellington Fund Inc.</t>
  </si>
  <si>
    <t xml:space="preserve"> Prudential Utility Fund, Inc.</t>
  </si>
  <si>
    <t xml:space="preserve"> Scudder Growth and Income Fund</t>
  </si>
  <si>
    <t xml:space="preserve"> Franklin Custodian Funds (Income Series)</t>
  </si>
  <si>
    <t xml:space="preserve"> AARP Growth and Income Fund</t>
  </si>
  <si>
    <t xml:space="preserve"> College Retirement Equities Fund-Stock Account</t>
  </si>
  <si>
    <t xml:space="preserve"> Franklin Custodian Funds (Utilities Series)</t>
  </si>
  <si>
    <t xml:space="preserve"> Washington Mutual Investors Fund</t>
  </si>
  <si>
    <t xml:space="preserve"> Merrill Lynch Basic Value Fund</t>
  </si>
  <si>
    <t xml:space="preserve"> Vanguard Index 500 Fund</t>
  </si>
  <si>
    <t>Jackson H. Randolph</t>
  </si>
  <si>
    <t>James E. Rogers</t>
  </si>
  <si>
    <t>John Bryant</t>
  </si>
  <si>
    <t>Michael J. Cyrus</t>
  </si>
  <si>
    <t>William J. Grealis</t>
  </si>
  <si>
    <t>J. Joseph Hale Jr.</t>
  </si>
  <si>
    <t>M. Stephen Harkness</t>
  </si>
  <si>
    <t>Donald B. Ingle Jr.</t>
  </si>
  <si>
    <t>Jerry W. Liggett</t>
  </si>
  <si>
    <t>Madeleine W. Ludlow</t>
  </si>
  <si>
    <t xml:space="preserve"> William L. Sheafer</t>
  </si>
  <si>
    <t>John P. Steffen</t>
  </si>
  <si>
    <t>Larry E. Thomas</t>
  </si>
  <si>
    <t>Charles J. Winger</t>
  </si>
  <si>
    <t>James L. Turner</t>
  </si>
  <si>
    <t>Vicki A. Bailey</t>
  </si>
  <si>
    <t>Cheryl M.Foley</t>
  </si>
  <si>
    <t>Chairman</t>
  </si>
  <si>
    <t xml:space="preserve">VC, President, and CEO </t>
  </si>
  <si>
    <t>VP; Managing Director, Cinergy Global Power Services</t>
  </si>
  <si>
    <t xml:space="preserve">VP; COO, Energy Commodities Business Unit </t>
  </si>
  <si>
    <t xml:space="preserve">VP, Secretary, and General Counsel; President, International Business Unit </t>
  </si>
  <si>
    <t>VP Corporate Communications; President, Cinergy Foundation</t>
  </si>
  <si>
    <t>VP; EVP and COO, Trigen-Cinergy Solutions</t>
  </si>
  <si>
    <t xml:space="preserve">VP; President, Energy Services Business Unit </t>
  </si>
  <si>
    <t xml:space="preserve">VP Human Resources Strategy </t>
  </si>
  <si>
    <t>VP and Treasurer</t>
  </si>
  <si>
    <t xml:space="preserve">VP and Controller </t>
  </si>
  <si>
    <t xml:space="preserve">VP; President, Energy Delivery Business Unit </t>
  </si>
  <si>
    <t>VP and CFO</t>
  </si>
  <si>
    <t>President, Cincinnati Gas &amp; Electric</t>
  </si>
  <si>
    <t xml:space="preserve">President, PSI Energy </t>
  </si>
  <si>
    <t xml:space="preserve">TOP 10 INSTITUTIONAL HOLDER          </t>
  </si>
  <si>
    <t>MANAGEMENT TEAM</t>
  </si>
  <si>
    <t>POSITION</t>
  </si>
  <si>
    <t>Week Ending</t>
  </si>
  <si>
    <t>DJ Utilities</t>
  </si>
  <si>
    <t>MANAGEMENT TEAM &amp; TOP HOLDERS</t>
  </si>
  <si>
    <t>VP Corporate Services and Chief Strategic Officer; President, Cinergy Investments</t>
  </si>
  <si>
    <t>SHARES (MM)</t>
  </si>
  <si>
    <t>VALUE ($MM)</t>
  </si>
  <si>
    <t xml:space="preserve">Scudder Kemper Invts, Inc. </t>
  </si>
  <si>
    <t xml:space="preserve">Sanford C.Bernstein (Asset Mg) </t>
  </si>
  <si>
    <t>Franklin Resources, Inc.</t>
  </si>
  <si>
    <t>Barclays Bank Plc</t>
  </si>
  <si>
    <t>Capital Research &amp; Mgmt Co</t>
  </si>
  <si>
    <t>First Union Corporation</t>
  </si>
  <si>
    <t>Merrill Lynch Asset Mgmt Inc</t>
  </si>
  <si>
    <t>United States Trust Co of NY</t>
  </si>
  <si>
    <t>Prudential Insurance Co of America</t>
  </si>
  <si>
    <t>Wellington Management Co</t>
  </si>
  <si>
    <t>Income Statement Data</t>
  </si>
  <si>
    <t>(In millions)</t>
  </si>
  <si>
    <t>Market Data</t>
  </si>
  <si>
    <t>LTM Low-High Stock Price</t>
  </si>
  <si>
    <t>Interest Expense</t>
  </si>
  <si>
    <t>Book Value Per Share</t>
  </si>
  <si>
    <t>Projected 5 year EPS CAGR</t>
  </si>
  <si>
    <t>Shares Outstanding (Basic)</t>
  </si>
  <si>
    <t>Dividend Yield</t>
  </si>
  <si>
    <t>Shares Outstanding (Fully Diluted)</t>
  </si>
  <si>
    <t>Basic EPS</t>
  </si>
  <si>
    <t>Net Debt and Preferred</t>
  </si>
  <si>
    <t>Diluted EPS</t>
  </si>
  <si>
    <t>2000E EPS Multiple</t>
  </si>
  <si>
    <t>2000E EBITDA Multiple</t>
  </si>
  <si>
    <t>SUMMARY FINANCIAL DATA</t>
  </si>
  <si>
    <t xml:space="preserve">SUMMARY VALUATION </t>
  </si>
  <si>
    <t>SEGMENT ASSET VALUATION</t>
  </si>
  <si>
    <t>Source: 10Q dated 09/30/99</t>
  </si>
  <si>
    <t>*For nine months</t>
  </si>
  <si>
    <t>Ownership</t>
  </si>
  <si>
    <t>GENERATION OVERVIEW</t>
  </si>
  <si>
    <t>PROJECT RATIONALE</t>
  </si>
  <si>
    <t>Sum of the parts analysis indicates material undervaluation.</t>
  </si>
  <si>
    <t>Ohio generation can move into Chicago and NE markets.</t>
  </si>
  <si>
    <t>Potential reservoir storage development</t>
  </si>
  <si>
    <t>PROS</t>
  </si>
  <si>
    <t>CONS</t>
  </si>
  <si>
    <t>Forecast $500-$700 mm expenditure to conform with potential EPA guidelines.</t>
  </si>
  <si>
    <t>Ohio deregulation not effective until 1/1/01, structure of deregulation is unclear.</t>
  </si>
  <si>
    <t>Realizing value is hindered by taxes, unresolved stranded cost treatment, and undefined PUC deregulation plan.</t>
  </si>
  <si>
    <t>Transaction Steps</t>
  </si>
  <si>
    <t>Gibson Generating Station</t>
  </si>
  <si>
    <t>Commodity Trading &amp; Processing</t>
  </si>
  <si>
    <t xml:space="preserve">Industrial </t>
  </si>
  <si>
    <t>Financial</t>
  </si>
  <si>
    <t>Corporate and discontinued operations</t>
  </si>
  <si>
    <t>Segment Breakout</t>
  </si>
  <si>
    <t>Costs</t>
  </si>
  <si>
    <t>2000E*</t>
  </si>
  <si>
    <t xml:space="preserve"> (mm)</t>
  </si>
  <si>
    <t xml:space="preserve"> ($mm)</t>
  </si>
  <si>
    <t>Allocated Debt</t>
  </si>
  <si>
    <t>Total Net</t>
  </si>
  <si>
    <t>Stock Purchase</t>
  </si>
  <si>
    <t>Stock Sale</t>
  </si>
  <si>
    <t>338 (h)(10) election</t>
  </si>
  <si>
    <t>Asset Sale</t>
  </si>
  <si>
    <t>Total Tax Paid by ENE</t>
  </si>
  <si>
    <t>Net Gain (Loss) to ENE</t>
  </si>
  <si>
    <t>Selected</t>
  </si>
  <si>
    <t>MIN</t>
  </si>
  <si>
    <t>MAX</t>
  </si>
  <si>
    <t>Assumptions</t>
  </si>
  <si>
    <t>Acquisition Premium</t>
  </si>
  <si>
    <t>Acquisition Cost per share</t>
  </si>
  <si>
    <t>Debt is allocated on the basis of enterprise value of a segment</t>
  </si>
  <si>
    <t>Minimum Value based on Average of 9X EBITDA &amp; 19X NI</t>
  </si>
  <si>
    <t>Maximum vaule based on average of 10X EBITDA &amp; 20 times NI</t>
  </si>
  <si>
    <t>Minimum value of $600/MW for coal and $150/MW for oil/gas</t>
  </si>
  <si>
    <t>Maximum value of $800/MW for coal and $250/MW for oil/gas</t>
  </si>
  <si>
    <t>Cost of acquiring the assets</t>
  </si>
  <si>
    <t>Transaction costs</t>
  </si>
  <si>
    <t>Other Issues:</t>
  </si>
  <si>
    <t>The environmental costs have been ignored</t>
  </si>
  <si>
    <t>Notes:</t>
  </si>
  <si>
    <t>No synergies have been assumed</t>
  </si>
  <si>
    <t>$mm</t>
  </si>
  <si>
    <t>Debt Associated (1)</t>
  </si>
  <si>
    <t>Market Value (Enterprise Value) of the assets</t>
  </si>
  <si>
    <t>Based on deferred tax data from 10K allocated on the basis of PP&amp;E data from 10K and Powerdat.</t>
  </si>
  <si>
    <t>DLJ research report dated Nov 9, 1999.</t>
  </si>
  <si>
    <t>FULL BREAK UP ANALYSIS</t>
  </si>
  <si>
    <t xml:space="preserve">Minimum value of 1.1 times Net PP&amp;E </t>
  </si>
  <si>
    <t>Maximum of 1.2 times Net PP&amp;E</t>
  </si>
  <si>
    <t>Asset Tax Basis (2)</t>
  </si>
  <si>
    <t>There is a regulatory risk inherent in this transaction</t>
  </si>
  <si>
    <t>Financial Advisor and Legal Fees</t>
  </si>
  <si>
    <t>%</t>
  </si>
  <si>
    <t>Top 10 Institutional Holders</t>
  </si>
  <si>
    <t>I</t>
  </si>
  <si>
    <t>P</t>
  </si>
  <si>
    <t>B</t>
  </si>
  <si>
    <t>Base Load</t>
  </si>
  <si>
    <t>Coal (MW)</t>
  </si>
  <si>
    <t>Oil/Gas (MW)</t>
  </si>
  <si>
    <t>Hydro (MW)</t>
  </si>
  <si>
    <t>Peaking/Intermediate</t>
  </si>
  <si>
    <t>RETAINED PEAKING/INTERMID GENERATION ASSETS</t>
  </si>
  <si>
    <t>EXPECTED TRANSACTION (KEEP PEAKING/INTER GENERATION ASSETS)</t>
  </si>
  <si>
    <t>Comparison of Multiples for Expected Transaction</t>
  </si>
  <si>
    <t>(US$ in millions)</t>
  </si>
  <si>
    <t xml:space="preserve">Net (Cost) of </t>
  </si>
  <si>
    <t>Criteria</t>
  </si>
  <si>
    <t>Enterprise Val.</t>
  </si>
  <si>
    <t>Retained Assets</t>
  </si>
  <si>
    <t>Stock Price @</t>
  </si>
  <si>
    <t>Acquisition Price</t>
  </si>
  <si>
    <t>Shares Outstanding (mm)</t>
  </si>
  <si>
    <t>Cash Taxes Paid</t>
  </si>
  <si>
    <t>Net Proceeds</t>
  </si>
  <si>
    <t>2000 Net Profits</t>
  </si>
  <si>
    <t>2000 EBITDA</t>
  </si>
  <si>
    <t xml:space="preserve">Book Equity  </t>
  </si>
  <si>
    <t>Enterprise Value / Net PP&amp;E</t>
  </si>
  <si>
    <t>Equity Value / Book Equity</t>
  </si>
  <si>
    <t>Price/Earnings</t>
  </si>
  <si>
    <t>Enterprise Value/KW</t>
  </si>
  <si>
    <t>Gain (Loss) on the final stock sale includes the effect of paying off the debt.</t>
  </si>
  <si>
    <t>The financial performance of the Utility was allocated to T&amp;D and Generation on tbe basis of PP&amp;E.</t>
  </si>
  <si>
    <t>The multiples in bold were used to value the assets.</t>
  </si>
  <si>
    <t>The split between Generation and T&amp;D was unavailable, thus net PP&amp;E was used to allocate EBITDA.</t>
  </si>
  <si>
    <t>Comparison of Multiples for Full Breakup Valuation</t>
  </si>
  <si>
    <t>Net Value</t>
  </si>
  <si>
    <t>to ENE</t>
  </si>
  <si>
    <t>Premium</t>
  </si>
  <si>
    <t>Implied Acquisition Multiples</t>
  </si>
  <si>
    <t>Tax Leakage</t>
  </si>
  <si>
    <r>
      <t xml:space="preserve">Net Debt </t>
    </r>
    <r>
      <rPr>
        <vertAlign val="superscript"/>
        <sz val="10"/>
        <rFont val="Times New Roman"/>
        <family val="1"/>
      </rPr>
      <t>(1)</t>
    </r>
  </si>
  <si>
    <r>
      <t>Less Tax Basis</t>
    </r>
    <r>
      <rPr>
        <vertAlign val="superscript"/>
        <sz val="10"/>
        <rFont val="Times New Roman"/>
        <family val="1"/>
      </rPr>
      <t>(2)</t>
    </r>
  </si>
  <si>
    <r>
      <t>Tax Gain (Loss)</t>
    </r>
    <r>
      <rPr>
        <vertAlign val="superscript"/>
        <sz val="10"/>
        <rFont val="Times New Roman"/>
        <family val="1"/>
      </rPr>
      <t>(3)</t>
    </r>
  </si>
  <si>
    <r>
      <t>Financial Information</t>
    </r>
    <r>
      <rPr>
        <b/>
        <u/>
        <vertAlign val="superscript"/>
        <sz val="10"/>
        <rFont val="Times New Roman"/>
        <family val="1"/>
      </rPr>
      <t>(4)(5)</t>
    </r>
  </si>
  <si>
    <r>
      <t xml:space="preserve">Net PP&amp;E </t>
    </r>
    <r>
      <rPr>
        <vertAlign val="superscript"/>
        <sz val="10"/>
        <rFont val="Times New Roman"/>
        <family val="1"/>
      </rPr>
      <t>(6)</t>
    </r>
  </si>
  <si>
    <r>
      <t xml:space="preserve">Megawatts of Generation </t>
    </r>
    <r>
      <rPr>
        <vertAlign val="superscript"/>
        <sz val="10"/>
        <rFont val="Times New Roman"/>
        <family val="1"/>
      </rPr>
      <t>(7)</t>
    </r>
  </si>
  <si>
    <r>
      <t xml:space="preserve">Implied Multiples </t>
    </r>
    <r>
      <rPr>
        <b/>
        <u/>
        <vertAlign val="superscript"/>
        <sz val="10"/>
        <rFont val="Times New Roman"/>
        <family val="1"/>
      </rPr>
      <t>(8)</t>
    </r>
  </si>
  <si>
    <r>
      <t xml:space="preserve">Enterprise Value / EBITDA </t>
    </r>
    <r>
      <rPr>
        <vertAlign val="superscript"/>
        <sz val="10"/>
        <rFont val="Times New Roman"/>
        <family val="1"/>
      </rPr>
      <t>(9)</t>
    </r>
  </si>
  <si>
    <t>Net Gain to ENE from Full Breakup Valuation</t>
  </si>
  <si>
    <t>Acqusition Premium</t>
  </si>
  <si>
    <t>Enterprise Value / EBITDA</t>
  </si>
  <si>
    <t>Net Gain to ENE</t>
  </si>
  <si>
    <t>The generation asset includes 9329MW of  baseload coal; 493MW of Coal as mid merit; 1400 MW of Oil &amp; Gas and 45MW of pump as peaking.</t>
  </si>
  <si>
    <t>BaseLoad</t>
  </si>
  <si>
    <t>Peaking</t>
  </si>
  <si>
    <t>Total Generation</t>
  </si>
  <si>
    <r>
      <t>Current Stock Price</t>
    </r>
    <r>
      <rPr>
        <b/>
        <vertAlign val="superscript"/>
        <sz val="15"/>
        <rFont val="Times New Roman"/>
        <family val="1"/>
      </rPr>
      <t>(1)</t>
    </r>
  </si>
  <si>
    <t>Premium/(Discount) to Market</t>
  </si>
  <si>
    <t>(3)  Assuming ENE capital structure is maintained and there are no synergies.</t>
  </si>
  <si>
    <t>Segment Analysis:</t>
  </si>
  <si>
    <t>Tax basis was calculated using deferred assets and was allocated between various segments according to the assets (PP&amp;E).</t>
  </si>
  <si>
    <t>of Peaking &amp;</t>
  </si>
  <si>
    <t>mid-merit</t>
  </si>
  <si>
    <t>$20.50/$34.63</t>
  </si>
  <si>
    <t>SEGMENT VALUATION -  Comparable Trading</t>
  </si>
  <si>
    <t>EBITDA (2000E)</t>
  </si>
  <si>
    <t>Net Income (2000E)</t>
  </si>
  <si>
    <t>Valuation Methodology</t>
  </si>
  <si>
    <t>(1)</t>
  </si>
  <si>
    <t>(1)  Source: Sander Morris Mundy research report dated ______.</t>
  </si>
  <si>
    <t>Corporate Analysis:</t>
  </si>
  <si>
    <t>Corporate Transactions Analysis</t>
  </si>
  <si>
    <t xml:space="preserve">CompCo </t>
  </si>
  <si>
    <r>
      <t>Multiples</t>
    </r>
    <r>
      <rPr>
        <b/>
        <vertAlign val="superscript"/>
        <sz val="10"/>
        <rFont val="Times New Roman"/>
        <family val="1"/>
      </rPr>
      <t>(4)</t>
    </r>
  </si>
  <si>
    <t>n.a.</t>
  </si>
  <si>
    <t>Comparable Companies include:  Ameren, AEP, First Energy, Illinova, LG&amp;E, NiSource, Reliant, Southern Co., Texas Utilities and Unicom.</t>
  </si>
  <si>
    <t>Comparable Asset Transactions</t>
  </si>
  <si>
    <t>(2)  Source of forecast data:  DLJ research report dated November 9, 2000.</t>
  </si>
  <si>
    <r>
      <t>1999E Enterprise Value/EBITDA</t>
    </r>
    <r>
      <rPr>
        <vertAlign val="superscript"/>
        <sz val="10"/>
        <rFont val="Times New Roman"/>
        <family val="1"/>
      </rPr>
      <t>(2)</t>
    </r>
  </si>
  <si>
    <r>
      <t>2000E Enterprise Value/EBITDA</t>
    </r>
    <r>
      <rPr>
        <vertAlign val="superscript"/>
        <sz val="10"/>
        <rFont val="Times New Roman"/>
        <family val="1"/>
      </rPr>
      <t>(2)</t>
    </r>
  </si>
  <si>
    <r>
      <t>1999E Enterprise Value/EBIT</t>
    </r>
    <r>
      <rPr>
        <vertAlign val="superscript"/>
        <sz val="10"/>
        <rFont val="Times New Roman"/>
        <family val="1"/>
      </rPr>
      <t>(2)</t>
    </r>
  </si>
  <si>
    <r>
      <t>2000E Enterprise Value/EBIT</t>
    </r>
    <r>
      <rPr>
        <vertAlign val="superscript"/>
        <sz val="10"/>
        <rFont val="Times New Roman"/>
        <family val="1"/>
      </rPr>
      <t>(2)</t>
    </r>
  </si>
  <si>
    <r>
      <t>1999E P/E</t>
    </r>
    <r>
      <rPr>
        <vertAlign val="superscript"/>
        <sz val="10"/>
        <rFont val="Times New Roman"/>
        <family val="1"/>
      </rPr>
      <t>(2)</t>
    </r>
  </si>
  <si>
    <r>
      <t>2000E P/E</t>
    </r>
    <r>
      <rPr>
        <vertAlign val="superscript"/>
        <sz val="10"/>
        <rFont val="Times New Roman"/>
        <family val="1"/>
      </rPr>
      <t>(2)</t>
    </r>
  </si>
  <si>
    <r>
      <t>1999E P/CFFO</t>
    </r>
    <r>
      <rPr>
        <vertAlign val="superscript"/>
        <sz val="10"/>
        <rFont val="Times New Roman"/>
        <family val="1"/>
      </rPr>
      <t>(2)</t>
    </r>
  </si>
  <si>
    <r>
      <t>2000E P/CFFO</t>
    </r>
    <r>
      <rPr>
        <vertAlign val="superscript"/>
        <sz val="10"/>
        <rFont val="Times New Roman"/>
        <family val="1"/>
      </rPr>
      <t>(2)</t>
    </r>
  </si>
  <si>
    <t>1999A Price/Book Value</t>
  </si>
  <si>
    <t>Comparable Transaction Analysis</t>
  </si>
  <si>
    <t>Selected Enterprise</t>
  </si>
  <si>
    <t>Variable</t>
  </si>
  <si>
    <t>Enterprise Value Range</t>
  </si>
  <si>
    <t>Less:   Net Debt</t>
  </si>
  <si>
    <t>(3)</t>
  </si>
  <si>
    <t>Base Load:</t>
  </si>
  <si>
    <t>Peaking/Intermediate Generation :</t>
  </si>
  <si>
    <t>DJ Utilities Index</t>
  </si>
  <si>
    <t>The Mercantile on 1010 Prairie @ Main</t>
  </si>
  <si>
    <t>Cinergy</t>
  </si>
  <si>
    <t>BV per share</t>
  </si>
  <si>
    <t>Price/BV</t>
  </si>
  <si>
    <t>EV/EBIT</t>
  </si>
  <si>
    <t>Wisconsin Energy Corp.</t>
  </si>
  <si>
    <t>WEC</t>
  </si>
  <si>
    <t>Investor Owned Utilities</t>
  </si>
  <si>
    <t>(4)  Comparable Companies include:  American Electric Power, First Energy Corp., Reliant Energy, Southern Company, Texas Utilities and Wisconsin Energy Corp.</t>
  </si>
  <si>
    <t>Sell PSI (entire Utility)</t>
  </si>
  <si>
    <t xml:space="preserve">  Net PP&amp;E ($mm)</t>
  </si>
  <si>
    <t xml:space="preserve">  2000E EBITDA ($mm)</t>
  </si>
  <si>
    <t>PSI (entire Electric Utility)</t>
  </si>
  <si>
    <t>CG&amp;E (Electric T&amp;D)</t>
  </si>
  <si>
    <t>CG&amp;E (Electric Generation Capacity)</t>
  </si>
  <si>
    <t>CGE (Gas Utility)</t>
  </si>
  <si>
    <t>(1) Source: SEC form 10-K dated December 31, 1999.</t>
  </si>
  <si>
    <r>
      <t xml:space="preserve">  Net PP&amp;E</t>
    </r>
    <r>
      <rPr>
        <vertAlign val="superscript"/>
        <sz val="10"/>
        <rFont val="Times New Roman"/>
        <family val="1"/>
      </rPr>
      <t>(1)</t>
    </r>
  </si>
  <si>
    <t>($mm unless otherwise noted)</t>
  </si>
  <si>
    <t>Implied Net PP&amp;E for T&amp;D assets (as of 12/31/99)</t>
  </si>
  <si>
    <t>CGE Generation (1)</t>
  </si>
  <si>
    <t xml:space="preserve">   Total (MW)</t>
  </si>
  <si>
    <r>
      <t xml:space="preserve">  Equity Book Value</t>
    </r>
    <r>
      <rPr>
        <vertAlign val="superscript"/>
        <sz val="10"/>
        <rFont val="Times New Roman"/>
        <family val="1"/>
      </rPr>
      <t>(1)</t>
    </r>
  </si>
  <si>
    <t>Total Assets</t>
  </si>
  <si>
    <t xml:space="preserve">     Electric</t>
  </si>
  <si>
    <t xml:space="preserve">     Gas</t>
  </si>
  <si>
    <t xml:space="preserve">     Common (E&amp;G)</t>
  </si>
  <si>
    <t xml:space="preserve">    Less:  Accum Depr.</t>
  </si>
  <si>
    <t xml:space="preserve">        Net PP&amp;E</t>
  </si>
  <si>
    <t>w/ Common</t>
  </si>
  <si>
    <t>Common allocated</t>
  </si>
  <si>
    <t>Deferred Taxes Relating to PP&amp;E</t>
  </si>
  <si>
    <t>TOTAL Cinergy Corp.</t>
  </si>
  <si>
    <t>Sell CG&amp;E Gas (LDC)</t>
  </si>
  <si>
    <t>CG&amp;E Gas LDC</t>
  </si>
  <si>
    <t>12/31/99 net PP&amp;E</t>
  </si>
  <si>
    <t>12/31/99 net PP&amp;E for T&amp;D assets only</t>
  </si>
  <si>
    <t>12/31/99 net PP&amp;E (entire subsidiary)</t>
  </si>
  <si>
    <t>Debt as of 12/31/99.  Allocated to each segment on the basis of the enterprise value.</t>
  </si>
  <si>
    <t>The Net PP&amp;E information was sourced from 12/31/99 Form 10-K.</t>
  </si>
  <si>
    <t>(3) As of December 31, 1999.   Includes preferred stock.</t>
  </si>
  <si>
    <t>(1)  As of March 15, 2000.</t>
  </si>
  <si>
    <t>B. Sell</t>
  </si>
  <si>
    <t>Utility</t>
  </si>
  <si>
    <t>C. Sell CG&amp;E</t>
  </si>
  <si>
    <t>Gas (LDC)</t>
  </si>
  <si>
    <t>T&amp;D Assets</t>
  </si>
  <si>
    <t>D. Sell CG&amp;E</t>
  </si>
  <si>
    <t>A. Acquire Cinergy</t>
  </si>
  <si>
    <t>Sell  CG&amp;E Electric T&amp;D Assets</t>
  </si>
  <si>
    <t>Stock Sale (Cinergy Corp.)</t>
  </si>
  <si>
    <t>Assumes original Cinergy acquisition is taxable to existing shareholders, providing new shareholders with tax basis equal to the price paid for CIN equity.</t>
  </si>
  <si>
    <t>Stock Tax Basis (3)</t>
  </si>
  <si>
    <t>Most of Cinergy's generating assets are base load</t>
  </si>
  <si>
    <t>B.  Sell</t>
  </si>
  <si>
    <t>C.  Sell CG&amp;E</t>
  </si>
  <si>
    <t>on Transfer</t>
  </si>
  <si>
    <t>TOTAL Enterprise Value of Sales</t>
  </si>
  <si>
    <t>Net PP&amp;Eas of 12/31/99 (source = SEC Form 10-K)</t>
  </si>
  <si>
    <t>Current Stock Price (as of 3/15/00)</t>
  </si>
  <si>
    <t>Sell Stock of Cinergy (with baseload generation assets)</t>
  </si>
  <si>
    <t>Sell CG&amp;E Peaking and Mid-merit Generation Assets</t>
  </si>
  <si>
    <t>E. Sell CG&amp;E</t>
  </si>
  <si>
    <t>Peaking/Mid-mert</t>
  </si>
  <si>
    <t>Generation Assets</t>
  </si>
  <si>
    <t>F. Sell Stock of</t>
  </si>
  <si>
    <t>Cinergy (with CG&amp;E</t>
  </si>
  <si>
    <t>baseload assets)</t>
  </si>
  <si>
    <t>Sell  Cinergy Stock (CG&amp;E baseload generation)</t>
  </si>
  <si>
    <t>Sell CG&amp;E T&amp;D Assets</t>
  </si>
  <si>
    <t>Transfer CG&amp;E peaking+mid-gen.to ENE subsidiary (pay taxes)</t>
  </si>
  <si>
    <t>Asset Transfer</t>
  </si>
  <si>
    <t>(CG&amp;E baseload</t>
  </si>
  <si>
    <t>generation assets)</t>
  </si>
  <si>
    <t>D.  Sell CG&amp;E</t>
  </si>
  <si>
    <t>E. Pay Taxes</t>
  </si>
  <si>
    <t>A. Acquire CIN</t>
  </si>
  <si>
    <t>Ent. Val.</t>
  </si>
  <si>
    <t>F.  Sell CIN Stock</t>
  </si>
  <si>
    <t>Net PP&amp;E as of 12/31/99 (source = SEC Form 10-K)</t>
  </si>
  <si>
    <t xml:space="preserve">  Net Income</t>
  </si>
  <si>
    <t xml:space="preserve">  1998 EBITDA</t>
  </si>
  <si>
    <t>CG&amp;E - Segment Value</t>
  </si>
  <si>
    <t>CG&amp;E - Entire Electric Utility</t>
  </si>
  <si>
    <t>Selected CG&amp;E Enterprise Value</t>
  </si>
  <si>
    <t>Selected Total CG&amp;E - Segment Value</t>
  </si>
  <si>
    <t>Regulated Assets</t>
  </si>
  <si>
    <t>Operator Name</t>
  </si>
  <si>
    <t>Owner Name</t>
  </si>
  <si>
    <t>Plant Name</t>
  </si>
  <si>
    <t>Plant State</t>
  </si>
  <si>
    <t xml:space="preserve"> NERC Region</t>
  </si>
  <si>
    <t>Primary Fuel Type</t>
  </si>
  <si>
    <t xml:space="preserve"> Year in Service</t>
  </si>
  <si>
    <t>Summer  MW</t>
  </si>
  <si>
    <t>Winter MW</t>
  </si>
  <si>
    <t>Net MW</t>
  </si>
  <si>
    <t>Net Capacity Factor %</t>
  </si>
  <si>
    <t>Utility/Non-Utility</t>
  </si>
  <si>
    <t>QF #</t>
  </si>
  <si>
    <t>Heat Rate Btu/kWh</t>
  </si>
  <si>
    <t>Fuel Price  $/MWh</t>
  </si>
  <si>
    <t>Non-fuel Var O&amp;M Cost $/MWh</t>
  </si>
  <si>
    <t xml:space="preserve">Prime Mover </t>
  </si>
  <si>
    <t>Cincinnati Gas &amp; Electric Co.</t>
  </si>
  <si>
    <t>Beckjord</t>
  </si>
  <si>
    <t>OH</t>
  </si>
  <si>
    <t>ECAR</t>
  </si>
  <si>
    <t>COAL</t>
  </si>
  <si>
    <t>Baseload</t>
  </si>
  <si>
    <t>U</t>
  </si>
  <si>
    <t>Steam Turbine Boiler</t>
  </si>
  <si>
    <t>Cycling</t>
  </si>
  <si>
    <t>PSI Energy, Inc.</t>
  </si>
  <si>
    <t>Cayuga</t>
  </si>
  <si>
    <t>IN</t>
  </si>
  <si>
    <t>Columbus Southern Power Co.</t>
  </si>
  <si>
    <t>Conesville</t>
  </si>
  <si>
    <t>East Bend</t>
  </si>
  <si>
    <t>KY</t>
  </si>
  <si>
    <t>Edwardsport</t>
  </si>
  <si>
    <t>Gallagher</t>
  </si>
  <si>
    <t>Gibson</t>
  </si>
  <si>
    <t>Dayton Power &amp; Light Co.</t>
  </si>
  <si>
    <t>Killen</t>
  </si>
  <si>
    <t>Miami Fort</t>
  </si>
  <si>
    <t>Noblesville</t>
  </si>
  <si>
    <t>Stuart</t>
  </si>
  <si>
    <t>W.H. Zimmer</t>
  </si>
  <si>
    <t>Wabash River</t>
  </si>
  <si>
    <t>Sub Total</t>
  </si>
  <si>
    <t>Combustion Gas Turbine</t>
  </si>
  <si>
    <t>Dicks Creek</t>
  </si>
  <si>
    <t>Jet Engine</t>
  </si>
  <si>
    <t>Combined Cycle</t>
  </si>
  <si>
    <t>Woodsdale</t>
  </si>
  <si>
    <t>OIL-L</t>
  </si>
  <si>
    <t>Internal Combustion</t>
  </si>
  <si>
    <t>Connersville</t>
  </si>
  <si>
    <t>Miami Wabash</t>
  </si>
  <si>
    <t/>
  </si>
  <si>
    <t>Markland</t>
  </si>
  <si>
    <t>WATER</t>
  </si>
  <si>
    <t>Hydraulic Turbine Conventional</t>
  </si>
  <si>
    <t>Grand Total</t>
  </si>
  <si>
    <t>Net Demonstrated Capacity = Max(Net Summer MW, Net Winter MW)</t>
  </si>
  <si>
    <t>Source: RDI Base Case</t>
  </si>
  <si>
    <t>As reported in form EIA 861</t>
  </si>
  <si>
    <t>Non-Utility Generation - PSI</t>
  </si>
  <si>
    <t>OTHER</t>
  </si>
  <si>
    <t>N</t>
  </si>
  <si>
    <t>Cinergy Capital &amp; Trading, Inc.</t>
  </si>
  <si>
    <t>Henry</t>
  </si>
  <si>
    <t>Valuation $/kW</t>
  </si>
  <si>
    <t>Valuation $MM</t>
  </si>
  <si>
    <t>-</t>
  </si>
  <si>
    <r>
      <t xml:space="preserve">Service Type </t>
    </r>
    <r>
      <rPr>
        <b/>
        <vertAlign val="superscript"/>
        <sz val="8"/>
        <rFont val="Times New Roman"/>
        <family val="1"/>
      </rPr>
      <t>(3)</t>
    </r>
  </si>
  <si>
    <t>Other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</si>
</sst>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.0_);_(* \(#,##0.0\);_(* &quot;-&quot;?_);_(@_)"/>
    <numFmt numFmtId="168" formatCode="_(* #,##0.000_);_(* \(#,##0.000\);_(* &quot;-&quot;?_);_(@_)"/>
    <numFmt numFmtId="169" formatCode="_(* #,##0.0_);_(* \(#,##0.0\);_(* &quot;-&quot;??_);_(@_)"/>
    <numFmt numFmtId="170" formatCode="0.0\x"/>
    <numFmt numFmtId="171" formatCode="0.0%"/>
    <numFmt numFmtId="172" formatCode="0.0"/>
    <numFmt numFmtId="173" formatCode="_(* #,##0_);_(* \(#,##0\);_(* &quot;-&quot;?_);_(@_)"/>
    <numFmt numFmtId="174" formatCode="_(&quot;$&quot;* #,##0.0_);_(&quot;$&quot;* \(#,##0.0\);_(&quot;$&quot;* &quot;-&quot;?_);_(@_)"/>
    <numFmt numFmtId="175" formatCode="_(&quot;$&quot;* #,##0.0_);_(&quot;$&quot;* \(#,##0.0\);_(&quot;$&quot;* &quot;-&quot;??_);_(@_)"/>
    <numFmt numFmtId="178" formatCode="#,##0;[Red]\(#,##0\)"/>
    <numFmt numFmtId="179" formatCode="#,##0.00;[Red]\(#,##0.00\)"/>
    <numFmt numFmtId="180" formatCode="&quot;$&quot;#,##0;[Red]&quot;$&quot;\(#,##0\)"/>
    <numFmt numFmtId="182" formatCode="_(* #,##0.0000_);_(* \(#,##0.0000\);_(* &quot;-&quot;????_);_(@_)"/>
    <numFmt numFmtId="194" formatCode="_(* #,##0.000_);_(* \(#,##0.000\);_(* &quot;-&quot;??_);_(@_)"/>
    <numFmt numFmtId="195" formatCode="_(* #,##0_);_(* \(#,##0\);_(* &quot;-&quot;??_);_(@_)"/>
    <numFmt numFmtId="196" formatCode="_(&quot;$&quot;* #,##0.000_);_(&quot;$&quot;* \(#,##0.000\);_(&quot;$&quot;* &quot;-&quot;??_);_(@_)"/>
    <numFmt numFmtId="197" formatCode="_(* #,##0.0000_);_(* \(#,##0.0000\);_(* &quot;-&quot;??_);_(@_)"/>
    <numFmt numFmtId="202" formatCode="#,##0.0;[Red]\(#,##0.0\)"/>
    <numFmt numFmtId="203" formatCode="_(&quot;$&quot;* #,##0_);_(&quot;$&quot;* \(#,##0\);_(&quot;$&quot;* &quot;-&quot;??_);_(@_)"/>
    <numFmt numFmtId="204" formatCode="_(* #,##0.00_);_(* \(#,##0.00\);_(* &quot;-&quot;_);_(@_)"/>
    <numFmt numFmtId="205" formatCode="&quot;$&quot;#,##0.00"/>
    <numFmt numFmtId="206" formatCode="&quot;$&quot;#,##0"/>
    <numFmt numFmtId="207" formatCode="&quot;$&quot;#,##0.0_);\(&quot;$&quot;#,##0.0\)"/>
    <numFmt numFmtId="208" formatCode="&quot;$&quot;#,##0.0_);[Red]\(&quot;$&quot;#,##0.0\)"/>
    <numFmt numFmtId="210" formatCode="#,##0.0"/>
    <numFmt numFmtId="211" formatCode="&quot;$&quot;#,##0.000_);\(&quot;$&quot;#,##0.000\)"/>
    <numFmt numFmtId="215" formatCode="&quot;$&quot;#,##0.0"/>
    <numFmt numFmtId="220" formatCode="0.0\ \x"/>
    <numFmt numFmtId="245" formatCode="0.00\x"/>
  </numFmts>
  <fonts count="8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 val="singleAccounting"/>
      <sz val="10"/>
      <color indexed="12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u/>
      <sz val="10"/>
      <color indexed="12"/>
      <name val="Arial"/>
      <family val="2"/>
    </font>
    <font>
      <b/>
      <u val="singleAccounting"/>
      <sz val="10"/>
      <name val="Arial"/>
      <family val="2"/>
    </font>
    <font>
      <sz val="12"/>
      <name val="Arial"/>
      <family val="2"/>
    </font>
    <font>
      <b/>
      <u val="singleAccounting"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0"/>
      <name val="Arial"/>
    </font>
    <font>
      <b/>
      <sz val="7.5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Times New Roman"/>
    </font>
    <font>
      <sz val="10"/>
      <name val="Book Antiqua"/>
      <family val="1"/>
    </font>
    <font>
      <b/>
      <sz val="10"/>
      <name val="Book Antiqua"/>
      <family val="1"/>
    </font>
    <font>
      <sz val="8"/>
      <name val="Book Antiqua"/>
      <family val="1"/>
    </font>
    <font>
      <b/>
      <sz val="16"/>
      <name val="Arial"/>
      <family val="2"/>
    </font>
    <font>
      <i/>
      <sz val="12"/>
      <name val="Arial"/>
      <family val="2"/>
    </font>
    <font>
      <sz val="10"/>
      <color indexed="56"/>
      <name val="Arial"/>
      <family val="2"/>
    </font>
    <font>
      <sz val="9"/>
      <name val="Arial"/>
    </font>
    <font>
      <b/>
      <sz val="9"/>
      <name val="Arial"/>
      <family val="2"/>
    </font>
    <font>
      <b/>
      <sz val="10"/>
      <name val="Book Antiqua"/>
    </font>
    <font>
      <sz val="9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u val="singleAccounting"/>
      <sz val="12"/>
      <name val="Arial"/>
      <family val="2"/>
    </font>
    <font>
      <sz val="11"/>
      <color indexed="8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vertAlign val="superscript"/>
      <sz val="11"/>
      <name val="Arial"/>
      <family val="2"/>
    </font>
    <font>
      <i/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u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sz val="15"/>
      <name val="Times New Roman"/>
      <family val="1"/>
    </font>
    <font>
      <b/>
      <sz val="13"/>
      <name val="Times New Roman"/>
      <family val="1"/>
    </font>
    <font>
      <sz val="8"/>
      <name val="Times New Roman"/>
      <family val="1"/>
    </font>
    <font>
      <i/>
      <sz val="18"/>
      <name val="Times New Roman"/>
      <family val="1"/>
    </font>
    <font>
      <b/>
      <sz val="10"/>
      <color indexed="12"/>
      <name val="Times New Roman"/>
      <family val="1"/>
    </font>
    <font>
      <b/>
      <sz val="8"/>
      <name val="Times New Roman"/>
      <family val="1"/>
    </font>
    <font>
      <b/>
      <u/>
      <sz val="8"/>
      <name val="Times New Roman"/>
      <family val="1"/>
    </font>
    <font>
      <b/>
      <sz val="18"/>
      <name val="Times New Roman"/>
      <family val="1"/>
    </font>
    <font>
      <vertAlign val="superscript"/>
      <sz val="10"/>
      <name val="Times New Roman"/>
      <family val="1"/>
    </font>
    <font>
      <u val="singleAccounting"/>
      <sz val="10"/>
      <name val="Times New Roman"/>
      <family val="1"/>
    </font>
    <font>
      <b/>
      <u/>
      <vertAlign val="superscript"/>
      <sz val="10"/>
      <name val="Times New Roman"/>
      <family val="1"/>
    </font>
    <font>
      <sz val="10"/>
      <color indexed="9"/>
      <name val="Times New Roman"/>
      <family val="1"/>
    </font>
    <font>
      <b/>
      <vertAlign val="superscript"/>
      <sz val="15"/>
      <name val="Times New Roman"/>
      <family val="1"/>
    </font>
    <font>
      <sz val="14"/>
      <name val="Times New Roman"/>
      <family val="1"/>
    </font>
    <font>
      <i/>
      <sz val="15"/>
      <name val="Times New Roman"/>
      <family val="1"/>
    </font>
    <font>
      <b/>
      <vertAlign val="superscript"/>
      <sz val="10"/>
      <name val="Times New Roman"/>
      <family val="1"/>
    </font>
    <font>
      <u/>
      <sz val="10"/>
      <name val="Times New Roman"/>
      <family val="1"/>
    </font>
    <font>
      <b/>
      <sz val="12"/>
      <color indexed="12"/>
      <name val="Arial"/>
      <family val="2"/>
    </font>
    <font>
      <b/>
      <u val="singleAccounting"/>
      <sz val="12"/>
      <color indexed="12"/>
      <name val="Arial"/>
      <family val="2"/>
    </font>
    <font>
      <b/>
      <u/>
      <sz val="12"/>
      <color indexed="12"/>
      <name val="Arial"/>
      <family val="2"/>
    </font>
    <font>
      <i/>
      <u/>
      <sz val="10"/>
      <name val="Times New Roman"/>
      <family val="1"/>
    </font>
    <font>
      <u/>
      <sz val="11"/>
      <name val="Times New Roman"/>
      <family val="1"/>
    </font>
    <font>
      <vertAlign val="superscript"/>
      <sz val="8"/>
      <name val="Times New Roman"/>
      <family val="1"/>
    </font>
    <font>
      <b/>
      <u val="singleAccounting"/>
      <sz val="10"/>
      <name val="Times New Roman"/>
      <family val="1"/>
    </font>
    <font>
      <b/>
      <vertAlign val="superscript"/>
      <sz val="8"/>
      <name val="Times New Roman"/>
      <family val="1"/>
    </font>
    <font>
      <vertAlign val="superscript"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/>
    <xf numFmtId="0" fontId="36" fillId="0" borderId="0"/>
    <xf numFmtId="0" fontId="29" fillId="0" borderId="0"/>
    <xf numFmtId="9" fontId="1" fillId="0" borderId="0" applyFont="0" applyFill="0" applyBorder="0" applyAlignment="0" applyProtection="0"/>
  </cellStyleXfs>
  <cellXfs count="9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1" fontId="0" fillId="0" borderId="0" xfId="0" applyNumberFormat="1"/>
    <xf numFmtId="0" fontId="6" fillId="0" borderId="0" xfId="0" applyFont="1"/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9" fontId="0" fillId="0" borderId="0" xfId="6" applyFont="1"/>
    <xf numFmtId="165" fontId="0" fillId="0" borderId="0" xfId="0" applyNumberFormat="1"/>
    <xf numFmtId="165" fontId="0" fillId="0" borderId="1" xfId="0" applyNumberFormat="1" applyBorder="1"/>
    <xf numFmtId="43" fontId="0" fillId="0" borderId="0" xfId="0" applyNumberFormat="1"/>
    <xf numFmtId="0" fontId="5" fillId="0" borderId="0" xfId="0" applyNumberFormat="1" applyFont="1"/>
    <xf numFmtId="0" fontId="0" fillId="0" borderId="0" xfId="0" applyNumberFormat="1"/>
    <xf numFmtId="165" fontId="7" fillId="0" borderId="0" xfId="0" applyNumberFormat="1" applyFont="1"/>
    <xf numFmtId="0" fontId="6" fillId="0" borderId="0" xfId="0" applyFont="1" applyAlignment="1">
      <alignment horizontal="right"/>
    </xf>
    <xf numFmtId="165" fontId="6" fillId="0" borderId="0" xfId="0" applyNumberFormat="1" applyFont="1"/>
    <xf numFmtId="165" fontId="6" fillId="0" borderId="1" xfId="0" applyNumberFormat="1" applyFont="1" applyBorder="1"/>
    <xf numFmtId="0" fontId="0" fillId="0" borderId="0" xfId="0" applyNumberFormat="1" applyAlignment="1">
      <alignment horizontal="right"/>
    </xf>
    <xf numFmtId="44" fontId="0" fillId="0" borderId="0" xfId="2" applyFont="1"/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165" fontId="0" fillId="0" borderId="1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1" xfId="0" applyNumberFormat="1" applyBorder="1" applyAlignment="1">
      <alignment horizontal="right"/>
    </xf>
    <xf numFmtId="44" fontId="0" fillId="0" borderId="0" xfId="2" applyFont="1" applyAlignment="1">
      <alignment horizontal="right"/>
    </xf>
    <xf numFmtId="165" fontId="6" fillId="0" borderId="0" xfId="0" applyNumberFormat="1" applyFont="1" applyBorder="1"/>
    <xf numFmtId="165" fontId="0" fillId="0" borderId="0" xfId="0" applyNumberFormat="1" applyBorder="1"/>
    <xf numFmtId="165" fontId="8" fillId="0" borderId="0" xfId="0" applyNumberFormat="1" applyFont="1" applyBorder="1"/>
    <xf numFmtId="165" fontId="9" fillId="0" borderId="0" xfId="0" applyNumberFormat="1" applyFont="1" applyBorder="1"/>
    <xf numFmtId="0" fontId="0" fillId="0" borderId="0" xfId="0" applyBorder="1"/>
    <xf numFmtId="43" fontId="0" fillId="0" borderId="0" xfId="2" applyNumberFormat="1" applyFont="1"/>
    <xf numFmtId="43" fontId="9" fillId="0" borderId="0" xfId="2" applyNumberFormat="1" applyFont="1"/>
    <xf numFmtId="43" fontId="6" fillId="0" borderId="0" xfId="0" applyNumberFormat="1" applyFont="1"/>
    <xf numFmtId="165" fontId="9" fillId="0" borderId="0" xfId="0" applyNumberFormat="1" applyFont="1"/>
    <xf numFmtId="41" fontId="6" fillId="0" borderId="0" xfId="0" applyNumberFormat="1" applyFont="1"/>
    <xf numFmtId="43" fontId="6" fillId="0" borderId="0" xfId="2" applyNumberFormat="1" applyFont="1"/>
    <xf numFmtId="174" fontId="7" fillId="0" borderId="0" xfId="0" applyNumberFormat="1" applyFont="1"/>
    <xf numFmtId="174" fontId="6" fillId="0" borderId="0" xfId="0" applyNumberFormat="1" applyFont="1"/>
    <xf numFmtId="174" fontId="0" fillId="0" borderId="0" xfId="0" applyNumberFormat="1"/>
    <xf numFmtId="174" fontId="0" fillId="0" borderId="2" xfId="0" applyNumberFormat="1" applyBorder="1"/>
    <xf numFmtId="174" fontId="6" fillId="0" borderId="2" xfId="0" applyNumberFormat="1" applyFont="1" applyBorder="1"/>
    <xf numFmtId="44" fontId="0" fillId="0" borderId="0" xfId="2" applyNumberFormat="1" applyFont="1"/>
    <xf numFmtId="44" fontId="6" fillId="0" borderId="0" xfId="2" applyNumberFormat="1" applyFont="1"/>
    <xf numFmtId="165" fontId="8" fillId="0" borderId="0" xfId="0" applyNumberFormat="1" applyFont="1"/>
    <xf numFmtId="165" fontId="0" fillId="0" borderId="0" xfId="0" applyNumberFormat="1" applyBorder="1" applyAlignment="1">
      <alignment horizontal="right"/>
    </xf>
    <xf numFmtId="170" fontId="0" fillId="0" borderId="0" xfId="0" applyNumberFormat="1"/>
    <xf numFmtId="178" fontId="0" fillId="0" borderId="0" xfId="0" applyNumberFormat="1"/>
    <xf numFmtId="174" fontId="0" fillId="0" borderId="0" xfId="0" applyNumberFormat="1" applyBorder="1"/>
    <xf numFmtId="165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right"/>
    </xf>
    <xf numFmtId="0" fontId="0" fillId="0" borderId="1" xfId="0" applyBorder="1"/>
    <xf numFmtId="4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0" fontId="6" fillId="0" borderId="0" xfId="0" applyFont="1" applyAlignment="1">
      <alignment horizontal="center"/>
    </xf>
    <xf numFmtId="165" fontId="6" fillId="0" borderId="0" xfId="0" applyNumberFormat="1" applyFont="1" applyBorder="1" applyAlignment="1">
      <alignment horizontal="right"/>
    </xf>
    <xf numFmtId="0" fontId="0" fillId="0" borderId="3" xfId="0" applyBorder="1"/>
    <xf numFmtId="0" fontId="2" fillId="0" borderId="0" xfId="0" applyFont="1" applyBorder="1" applyAlignment="1">
      <alignment horizontal="center"/>
    </xf>
    <xf numFmtId="174" fontId="6" fillId="0" borderId="0" xfId="0" applyNumberFormat="1" applyFont="1" applyAlignment="1">
      <alignment horizontal="right"/>
    </xf>
    <xf numFmtId="170" fontId="6" fillId="0" borderId="0" xfId="0" quotePrefix="1" applyNumberFormat="1" applyFont="1" applyAlignment="1">
      <alignment horizontal="center"/>
    </xf>
    <xf numFmtId="41" fontId="6" fillId="0" borderId="0" xfId="0" applyNumberFormat="1" applyFont="1" applyBorder="1"/>
    <xf numFmtId="44" fontId="6" fillId="0" borderId="2" xfId="2" applyFont="1" applyBorder="1" applyAlignment="1">
      <alignment horizontal="right"/>
    </xf>
    <xf numFmtId="14" fontId="6" fillId="0" borderId="0" xfId="0" applyNumberFormat="1" applyFont="1" applyAlignment="1">
      <alignment horizontal="center"/>
    </xf>
    <xf numFmtId="44" fontId="6" fillId="0" borderId="0" xfId="0" applyNumberFormat="1" applyFont="1" applyAlignment="1">
      <alignment horizontal="right"/>
    </xf>
    <xf numFmtId="9" fontId="6" fillId="0" borderId="0" xfId="6" applyFont="1" applyAlignment="1">
      <alignment horizontal="right"/>
    </xf>
    <xf numFmtId="170" fontId="6" fillId="0" borderId="0" xfId="0" applyNumberFormat="1" applyFont="1"/>
    <xf numFmtId="44" fontId="6" fillId="0" borderId="0" xfId="0" applyNumberFormat="1" applyFont="1"/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center"/>
    </xf>
    <xf numFmtId="165" fontId="2" fillId="0" borderId="0" xfId="0" applyNumberFormat="1" applyFont="1"/>
    <xf numFmtId="171" fontId="0" fillId="0" borderId="0" xfId="6" applyNumberFormat="1" applyFont="1"/>
    <xf numFmtId="44" fontId="0" fillId="0" borderId="0" xfId="0" applyNumberFormat="1"/>
    <xf numFmtId="170" fontId="0" fillId="0" borderId="0" xfId="0" quotePrefix="1" applyNumberFormat="1" applyAlignment="1">
      <alignment horizontal="center"/>
    </xf>
    <xf numFmtId="165" fontId="7" fillId="0" borderId="0" xfId="0" applyNumberFormat="1" applyFont="1" applyBorder="1"/>
    <xf numFmtId="165" fontId="7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/>
    <xf numFmtId="0" fontId="6" fillId="0" borderId="0" xfId="0" applyFont="1" applyBorder="1"/>
    <xf numFmtId="174" fontId="6" fillId="0" borderId="0" xfId="0" applyNumberFormat="1" applyFont="1" applyBorder="1"/>
    <xf numFmtId="165" fontId="9" fillId="0" borderId="0" xfId="0" applyNumberFormat="1" applyFont="1" applyAlignment="1">
      <alignment horizontal="right"/>
    </xf>
    <xf numFmtId="43" fontId="0" fillId="0" borderId="0" xfId="0" applyNumberFormat="1" applyBorder="1"/>
    <xf numFmtId="0" fontId="13" fillId="0" borderId="0" xfId="0" applyFont="1"/>
    <xf numFmtId="170" fontId="0" fillId="0" borderId="0" xfId="0" applyNumberFormat="1" applyAlignment="1">
      <alignment horizontal="left"/>
    </xf>
    <xf numFmtId="14" fontId="0" fillId="0" borderId="0" xfId="0" applyNumberFormat="1"/>
    <xf numFmtId="170" fontId="7" fillId="0" borderId="0" xfId="0" applyNumberFormat="1" applyFont="1"/>
    <xf numFmtId="165" fontId="14" fillId="0" borderId="0" xfId="0" applyNumberFormat="1" applyFont="1" applyAlignment="1">
      <alignment horizontal="right"/>
    </xf>
    <xf numFmtId="0" fontId="0" fillId="0" borderId="0" xfId="0" applyAlignment="1"/>
    <xf numFmtId="0" fontId="0" fillId="0" borderId="0" xfId="0" applyBorder="1" applyAlignment="1"/>
    <xf numFmtId="10" fontId="7" fillId="0" borderId="0" xfId="0" applyNumberFormat="1" applyFont="1"/>
    <xf numFmtId="10" fontId="8" fillId="0" borderId="0" xfId="0" applyNumberFormat="1" applyFont="1"/>
    <xf numFmtId="0" fontId="5" fillId="0" borderId="0" xfId="0" applyNumberFormat="1" applyFont="1" applyAlignment="1">
      <alignment horizontal="center"/>
    </xf>
    <xf numFmtId="43" fontId="7" fillId="0" borderId="0" xfId="0" applyNumberFormat="1" applyFont="1"/>
    <xf numFmtId="182" fontId="0" fillId="0" borderId="0" xfId="0" applyNumberFormat="1"/>
    <xf numFmtId="165" fontId="0" fillId="0" borderId="0" xfId="2" applyNumberFormat="1" applyFont="1"/>
    <xf numFmtId="165" fontId="9" fillId="0" borderId="0" xfId="2" applyNumberFormat="1" applyFont="1"/>
    <xf numFmtId="0" fontId="7" fillId="0" borderId="0" xfId="0" applyFont="1"/>
    <xf numFmtId="0" fontId="11" fillId="0" borderId="0" xfId="0" applyNumberFormat="1" applyFont="1"/>
    <xf numFmtId="10" fontId="7" fillId="0" borderId="0" xfId="6" applyNumberFormat="1" applyFont="1" applyBorder="1"/>
    <xf numFmtId="165" fontId="10" fillId="0" borderId="0" xfId="0" applyNumberFormat="1" applyFont="1"/>
    <xf numFmtId="165" fontId="7" fillId="0" borderId="0" xfId="2" applyNumberFormat="1" applyFont="1"/>
    <xf numFmtId="182" fontId="0" fillId="0" borderId="0" xfId="0" applyNumberFormat="1" applyAlignment="1">
      <alignment horizontal="right"/>
    </xf>
    <xf numFmtId="0" fontId="3" fillId="0" borderId="0" xfId="0" applyFont="1" applyBorder="1"/>
    <xf numFmtId="10" fontId="2" fillId="0" borderId="0" xfId="0" applyNumberFormat="1" applyFont="1"/>
    <xf numFmtId="10" fontId="10" fillId="0" borderId="0" xfId="0" applyNumberFormat="1" applyFont="1"/>
    <xf numFmtId="10" fontId="10" fillId="0" borderId="0" xfId="2" applyNumberFormat="1" applyFont="1"/>
    <xf numFmtId="10" fontId="10" fillId="0" borderId="0" xfId="2" applyNumberFormat="1" applyFont="1" applyAlignment="1">
      <alignment horizontal="right"/>
    </xf>
    <xf numFmtId="10" fontId="14" fillId="0" borderId="0" xfId="0" applyNumberFormat="1" applyFont="1"/>
    <xf numFmtId="10" fontId="10" fillId="0" borderId="0" xfId="0" applyNumberFormat="1" applyFont="1" applyBorder="1"/>
    <xf numFmtId="10" fontId="15" fillId="0" borderId="0" xfId="0" applyNumberFormat="1" applyFont="1"/>
    <xf numFmtId="0" fontId="10" fillId="0" borderId="0" xfId="0" applyFont="1"/>
    <xf numFmtId="10" fontId="2" fillId="0" borderId="0" xfId="6" applyNumberFormat="1" applyFont="1" applyBorder="1"/>
    <xf numFmtId="10" fontId="10" fillId="0" borderId="0" xfId="6" applyNumberFormat="1" applyFont="1" applyBorder="1"/>
    <xf numFmtId="10" fontId="16" fillId="0" borderId="0" xfId="6" applyNumberFormat="1" applyFont="1" applyBorder="1"/>
    <xf numFmtId="174" fontId="6" fillId="0" borderId="0" xfId="0" quotePrefix="1" applyNumberFormat="1" applyFont="1" applyAlignment="1">
      <alignment horizontal="center"/>
    </xf>
    <xf numFmtId="165" fontId="9" fillId="0" borderId="0" xfId="0" applyNumberFormat="1" applyFont="1" applyBorder="1" applyAlignment="1">
      <alignment horizontal="right"/>
    </xf>
    <xf numFmtId="165" fontId="12" fillId="0" borderId="0" xfId="0" applyNumberFormat="1" applyFont="1" applyAlignment="1">
      <alignment horizontal="right"/>
    </xf>
    <xf numFmtId="165" fontId="2" fillId="0" borderId="0" xfId="0" applyNumberFormat="1" applyFont="1" applyBorder="1"/>
    <xf numFmtId="44" fontId="6" fillId="0" borderId="0" xfId="2" applyFont="1" applyBorder="1" applyAlignment="1">
      <alignment horizontal="right"/>
    </xf>
    <xf numFmtId="171" fontId="1" fillId="0" borderId="0" xfId="6" applyNumberFormat="1" applyBorder="1"/>
    <xf numFmtId="170" fontId="6" fillId="0" borderId="0" xfId="0" applyNumberFormat="1" applyFont="1" applyBorder="1"/>
    <xf numFmtId="165" fontId="6" fillId="0" borderId="0" xfId="2" applyNumberFormat="1" applyFont="1"/>
    <xf numFmtId="0" fontId="0" fillId="0" borderId="1" xfId="0" applyBorder="1" applyAlignment="1">
      <alignment horizontal="right"/>
    </xf>
    <xf numFmtId="169" fontId="6" fillId="0" borderId="0" xfId="1" applyNumberFormat="1" applyFont="1"/>
    <xf numFmtId="43" fontId="10" fillId="0" borderId="0" xfId="0" applyNumberFormat="1" applyFont="1" applyBorder="1"/>
    <xf numFmtId="43" fontId="7" fillId="0" borderId="0" xfId="0" applyNumberFormat="1" applyFont="1" applyAlignment="1">
      <alignment horizontal="right"/>
    </xf>
    <xf numFmtId="43" fontId="10" fillId="0" borderId="0" xfId="0" applyNumberFormat="1" applyFont="1"/>
    <xf numFmtId="10" fontId="6" fillId="0" borderId="0" xfId="0" applyNumberFormat="1" applyFont="1"/>
    <xf numFmtId="10" fontId="0" fillId="0" borderId="0" xfId="0" applyNumberFormat="1" applyBorder="1"/>
    <xf numFmtId="10" fontId="0" fillId="0" borderId="0" xfId="0" applyNumberFormat="1"/>
    <xf numFmtId="10" fontId="9" fillId="0" borderId="0" xfId="2" applyNumberFormat="1" applyFont="1"/>
    <xf numFmtId="165" fontId="6" fillId="0" borderId="0" xfId="0" applyNumberFormat="1" applyFont="1" applyAlignment="1"/>
    <xf numFmtId="165" fontId="10" fillId="0" borderId="0" xfId="0" applyNumberFormat="1" applyFont="1" applyBorder="1"/>
    <xf numFmtId="165" fontId="0" fillId="0" borderId="0" xfId="2" applyNumberFormat="1" applyFont="1" applyAlignment="1"/>
    <xf numFmtId="165" fontId="9" fillId="0" borderId="0" xfId="2" applyNumberFormat="1" applyFont="1" applyAlignment="1"/>
    <xf numFmtId="165" fontId="6" fillId="0" borderId="0" xfId="2" applyNumberFormat="1" applyFont="1" applyAlignment="1"/>
    <xf numFmtId="10" fontId="7" fillId="0" borderId="0" xfId="2" applyNumberFormat="1" applyFont="1"/>
    <xf numFmtId="10" fontId="8" fillId="0" borderId="0" xfId="0" applyNumberFormat="1" applyFont="1" applyBorder="1"/>
    <xf numFmtId="10" fontId="2" fillId="0" borderId="0" xfId="0" applyNumberFormat="1" applyFont="1" applyBorder="1"/>
    <xf numFmtId="10" fontId="2" fillId="0" borderId="0" xfId="6" applyNumberFormat="1" applyFont="1"/>
    <xf numFmtId="10" fontId="6" fillId="0" borderId="0" xfId="0" applyNumberFormat="1" applyFont="1" applyAlignment="1">
      <alignment horizontal="center"/>
    </xf>
    <xf numFmtId="10" fontId="7" fillId="0" borderId="0" xfId="0" applyNumberFormat="1" applyFont="1" applyBorder="1"/>
    <xf numFmtId="10" fontId="10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right"/>
    </xf>
    <xf numFmtId="10" fontId="14" fillId="0" borderId="0" xfId="0" applyNumberFormat="1" applyFont="1" applyAlignment="1">
      <alignment horizontal="right"/>
    </xf>
    <xf numFmtId="171" fontId="0" fillId="0" borderId="0" xfId="0" applyNumberFormat="1"/>
    <xf numFmtId="171" fontId="2" fillId="0" borderId="0" xfId="0" applyNumberFormat="1" applyFont="1" applyAlignment="1">
      <alignment horizontal="center"/>
    </xf>
    <xf numFmtId="10" fontId="10" fillId="0" borderId="0" xfId="2" applyNumberFormat="1" applyFont="1" applyAlignment="1">
      <alignment horizontal="center"/>
    </xf>
    <xf numFmtId="175" fontId="0" fillId="0" borderId="0" xfId="2" applyNumberFormat="1" applyFont="1"/>
    <xf numFmtId="9" fontId="6" fillId="0" borderId="0" xfId="6" applyFont="1" applyAlignment="1">
      <alignment horizontal="center"/>
    </xf>
    <xf numFmtId="165" fontId="6" fillId="0" borderId="2" xfId="0" applyNumberFormat="1" applyFont="1" applyBorder="1"/>
    <xf numFmtId="165" fontId="2" fillId="0" borderId="2" xfId="0" applyNumberFormat="1" applyFont="1" applyBorder="1"/>
    <xf numFmtId="165" fontId="6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center"/>
    </xf>
    <xf numFmtId="165" fontId="6" fillId="2" borderId="0" xfId="0" applyNumberFormat="1" applyFont="1" applyFill="1"/>
    <xf numFmtId="165" fontId="9" fillId="2" borderId="0" xfId="0" applyNumberFormat="1" applyFont="1" applyFill="1"/>
    <xf numFmtId="165" fontId="7" fillId="2" borderId="0" xfId="0" applyNumberFormat="1" applyFont="1" applyFill="1"/>
    <xf numFmtId="165" fontId="11" fillId="2" borderId="0" xfId="0" applyNumberFormat="1" applyFont="1" applyFill="1" applyAlignment="1">
      <alignment horizontal="right"/>
    </xf>
    <xf numFmtId="43" fontId="7" fillId="2" borderId="0" xfId="0" applyNumberFormat="1" applyFont="1" applyFill="1"/>
    <xf numFmtId="165" fontId="9" fillId="0" borderId="0" xfId="0" applyNumberFormat="1" applyFont="1" applyAlignment="1">
      <alignment horizontal="center"/>
    </xf>
    <xf numFmtId="165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center"/>
    </xf>
    <xf numFmtId="174" fontId="7" fillId="0" borderId="2" xfId="0" applyNumberFormat="1" applyFont="1" applyBorder="1"/>
    <xf numFmtId="169" fontId="7" fillId="0" borderId="0" xfId="1" applyNumberFormat="1" applyFont="1"/>
    <xf numFmtId="174" fontId="6" fillId="0" borderId="2" xfId="0" applyNumberFormat="1" applyFont="1" applyFill="1" applyBorder="1"/>
    <xf numFmtId="174" fontId="0" fillId="0" borderId="2" xfId="0" applyNumberFormat="1" applyFill="1" applyBorder="1"/>
    <xf numFmtId="165" fontId="7" fillId="0" borderId="2" xfId="0" applyNumberFormat="1" applyFont="1" applyBorder="1"/>
    <xf numFmtId="43" fontId="9" fillId="0" borderId="0" xfId="0" applyNumberFormat="1" applyFont="1" applyBorder="1"/>
    <xf numFmtId="165" fontId="6" fillId="0" borderId="0" xfId="0" applyNumberFormat="1" applyFont="1" applyFill="1"/>
    <xf numFmtId="165" fontId="8" fillId="0" borderId="0" xfId="0" applyNumberFormat="1" applyFont="1" applyFill="1"/>
    <xf numFmtId="165" fontId="7" fillId="0" borderId="0" xfId="0" applyNumberFormat="1" applyFont="1" applyFill="1"/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right"/>
    </xf>
    <xf numFmtId="165" fontId="0" fillId="0" borderId="0" xfId="0" applyNumberFormat="1" applyFill="1"/>
    <xf numFmtId="165" fontId="9" fillId="0" borderId="0" xfId="0" applyNumberFormat="1" applyFont="1" applyFill="1"/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0" fontId="3" fillId="0" borderId="0" xfId="0" applyFont="1" applyAlignment="1"/>
    <xf numFmtId="165" fontId="7" fillId="0" borderId="1" xfId="0" applyNumberFormat="1" applyFont="1" applyBorder="1"/>
    <xf numFmtId="169" fontId="0" fillId="0" borderId="0" xfId="1" applyNumberFormat="1" applyFont="1"/>
    <xf numFmtId="169" fontId="9" fillId="0" borderId="0" xfId="1" applyNumberFormat="1" applyFont="1"/>
    <xf numFmtId="169" fontId="2" fillId="0" borderId="0" xfId="1" applyNumberFormat="1" applyFont="1"/>
    <xf numFmtId="0" fontId="0" fillId="0" borderId="0" xfId="0" applyAlignment="1">
      <alignment horizontal="center"/>
    </xf>
    <xf numFmtId="175" fontId="0" fillId="0" borderId="0" xfId="1" applyNumberFormat="1" applyFont="1"/>
    <xf numFmtId="168" fontId="7" fillId="0" borderId="0" xfId="0" applyNumberFormat="1" applyFont="1"/>
    <xf numFmtId="43" fontId="0" fillId="0" borderId="0" xfId="1" applyFont="1" applyAlignment="1">
      <alignment horizontal="right"/>
    </xf>
    <xf numFmtId="43" fontId="0" fillId="0" borderId="0" xfId="1" applyFont="1"/>
    <xf numFmtId="195" fontId="0" fillId="0" borderId="0" xfId="1" applyNumberFormat="1" applyFont="1" applyAlignment="1">
      <alignment horizontal="right"/>
    </xf>
    <xf numFmtId="195" fontId="0" fillId="0" borderId="0" xfId="1" applyNumberFormat="1" applyFont="1"/>
    <xf numFmtId="195" fontId="0" fillId="0" borderId="0" xfId="0" applyNumberFormat="1"/>
    <xf numFmtId="43" fontId="9" fillId="0" borderId="0" xfId="1" applyFont="1"/>
    <xf numFmtId="169" fontId="0" fillId="0" borderId="0" xfId="0" applyNumberFormat="1"/>
    <xf numFmtId="195" fontId="9" fillId="0" borderId="0" xfId="1" applyNumberFormat="1" applyFont="1"/>
    <xf numFmtId="43" fontId="2" fillId="0" borderId="1" xfId="1" applyFont="1" applyBorder="1" applyAlignment="1">
      <alignment horizontal="center"/>
    </xf>
    <xf numFmtId="169" fontId="0" fillId="0" borderId="0" xfId="1" applyNumberFormat="1" applyFont="1" applyBorder="1"/>
    <xf numFmtId="175" fontId="0" fillId="0" borderId="0" xfId="0" applyNumberFormat="1"/>
    <xf numFmtId="43" fontId="9" fillId="0" borderId="0" xfId="0" applyNumberFormat="1" applyFont="1"/>
    <xf numFmtId="0" fontId="19" fillId="0" borderId="0" xfId="0" applyFont="1"/>
    <xf numFmtId="0" fontId="0" fillId="0" borderId="0" xfId="0" quotePrefix="1" applyBorder="1" applyAlignment="1">
      <alignment horizontal="center"/>
    </xf>
    <xf numFmtId="0" fontId="20" fillId="0" borderId="0" xfId="0" applyFont="1"/>
    <xf numFmtId="169" fontId="0" fillId="0" borderId="0" xfId="1" quotePrefix="1" applyNumberFormat="1" applyFont="1" applyAlignment="1">
      <alignment horizontal="center"/>
    </xf>
    <xf numFmtId="169" fontId="9" fillId="0" borderId="0" xfId="1" applyNumberFormat="1" applyFont="1" applyAlignment="1"/>
    <xf numFmtId="169" fontId="9" fillId="0" borderId="0" xfId="0" applyNumberFormat="1" applyFont="1"/>
    <xf numFmtId="175" fontId="6" fillId="0" borderId="0" xfId="2" applyNumberFormat="1" applyFont="1" applyBorder="1" applyAlignment="1">
      <alignment horizontal="right"/>
    </xf>
    <xf numFmtId="169" fontId="6" fillId="0" borderId="0" xfId="1" applyNumberFormat="1" applyFont="1" applyAlignme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9" fontId="7" fillId="0" borderId="0" xfId="6" applyFont="1"/>
    <xf numFmtId="9" fontId="6" fillId="0" borderId="0" xfId="0" applyNumberFormat="1" applyFont="1"/>
    <xf numFmtId="43" fontId="2" fillId="0" borderId="4" xfId="1" applyFont="1" applyBorder="1" applyAlignment="1">
      <alignment horizontal="right"/>
    </xf>
    <xf numFmtId="0" fontId="2" fillId="0" borderId="4" xfId="0" applyFont="1" applyBorder="1"/>
    <xf numFmtId="175" fontId="7" fillId="0" borderId="0" xfId="2" applyNumberFormat="1" applyFont="1"/>
    <xf numFmtId="175" fontId="6" fillId="0" borderId="0" xfId="2" applyNumberFormat="1" applyFont="1"/>
    <xf numFmtId="175" fontId="6" fillId="0" borderId="0" xfId="1" applyNumberFormat="1" applyFont="1"/>
    <xf numFmtId="175" fontId="6" fillId="0" borderId="0" xfId="1" applyNumberFormat="1" applyFont="1" applyAlignment="1"/>
    <xf numFmtId="175" fontId="7" fillId="0" borderId="0" xfId="1" applyNumberFormat="1" applyFont="1"/>
    <xf numFmtId="175" fontId="6" fillId="0" borderId="0" xfId="0" applyNumberFormat="1" applyFont="1"/>
    <xf numFmtId="175" fontId="6" fillId="0" borderId="0" xfId="0" applyNumberFormat="1" applyFont="1" applyAlignment="1">
      <alignment horizontal="right"/>
    </xf>
    <xf numFmtId="175" fontId="6" fillId="0" borderId="0" xfId="2" applyNumberFormat="1" applyFont="1" applyAlignment="1">
      <alignment horizontal="right"/>
    </xf>
    <xf numFmtId="9" fontId="0" fillId="0" borderId="0" xfId="0" applyNumberFormat="1" applyAlignment="1">
      <alignment horizontal="left"/>
    </xf>
    <xf numFmtId="0" fontId="0" fillId="0" borderId="5" xfId="0" applyBorder="1"/>
    <xf numFmtId="43" fontId="0" fillId="0" borderId="5" xfId="1" applyFont="1" applyBorder="1"/>
    <xf numFmtId="43" fontId="0" fillId="0" borderId="0" xfId="1" applyFont="1" applyBorder="1"/>
    <xf numFmtId="43" fontId="0" fillId="0" borderId="1" xfId="1" applyFont="1" applyBorder="1"/>
    <xf numFmtId="169" fontId="0" fillId="0" borderId="6" xfId="1" applyNumberFormat="1" applyFont="1" applyBorder="1"/>
    <xf numFmtId="169" fontId="0" fillId="0" borderId="5" xfId="1" applyNumberFormat="1" applyFont="1" applyBorder="1"/>
    <xf numFmtId="169" fontId="0" fillId="0" borderId="7" xfId="1" applyNumberFormat="1" applyFont="1" applyBorder="1"/>
    <xf numFmtId="169" fontId="0" fillId="0" borderId="8" xfId="1" applyNumberFormat="1" applyFont="1" applyBorder="1"/>
    <xf numFmtId="169" fontId="0" fillId="0" borderId="9" xfId="1" applyNumberFormat="1" applyFont="1" applyBorder="1"/>
    <xf numFmtId="169" fontId="0" fillId="0" borderId="10" xfId="1" applyNumberFormat="1" applyFont="1" applyBorder="1"/>
    <xf numFmtId="169" fontId="0" fillId="0" borderId="1" xfId="1" applyNumberFormat="1" applyFont="1" applyBorder="1"/>
    <xf numFmtId="169" fontId="0" fillId="0" borderId="11" xfId="1" applyNumberFormat="1" applyFont="1" applyBorder="1"/>
    <xf numFmtId="49" fontId="22" fillId="0" borderId="3" xfId="0" applyNumberFormat="1" applyFont="1" applyBorder="1" applyAlignment="1">
      <alignment horizontal="center"/>
    </xf>
    <xf numFmtId="43" fontId="0" fillId="0" borderId="0" xfId="1" applyFont="1" applyAlignment="1">
      <alignment horizontal="center"/>
    </xf>
    <xf numFmtId="8" fontId="0" fillId="0" borderId="0" xfId="0" applyNumberFormat="1"/>
    <xf numFmtId="170" fontId="0" fillId="0" borderId="12" xfId="0" applyNumberFormat="1" applyBorder="1"/>
    <xf numFmtId="170" fontId="0" fillId="0" borderId="4" xfId="0" applyNumberFormat="1" applyBorder="1"/>
    <xf numFmtId="170" fontId="0" fillId="0" borderId="13" xfId="0" applyNumberFormat="1" applyBorder="1"/>
    <xf numFmtId="49" fontId="22" fillId="0" borderId="0" xfId="0" applyNumberFormat="1" applyFont="1" applyAlignment="1">
      <alignment horizontal="left" wrapText="1"/>
    </xf>
    <xf numFmtId="0" fontId="23" fillId="0" borderId="0" xfId="0" applyFont="1"/>
    <xf numFmtId="0" fontId="2" fillId="0" borderId="0" xfId="0" applyFont="1" applyAlignment="1">
      <alignment wrapText="1"/>
    </xf>
    <xf numFmtId="202" fontId="0" fillId="0" borderId="0" xfId="0" applyNumberFormat="1" applyAlignment="1">
      <alignment horizontal="center"/>
    </xf>
    <xf numFmtId="165" fontId="0" fillId="0" borderId="0" xfId="0" applyNumberFormat="1" applyAlignment="1">
      <alignment wrapText="1"/>
    </xf>
    <xf numFmtId="175" fontId="0" fillId="0" borderId="0" xfId="2" applyNumberFormat="1" applyFont="1" applyAlignment="1">
      <alignment wrapText="1"/>
    </xf>
    <xf numFmtId="171" fontId="0" fillId="0" borderId="0" xfId="0" applyNumberFormat="1" applyAlignment="1">
      <alignment horizontal="center"/>
    </xf>
    <xf numFmtId="169" fontId="0" fillId="0" borderId="1" xfId="0" applyNumberFormat="1" applyBorder="1"/>
    <xf numFmtId="0" fontId="0" fillId="0" borderId="0" xfId="0" applyAlignment="1">
      <alignment horizontal="left"/>
    </xf>
    <xf numFmtId="0" fontId="24" fillId="0" borderId="0" xfId="0" applyFont="1" applyAlignment="1">
      <alignment horizontal="right"/>
    </xf>
    <xf numFmtId="175" fontId="0" fillId="0" borderId="0" xfId="2" applyNumberFormat="1" applyFont="1" applyAlignment="1">
      <alignment horizontal="center"/>
    </xf>
    <xf numFmtId="203" fontId="0" fillId="0" borderId="0" xfId="2" applyNumberFormat="1" applyFont="1" applyAlignment="1">
      <alignment horizontal="right"/>
    </xf>
    <xf numFmtId="170" fontId="0" fillId="0" borderId="0" xfId="1" applyNumberFormat="1" applyFont="1" applyAlignment="1">
      <alignment horizontal="right"/>
    </xf>
    <xf numFmtId="171" fontId="0" fillId="0" borderId="0" xfId="0" applyNumberFormat="1" applyAlignment="1">
      <alignment horizontal="right"/>
    </xf>
    <xf numFmtId="171" fontId="0" fillId="0" borderId="0" xfId="6" applyNumberFormat="1" applyFont="1" applyAlignment="1">
      <alignment horizontal="right"/>
    </xf>
    <xf numFmtId="169" fontId="0" fillId="0" borderId="0" xfId="1" applyNumberFormat="1" applyFont="1" applyAlignment="1">
      <alignment horizontal="right"/>
    </xf>
    <xf numFmtId="0" fontId="2" fillId="0" borderId="3" xfId="0" applyFont="1" applyBorder="1" applyAlignment="1">
      <alignment horizontal="center"/>
    </xf>
    <xf numFmtId="171" fontId="2" fillId="0" borderId="3" xfId="0" applyNumberFormat="1" applyFont="1" applyBorder="1" applyAlignment="1">
      <alignment horizontal="center"/>
    </xf>
    <xf numFmtId="170" fontId="0" fillId="0" borderId="5" xfId="1" applyNumberFormat="1" applyFont="1" applyBorder="1" applyAlignment="1">
      <alignment horizontal="right"/>
    </xf>
    <xf numFmtId="171" fontId="0" fillId="0" borderId="5" xfId="0" applyNumberFormat="1" applyBorder="1" applyAlignment="1">
      <alignment horizontal="right"/>
    </xf>
    <xf numFmtId="171" fontId="0" fillId="0" borderId="5" xfId="6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169" fontId="0" fillId="0" borderId="0" xfId="1" applyNumberFormat="1" applyFont="1" applyBorder="1" applyAlignment="1">
      <alignment horizontal="right"/>
    </xf>
    <xf numFmtId="171" fontId="0" fillId="0" borderId="0" xfId="6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1" fontId="0" fillId="0" borderId="1" xfId="6" applyNumberFormat="1" applyFont="1" applyBorder="1" applyAlignment="1">
      <alignment horizontal="right"/>
    </xf>
    <xf numFmtId="175" fontId="0" fillId="0" borderId="0" xfId="2" applyNumberFormat="1" applyFont="1" applyBorder="1"/>
    <xf numFmtId="169" fontId="5" fillId="0" borderId="0" xfId="1" applyNumberFormat="1" applyFont="1" applyBorder="1"/>
    <xf numFmtId="49" fontId="6" fillId="0" borderId="0" xfId="0" applyNumberFormat="1" applyFont="1" applyAlignment="1">
      <alignment horizontal="left" wrapText="1"/>
    </xf>
    <xf numFmtId="43" fontId="0" fillId="0" borderId="0" xfId="1" applyFont="1" applyAlignment="1">
      <alignment wrapText="1"/>
    </xf>
    <xf numFmtId="169" fontId="0" fillId="0" borderId="0" xfId="1" applyNumberFormat="1" applyFont="1" applyAlignment="1">
      <alignment wrapText="1"/>
    </xf>
    <xf numFmtId="169" fontId="0" fillId="0" borderId="0" xfId="1" applyNumberFormat="1" applyFont="1" applyAlignment="1">
      <alignment horizontal="center"/>
    </xf>
    <xf numFmtId="169" fontId="9" fillId="0" borderId="0" xfId="1" applyNumberFormat="1" applyFont="1" applyBorder="1"/>
    <xf numFmtId="175" fontId="6" fillId="0" borderId="14" xfId="2" applyNumberFormat="1" applyFont="1" applyBorder="1"/>
    <xf numFmtId="175" fontId="0" fillId="0" borderId="0" xfId="2" applyNumberFormat="1" applyFont="1" applyFill="1" applyBorder="1"/>
    <xf numFmtId="175" fontId="6" fillId="0" borderId="0" xfId="2" applyNumberFormat="1" applyFont="1" applyAlignment="1">
      <alignment wrapText="1"/>
    </xf>
    <xf numFmtId="43" fontId="9" fillId="0" borderId="0" xfId="1" applyFont="1" applyAlignment="1">
      <alignment wrapText="1"/>
    </xf>
    <xf numFmtId="43" fontId="0" fillId="0" borderId="0" xfId="1" applyNumberFormat="1" applyFont="1"/>
    <xf numFmtId="169" fontId="11" fillId="0" borderId="0" xfId="1" applyNumberFormat="1" applyFont="1" applyBorder="1"/>
    <xf numFmtId="169" fontId="8" fillId="0" borderId="0" xfId="1" applyNumberFormat="1" applyFont="1" applyBorder="1"/>
    <xf numFmtId="0" fontId="2" fillId="0" borderId="0" xfId="0" applyFont="1" applyAlignment="1">
      <alignment horizontal="left"/>
    </xf>
    <xf numFmtId="0" fontId="2" fillId="0" borderId="4" xfId="0" quotePrefix="1" applyFont="1" applyBorder="1" applyAlignment="1">
      <alignment horizontal="center"/>
    </xf>
    <xf numFmtId="170" fontId="7" fillId="0" borderId="6" xfId="0" applyNumberFormat="1" applyFont="1" applyBorder="1" applyAlignment="1">
      <alignment horizontal="right"/>
    </xf>
    <xf numFmtId="0" fontId="7" fillId="0" borderId="5" xfId="0" quotePrefix="1" applyFont="1" applyBorder="1" applyAlignment="1">
      <alignment horizontal="center"/>
    </xf>
    <xf numFmtId="170" fontId="7" fillId="0" borderId="7" xfId="0" applyNumberFormat="1" applyFont="1" applyBorder="1" applyAlignment="1">
      <alignment horizontal="left"/>
    </xf>
    <xf numFmtId="170" fontId="7" fillId="0" borderId="8" xfId="0" applyNumberFormat="1" applyFont="1" applyBorder="1" applyAlignment="1">
      <alignment horizontal="right"/>
    </xf>
    <xf numFmtId="0" fontId="7" fillId="0" borderId="0" xfId="0" quotePrefix="1" applyFont="1" applyBorder="1" applyAlignment="1">
      <alignment horizontal="center"/>
    </xf>
    <xf numFmtId="170" fontId="7" fillId="0" borderId="9" xfId="0" applyNumberFormat="1" applyFont="1" applyBorder="1" applyAlignment="1">
      <alignment horizontal="left"/>
    </xf>
    <xf numFmtId="170" fontId="7" fillId="0" borderId="10" xfId="0" applyNumberFormat="1" applyFont="1" applyBorder="1" applyAlignment="1">
      <alignment horizontal="right"/>
    </xf>
    <xf numFmtId="0" fontId="7" fillId="0" borderId="1" xfId="0" quotePrefix="1" applyFont="1" applyBorder="1" applyAlignment="1">
      <alignment horizontal="center"/>
    </xf>
    <xf numFmtId="170" fontId="7" fillId="0" borderId="11" xfId="0" applyNumberFormat="1" applyFont="1" applyBorder="1" applyAlignment="1">
      <alignment horizontal="left"/>
    </xf>
    <xf numFmtId="170" fontId="7" fillId="0" borderId="12" xfId="0" applyNumberFormat="1" applyFont="1" applyBorder="1" applyAlignment="1">
      <alignment horizontal="right"/>
    </xf>
    <xf numFmtId="170" fontId="7" fillId="0" borderId="13" xfId="0" applyNumberFormat="1" applyFont="1" applyBorder="1" applyAlignment="1">
      <alignment horizontal="left"/>
    </xf>
    <xf numFmtId="175" fontId="0" fillId="0" borderId="0" xfId="2" quotePrefix="1" applyNumberFormat="1" applyFont="1" applyAlignment="1">
      <alignment horizontal="center"/>
    </xf>
    <xf numFmtId="43" fontId="4" fillId="0" borderId="0" xfId="1" applyFont="1" applyAlignment="1">
      <alignment horizontal="right"/>
    </xf>
    <xf numFmtId="175" fontId="0" fillId="0" borderId="4" xfId="2" applyNumberFormat="1" applyFont="1" applyBorder="1"/>
    <xf numFmtId="175" fontId="0" fillId="0" borderId="4" xfId="2" quotePrefix="1" applyNumberFormat="1" applyFont="1" applyBorder="1" applyAlignment="1">
      <alignment horizontal="center"/>
    </xf>
    <xf numFmtId="43" fontId="6" fillId="0" borderId="0" xfId="0" applyNumberFormat="1" applyFont="1" applyAlignment="1">
      <alignment horizontal="right"/>
    </xf>
    <xf numFmtId="43" fontId="25" fillId="0" borderId="0" xfId="1" applyFont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9" fontId="6" fillId="0" borderId="2" xfId="6" applyFont="1" applyBorder="1" applyAlignment="1">
      <alignment horizontal="right"/>
    </xf>
    <xf numFmtId="0" fontId="20" fillId="0" borderId="14" xfId="0" applyFont="1" applyFill="1" applyBorder="1"/>
    <xf numFmtId="0" fontId="0" fillId="0" borderId="14" xfId="0" applyFill="1" applyBorder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3" borderId="4" xfId="0" applyFont="1" applyFill="1" applyBorder="1"/>
    <xf numFmtId="44" fontId="2" fillId="3" borderId="4" xfId="1" applyNumberFormat="1" applyFont="1" applyFill="1" applyBorder="1"/>
    <xf numFmtId="41" fontId="2" fillId="3" borderId="4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14" fontId="0" fillId="0" borderId="0" xfId="0" applyNumberFormat="1" applyAlignment="1">
      <alignment horizontal="left"/>
    </xf>
    <xf numFmtId="41" fontId="0" fillId="0" borderId="0" xfId="1" applyNumberFormat="1" applyFont="1"/>
    <xf numFmtId="204" fontId="2" fillId="0" borderId="0" xfId="1" applyNumberFormat="1" applyFont="1"/>
    <xf numFmtId="175" fontId="6" fillId="0" borderId="4" xfId="2" applyNumberFormat="1" applyFont="1" applyBorder="1"/>
    <xf numFmtId="0" fontId="6" fillId="0" borderId="4" xfId="0" applyFont="1" applyBorder="1"/>
    <xf numFmtId="14" fontId="6" fillId="0" borderId="0" xfId="0" applyNumberFormat="1" applyFont="1" applyFill="1" applyAlignment="1">
      <alignment horizontal="center"/>
    </xf>
    <xf numFmtId="9" fontId="7" fillId="0" borderId="0" xfId="0" applyNumberFormat="1" applyFont="1"/>
    <xf numFmtId="6" fontId="7" fillId="0" borderId="0" xfId="0" applyNumberFormat="1" applyFont="1"/>
    <xf numFmtId="9" fontId="7" fillId="0" borderId="0" xfId="0" applyNumberFormat="1" applyFont="1" applyAlignment="1">
      <alignment horizontal="right"/>
    </xf>
    <xf numFmtId="195" fontId="8" fillId="0" borderId="0" xfId="1" applyNumberFormat="1" applyFont="1"/>
    <xf numFmtId="169" fontId="8" fillId="0" borderId="0" xfId="1" applyNumberFormat="1" applyFont="1"/>
    <xf numFmtId="43" fontId="7" fillId="0" borderId="0" xfId="1" applyFont="1"/>
    <xf numFmtId="178" fontId="0" fillId="0" borderId="0" xfId="0" applyNumberFormat="1" applyAlignment="1">
      <alignment horizontal="center"/>
    </xf>
    <xf numFmtId="178" fontId="0" fillId="0" borderId="3" xfId="0" applyNumberFormat="1" applyBorder="1"/>
    <xf numFmtId="180" fontId="0" fillId="0" borderId="3" xfId="0" applyNumberFormat="1" applyBorder="1"/>
    <xf numFmtId="180" fontId="0" fillId="0" borderId="3" xfId="0" applyNumberFormat="1" applyBorder="1" applyAlignment="1">
      <alignment horizontal="center"/>
    </xf>
    <xf numFmtId="170" fontId="7" fillId="0" borderId="0" xfId="0" applyNumberFormat="1" applyFont="1" applyAlignment="1">
      <alignment horizontal="right"/>
    </xf>
    <xf numFmtId="0" fontId="6" fillId="0" borderId="0" xfId="0" applyFont="1" applyFill="1"/>
    <xf numFmtId="196" fontId="6" fillId="0" borderId="0" xfId="0" applyNumberFormat="1" applyFont="1"/>
    <xf numFmtId="9" fontId="6" fillId="0" borderId="0" xfId="6" applyFont="1"/>
    <xf numFmtId="194" fontId="6" fillId="0" borderId="0" xfId="1" applyNumberFormat="1" applyFont="1"/>
    <xf numFmtId="210" fontId="6" fillId="0" borderId="0" xfId="0" applyNumberFormat="1" applyFont="1"/>
    <xf numFmtId="210" fontId="6" fillId="0" borderId="0" xfId="6" applyNumberFormat="1" applyFont="1"/>
    <xf numFmtId="210" fontId="6" fillId="0" borderId="0" xfId="0" applyNumberFormat="1" applyFont="1" applyFill="1"/>
    <xf numFmtId="210" fontId="6" fillId="0" borderId="0" xfId="6" applyNumberFormat="1" applyFont="1" applyFill="1"/>
    <xf numFmtId="196" fontId="6" fillId="0" borderId="0" xfId="0" applyNumberFormat="1" applyFont="1" applyFill="1"/>
    <xf numFmtId="9" fontId="6" fillId="0" borderId="0" xfId="0" applyNumberFormat="1" applyFont="1" applyFill="1"/>
    <xf numFmtId="211" fontId="6" fillId="0" borderId="0" xfId="0" applyNumberFormat="1" applyFont="1" applyFill="1"/>
    <xf numFmtId="211" fontId="6" fillId="0" borderId="0" xfId="6" applyNumberFormat="1" applyFont="1" applyFill="1"/>
    <xf numFmtId="211" fontId="6" fillId="0" borderId="0" xfId="0" applyNumberFormat="1" applyFont="1"/>
    <xf numFmtId="211" fontId="6" fillId="0" borderId="0" xfId="6" applyNumberFormat="1" applyFont="1"/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30" fillId="0" borderId="0" xfId="0" applyFont="1"/>
    <xf numFmtId="0" fontId="30" fillId="0" borderId="0" xfId="0" applyFont="1" applyBorder="1"/>
    <xf numFmtId="172" fontId="0" fillId="0" borderId="0" xfId="0" applyNumberFormat="1"/>
    <xf numFmtId="170" fontId="7" fillId="0" borderId="0" xfId="0" quotePrefix="1" applyNumberFormat="1" applyFont="1" applyAlignment="1">
      <alignment horizontal="center"/>
    </xf>
    <xf numFmtId="170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3" fillId="4" borderId="0" xfId="0" applyFont="1" applyFill="1"/>
    <xf numFmtId="0" fontId="0" fillId="4" borderId="0" xfId="0" applyFill="1"/>
    <xf numFmtId="0" fontId="34" fillId="4" borderId="0" xfId="0" applyFont="1" applyFill="1"/>
    <xf numFmtId="195" fontId="2" fillId="4" borderId="0" xfId="1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172" fontId="6" fillId="0" borderId="0" xfId="0" applyNumberFormat="1" applyFont="1" applyFill="1" applyBorder="1"/>
    <xf numFmtId="0" fontId="2" fillId="0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Continuous"/>
    </xf>
    <xf numFmtId="14" fontId="2" fillId="0" borderId="0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centerContinuous"/>
    </xf>
    <xf numFmtId="0" fontId="2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169" fontId="6" fillId="0" borderId="0" xfId="1" applyNumberFormat="1" applyFont="1" applyFill="1" applyBorder="1" applyAlignment="1"/>
    <xf numFmtId="14" fontId="6" fillId="0" borderId="0" xfId="0" applyNumberFormat="1" applyFont="1" applyFill="1" applyBorder="1" applyAlignment="1"/>
    <xf numFmtId="44" fontId="7" fillId="0" borderId="0" xfId="2" applyFont="1" applyBorder="1" applyAlignment="1"/>
    <xf numFmtId="169" fontId="2" fillId="0" borderId="4" xfId="1" applyNumberFormat="1" applyFont="1" applyFill="1" applyBorder="1" applyAlignment="1">
      <alignment horizontal="left"/>
    </xf>
    <xf numFmtId="169" fontId="6" fillId="0" borderId="4" xfId="1" applyNumberFormat="1" applyFont="1" applyFill="1" applyBorder="1"/>
    <xf numFmtId="1" fontId="2" fillId="0" borderId="4" xfId="1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9" fontId="6" fillId="0" borderId="0" xfId="0" applyNumberFormat="1" applyFont="1" applyFill="1" applyBorder="1"/>
    <xf numFmtId="169" fontId="7" fillId="0" borderId="1" xfId="1" applyNumberFormat="1" applyFont="1" applyFill="1" applyBorder="1"/>
    <xf numFmtId="169" fontId="6" fillId="0" borderId="0" xfId="1" applyNumberFormat="1" applyFont="1" applyFill="1" applyBorder="1"/>
    <xf numFmtId="171" fontId="6" fillId="0" borderId="0" xfId="0" applyNumberFormat="1" applyFont="1" applyFill="1" applyBorder="1"/>
    <xf numFmtId="0" fontId="6" fillId="0" borderId="0" xfId="0" applyFont="1" applyFill="1" applyBorder="1" applyAlignment="1">
      <alignment horizontal="left" indent="1"/>
    </xf>
    <xf numFmtId="44" fontId="6" fillId="0" borderId="0" xfId="2" applyFont="1" applyFill="1" applyBorder="1"/>
    <xf numFmtId="9" fontId="10" fillId="0" borderId="1" xfId="6" applyFont="1" applyFill="1" applyBorder="1"/>
    <xf numFmtId="169" fontId="6" fillId="0" borderId="1" xfId="1" applyNumberFormat="1" applyFont="1" applyFill="1" applyBorder="1"/>
    <xf numFmtId="208" fontId="6" fillId="0" borderId="0" xfId="1" applyNumberFormat="1" applyFont="1" applyFill="1" applyBorder="1"/>
    <xf numFmtId="169" fontId="6" fillId="0" borderId="0" xfId="0" applyNumberFormat="1" applyFont="1" applyFill="1" applyBorder="1"/>
    <xf numFmtId="175" fontId="6" fillId="0" borderId="15" xfId="2" applyNumberFormat="1" applyFont="1" applyFill="1" applyBorder="1"/>
    <xf numFmtId="169" fontId="7" fillId="0" borderId="0" xfId="1" applyNumberFormat="1" applyFont="1" applyFill="1" applyBorder="1"/>
    <xf numFmtId="169" fontId="6" fillId="0" borderId="1" xfId="0" applyNumberFormat="1" applyFont="1" applyBorder="1"/>
    <xf numFmtId="195" fontId="6" fillId="0" borderId="0" xfId="0" applyNumberFormat="1" applyFont="1" applyFill="1" applyBorder="1"/>
    <xf numFmtId="0" fontId="4" fillId="0" borderId="0" xfId="0" applyFont="1" applyFill="1" applyBorder="1"/>
    <xf numFmtId="171" fontId="6" fillId="0" borderId="0" xfId="6" applyNumberFormat="1" applyFont="1" applyFill="1" applyBorder="1"/>
    <xf numFmtId="196" fontId="35" fillId="0" borderId="0" xfId="2" applyNumberFormat="1" applyFont="1" applyFill="1" applyBorder="1"/>
    <xf numFmtId="196" fontId="6" fillId="0" borderId="1" xfId="2" applyNumberFormat="1" applyFont="1" applyFill="1" applyBorder="1"/>
    <xf numFmtId="0" fontId="2" fillId="0" borderId="0" xfId="0" applyFont="1" applyFill="1" applyBorder="1"/>
    <xf numFmtId="196" fontId="2" fillId="0" borderId="0" xfId="2" applyNumberFormat="1" applyFont="1" applyFill="1" applyBorder="1"/>
    <xf numFmtId="0" fontId="4" fillId="0" borderId="0" xfId="0" applyFont="1" applyFill="1"/>
    <xf numFmtId="196" fontId="6" fillId="0" borderId="0" xfId="2" applyNumberFormat="1" applyFont="1" applyFill="1"/>
    <xf numFmtId="9" fontId="7" fillId="0" borderId="0" xfId="6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0" fontId="2" fillId="0" borderId="0" xfId="0" applyFont="1" applyFill="1"/>
    <xf numFmtId="9" fontId="2" fillId="0" borderId="0" xfId="0" applyNumberFormat="1" applyFont="1" applyFill="1"/>
    <xf numFmtId="8" fontId="6" fillId="0" borderId="0" xfId="1" applyNumberFormat="1" applyFont="1" applyFill="1"/>
    <xf numFmtId="0" fontId="6" fillId="0" borderId="0" xfId="0" applyFont="1" applyFill="1" applyAlignment="1"/>
    <xf numFmtId="0" fontId="2" fillId="0" borderId="0" xfId="0" applyFont="1" applyFill="1" applyAlignment="1"/>
    <xf numFmtId="44" fontId="6" fillId="0" borderId="0" xfId="2" applyFont="1" applyFill="1" applyAlignment="1"/>
    <xf numFmtId="9" fontId="6" fillId="0" borderId="0" xfId="6" applyFont="1" applyFill="1" applyAlignment="1"/>
    <xf numFmtId="9" fontId="6" fillId="0" borderId="0" xfId="0" applyNumberFormat="1" applyFont="1" applyFill="1" applyBorder="1" applyAlignment="1">
      <alignment horizontal="centerContinuous"/>
    </xf>
    <xf numFmtId="9" fontId="6" fillId="0" borderId="0" xfId="2" applyNumberFormat="1" applyFont="1" applyFill="1" applyBorder="1"/>
    <xf numFmtId="203" fontId="0" fillId="0" borderId="0" xfId="0" applyNumberFormat="1" applyAlignment="1">
      <alignment wrapText="1"/>
    </xf>
    <xf numFmtId="203" fontId="0" fillId="0" borderId="0" xfId="2" applyNumberFormat="1" applyFont="1" applyAlignment="1">
      <alignment wrapText="1"/>
    </xf>
    <xf numFmtId="203" fontId="2" fillId="0" borderId="0" xfId="2" applyNumberFormat="1" applyFont="1" applyAlignment="1">
      <alignment wrapText="1"/>
    </xf>
    <xf numFmtId="203" fontId="9" fillId="0" borderId="0" xfId="0" applyNumberFormat="1" applyFont="1" applyAlignment="1">
      <alignment wrapText="1"/>
    </xf>
    <xf numFmtId="203" fontId="6" fillId="0" borderId="0" xfId="2" applyNumberFormat="1" applyFont="1"/>
    <xf numFmtId="175" fontId="7" fillId="0" borderId="0" xfId="1" applyNumberFormat="1" applyFont="1" applyAlignment="1"/>
    <xf numFmtId="169" fontId="1" fillId="0" borderId="0" xfId="1" applyNumberFormat="1"/>
    <xf numFmtId="195" fontId="7" fillId="0" borderId="0" xfId="0" applyNumberFormat="1" applyFont="1"/>
    <xf numFmtId="9" fontId="1" fillId="0" borderId="0" xfId="6"/>
    <xf numFmtId="14" fontId="0" fillId="0" borderId="0" xfId="0" applyNumberFormat="1" applyAlignment="1">
      <alignment wrapText="1"/>
    </xf>
    <xf numFmtId="197" fontId="6" fillId="0" borderId="0" xfId="0" applyNumberFormat="1" applyFont="1"/>
    <xf numFmtId="0" fontId="19" fillId="4" borderId="0" xfId="0" applyFont="1" applyFill="1"/>
    <xf numFmtId="0" fontId="26" fillId="4" borderId="0" xfId="0" applyFont="1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4" fillId="4" borderId="0" xfId="0" applyFont="1" applyFill="1"/>
    <xf numFmtId="195" fontId="0" fillId="4" borderId="0" xfId="1" applyNumberFormat="1" applyFont="1" applyFill="1"/>
    <xf numFmtId="0" fontId="13" fillId="4" borderId="0" xfId="0" applyFont="1" applyFill="1"/>
    <xf numFmtId="3" fontId="0" fillId="4" borderId="0" xfId="0" applyNumberFormat="1" applyFill="1"/>
    <xf numFmtId="3" fontId="2" fillId="4" borderId="0" xfId="0" applyNumberFormat="1" applyFont="1" applyFill="1"/>
    <xf numFmtId="0" fontId="36" fillId="0" borderId="0" xfId="4"/>
    <xf numFmtId="0" fontId="1" fillId="0" borderId="0" xfId="4" applyFont="1" applyAlignment="1"/>
    <xf numFmtId="0" fontId="1" fillId="0" borderId="0" xfId="4" applyFont="1" applyAlignment="1">
      <alignment wrapText="1"/>
    </xf>
    <xf numFmtId="14" fontId="1" fillId="0" borderId="0" xfId="4" applyNumberFormat="1" applyFont="1" applyAlignment="1"/>
    <xf numFmtId="210" fontId="0" fillId="4" borderId="0" xfId="0" applyNumberFormat="1" applyFill="1"/>
    <xf numFmtId="4" fontId="0" fillId="4" borderId="0" xfId="0" applyNumberFormat="1" applyFill="1"/>
    <xf numFmtId="0" fontId="30" fillId="4" borderId="0" xfId="0" applyFont="1" applyFill="1"/>
    <xf numFmtId="0" fontId="30" fillId="4" borderId="0" xfId="0" applyFont="1" applyFill="1" applyBorder="1"/>
    <xf numFmtId="0" fontId="31" fillId="4" borderId="0" xfId="0" applyFont="1" applyFill="1"/>
    <xf numFmtId="0" fontId="31" fillId="4" borderId="0" xfId="0" applyFont="1" applyFill="1" applyBorder="1"/>
    <xf numFmtId="0" fontId="27" fillId="4" borderId="6" xfId="0" applyFont="1" applyFill="1" applyBorder="1"/>
    <xf numFmtId="0" fontId="27" fillId="4" borderId="5" xfId="0" applyFont="1" applyFill="1" applyBorder="1" applyAlignment="1">
      <alignment horizontal="right"/>
    </xf>
    <xf numFmtId="0" fontId="27" fillId="4" borderId="7" xfId="0" applyFont="1" applyFill="1" applyBorder="1" applyAlignment="1">
      <alignment horizontal="right"/>
    </xf>
    <xf numFmtId="0" fontId="28" fillId="4" borderId="10" xfId="0" applyFont="1" applyFill="1" applyBorder="1"/>
    <xf numFmtId="0" fontId="27" fillId="4" borderId="11" xfId="0" applyFont="1" applyFill="1" applyBorder="1" applyAlignment="1">
      <alignment horizontal="right"/>
    </xf>
    <xf numFmtId="0" fontId="21" fillId="4" borderId="8" xfId="0" applyFont="1" applyFill="1" applyBorder="1" applyAlignment="1">
      <alignment horizontal="left"/>
    </xf>
    <xf numFmtId="195" fontId="30" fillId="4" borderId="0" xfId="1" applyNumberFormat="1" applyFont="1" applyFill="1" applyBorder="1"/>
    <xf numFmtId="203" fontId="30" fillId="4" borderId="0" xfId="2" applyNumberFormat="1" applyFont="1" applyFill="1" applyBorder="1"/>
    <xf numFmtId="0" fontId="27" fillId="4" borderId="10" xfId="0" applyFont="1" applyFill="1" applyBorder="1"/>
    <xf numFmtId="0" fontId="32" fillId="4" borderId="0" xfId="0" applyFont="1" applyFill="1" applyBorder="1"/>
    <xf numFmtId="169" fontId="32" fillId="4" borderId="0" xfId="1" applyNumberFormat="1" applyFont="1" applyFill="1" applyBorder="1"/>
    <xf numFmtId="43" fontId="30" fillId="4" borderId="0" xfId="1" applyFont="1" applyFill="1" applyBorder="1"/>
    <xf numFmtId="0" fontId="38" fillId="4" borderId="0" xfId="0" applyFont="1" applyFill="1"/>
    <xf numFmtId="0" fontId="27" fillId="4" borderId="1" xfId="0" applyFont="1" applyFill="1" applyBorder="1" applyAlignment="1">
      <alignment horizontal="right"/>
    </xf>
    <xf numFmtId="172" fontId="39" fillId="4" borderId="0" xfId="0" applyNumberFormat="1" applyFont="1" applyFill="1" applyBorder="1"/>
    <xf numFmtId="9" fontId="39" fillId="4" borderId="9" xfId="6" applyFont="1" applyFill="1" applyBorder="1" applyAlignment="1">
      <alignment horizontal="right"/>
    </xf>
    <xf numFmtId="41" fontId="39" fillId="4" borderId="0" xfId="2" applyNumberFormat="1" applyFont="1" applyFill="1" applyBorder="1"/>
    <xf numFmtId="203" fontId="37" fillId="4" borderId="1" xfId="2" applyNumberFormat="1" applyFont="1" applyFill="1" applyBorder="1"/>
    <xf numFmtId="9" fontId="37" fillId="4" borderId="11" xfId="6" applyFont="1" applyFill="1" applyBorder="1"/>
    <xf numFmtId="0" fontId="40" fillId="4" borderId="0" xfId="0" applyFont="1" applyFill="1"/>
    <xf numFmtId="0" fontId="25" fillId="4" borderId="0" xfId="0" applyFont="1" applyFill="1"/>
    <xf numFmtId="0" fontId="25" fillId="4" borderId="0" xfId="0" applyFont="1" applyFill="1" applyAlignment="1">
      <alignment horizontal="right"/>
    </xf>
    <xf numFmtId="0" fontId="40" fillId="4" borderId="0" xfId="0" applyFont="1" applyFill="1" applyAlignment="1">
      <alignment horizontal="right"/>
    </xf>
    <xf numFmtId="0" fontId="26" fillId="0" borderId="0" xfId="0" applyFont="1"/>
    <xf numFmtId="14" fontId="13" fillId="0" borderId="0" xfId="0" applyNumberFormat="1" applyFont="1" applyAlignment="1">
      <alignment horizontal="left"/>
    </xf>
    <xf numFmtId="0" fontId="13" fillId="0" borderId="0" xfId="0" applyFont="1" applyAlignment="1">
      <alignment horizontal="right"/>
    </xf>
    <xf numFmtId="0" fontId="3" fillId="4" borderId="0" xfId="0" applyFont="1" applyFill="1"/>
    <xf numFmtId="0" fontId="13" fillId="4" borderId="0" xfId="0" applyFont="1" applyFill="1" applyAlignment="1">
      <alignment horizontal="right"/>
    </xf>
    <xf numFmtId="0" fontId="41" fillId="4" borderId="0" xfId="0" applyFont="1" applyFill="1" applyAlignment="1">
      <alignment horizontal="right"/>
    </xf>
    <xf numFmtId="195" fontId="13" fillId="4" borderId="0" xfId="1" applyNumberFormat="1" applyFont="1" applyFill="1"/>
    <xf numFmtId="195" fontId="13" fillId="4" borderId="0" xfId="1" applyNumberFormat="1" applyFont="1" applyFill="1" applyAlignment="1">
      <alignment horizontal="right"/>
    </xf>
    <xf numFmtId="195" fontId="42" fillId="4" borderId="0" xfId="1" applyNumberFormat="1" applyFont="1" applyFill="1" applyAlignment="1">
      <alignment horizontal="right"/>
    </xf>
    <xf numFmtId="195" fontId="13" fillId="4" borderId="0" xfId="0" applyNumberFormat="1" applyFont="1" applyFill="1"/>
    <xf numFmtId="195" fontId="41" fillId="4" borderId="0" xfId="1" applyNumberFormat="1" applyFont="1" applyFill="1" applyAlignment="1">
      <alignment horizontal="right"/>
    </xf>
    <xf numFmtId="195" fontId="13" fillId="4" borderId="0" xfId="1" applyNumberFormat="1" applyFont="1" applyFill="1" applyBorder="1" applyAlignment="1">
      <alignment horizontal="right"/>
    </xf>
    <xf numFmtId="9" fontId="13" fillId="4" borderId="0" xfId="6" applyNumberFormat="1" applyFont="1" applyFill="1" applyAlignment="1">
      <alignment horizontal="center"/>
    </xf>
    <xf numFmtId="195" fontId="41" fillId="4" borderId="0" xfId="1" applyNumberFormat="1" applyFont="1" applyFill="1"/>
    <xf numFmtId="43" fontId="13" fillId="4" borderId="0" xfId="1" applyFont="1" applyFill="1"/>
    <xf numFmtId="9" fontId="13" fillId="4" borderId="0" xfId="6" applyFont="1" applyFill="1" applyAlignment="1">
      <alignment horizontal="center"/>
    </xf>
    <xf numFmtId="195" fontId="3" fillId="4" borderId="0" xfId="0" applyNumberFormat="1" applyFont="1" applyFill="1"/>
    <xf numFmtId="41" fontId="1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43" fontId="26" fillId="4" borderId="0" xfId="1" applyFont="1" applyFill="1"/>
    <xf numFmtId="43" fontId="13" fillId="4" borderId="0" xfId="1" applyFont="1" applyFill="1" applyAlignment="1">
      <alignment horizontal="right"/>
    </xf>
    <xf numFmtId="43" fontId="13" fillId="4" borderId="9" xfId="1" applyFont="1" applyFill="1" applyBorder="1" applyAlignment="1">
      <alignment horizontal="right"/>
    </xf>
    <xf numFmtId="43" fontId="41" fillId="4" borderId="0" xfId="1" applyFont="1" applyFill="1" applyAlignment="1">
      <alignment horizontal="right"/>
    </xf>
    <xf numFmtId="43" fontId="42" fillId="4" borderId="0" xfId="1" applyFont="1" applyFill="1"/>
    <xf numFmtId="195" fontId="13" fillId="4" borderId="6" xfId="1" applyNumberFormat="1" applyFont="1" applyFill="1" applyBorder="1"/>
    <xf numFmtId="195" fontId="13" fillId="4" borderId="8" xfId="1" applyNumberFormat="1" applyFont="1" applyFill="1" applyBorder="1"/>
    <xf numFmtId="43" fontId="3" fillId="4" borderId="0" xfId="1" applyFont="1" applyFill="1"/>
    <xf numFmtId="195" fontId="42" fillId="4" borderId="0" xfId="1" applyNumberFormat="1" applyFont="1" applyFill="1"/>
    <xf numFmtId="195" fontId="42" fillId="4" borderId="8" xfId="1" applyNumberFormat="1" applyFont="1" applyFill="1" applyBorder="1"/>
    <xf numFmtId="195" fontId="41" fillId="4" borderId="0" xfId="0" applyNumberFormat="1" applyFont="1" applyFill="1" applyAlignment="1">
      <alignment horizontal="right"/>
    </xf>
    <xf numFmtId="0" fontId="26" fillId="4" borderId="0" xfId="0" applyFont="1" applyFill="1" applyAlignment="1">
      <alignment horizontal="right"/>
    </xf>
    <xf numFmtId="0" fontId="25" fillId="4" borderId="0" xfId="0" applyFont="1" applyFill="1" applyAlignment="1">
      <alignment horizontal="center"/>
    </xf>
    <xf numFmtId="0" fontId="40" fillId="4" borderId="0" xfId="0" applyFont="1" applyFill="1" applyAlignment="1">
      <alignment horizontal="left" indent="1"/>
    </xf>
    <xf numFmtId="195" fontId="43" fillId="4" borderId="0" xfId="1" applyNumberFormat="1" applyFont="1" applyFill="1"/>
    <xf numFmtId="43" fontId="25" fillId="4" borderId="0" xfId="0" applyNumberFormat="1" applyFont="1" applyFill="1" applyAlignment="1">
      <alignment horizontal="right"/>
    </xf>
    <xf numFmtId="220" fontId="44" fillId="4" borderId="0" xfId="1" applyNumberFormat="1" applyFont="1" applyFill="1"/>
    <xf numFmtId="220" fontId="45" fillId="4" borderId="0" xfId="1" quotePrefix="1" applyNumberFormat="1" applyFont="1" applyFill="1" applyAlignment="1">
      <alignment horizontal="center"/>
    </xf>
    <xf numFmtId="203" fontId="43" fillId="4" borderId="0" xfId="2" applyNumberFormat="1" applyFont="1" applyFill="1"/>
    <xf numFmtId="195" fontId="25" fillId="4" borderId="0" xfId="1" quotePrefix="1" applyNumberFormat="1" applyFont="1" applyFill="1" applyAlignment="1">
      <alignment horizontal="center"/>
    </xf>
    <xf numFmtId="203" fontId="25" fillId="4" borderId="0" xfId="2" applyNumberFormat="1" applyFont="1" applyFill="1"/>
    <xf numFmtId="169" fontId="25" fillId="4" borderId="0" xfId="1" applyNumberFormat="1" applyFont="1" applyFill="1" applyAlignment="1">
      <alignment horizontal="left" indent="1"/>
    </xf>
    <xf numFmtId="0" fontId="25" fillId="4" borderId="0" xfId="0" applyFont="1" applyFill="1" applyAlignment="1">
      <alignment horizontal="left"/>
    </xf>
    <xf numFmtId="220" fontId="25" fillId="4" borderId="0" xfId="1" applyNumberFormat="1" applyFont="1" applyFill="1"/>
    <xf numFmtId="0" fontId="40" fillId="4" borderId="15" xfId="0" applyFont="1" applyFill="1" applyBorder="1"/>
    <xf numFmtId="0" fontId="40" fillId="4" borderId="0" xfId="0" applyFont="1" applyFill="1" applyBorder="1"/>
    <xf numFmtId="195" fontId="40" fillId="4" borderId="15" xfId="1" applyNumberFormat="1" applyFont="1" applyFill="1" applyBorder="1"/>
    <xf numFmtId="41" fontId="46" fillId="4" borderId="0" xfId="0" applyNumberFormat="1" applyFont="1" applyFill="1"/>
    <xf numFmtId="0" fontId="25" fillId="4" borderId="0" xfId="0" applyFont="1" applyFill="1" applyAlignment="1">
      <alignment horizontal="left" indent="3"/>
    </xf>
    <xf numFmtId="0" fontId="25" fillId="4" borderId="0" xfId="0" applyFont="1" applyFill="1" applyBorder="1"/>
    <xf numFmtId="195" fontId="25" fillId="4" borderId="0" xfId="0" applyNumberFormat="1" applyFont="1" applyFill="1" applyBorder="1"/>
    <xf numFmtId="195" fontId="40" fillId="4" borderId="0" xfId="0" applyNumberFormat="1" applyFont="1" applyFill="1" applyBorder="1"/>
    <xf numFmtId="203" fontId="40" fillId="4" borderId="0" xfId="0" applyNumberFormat="1" applyFont="1" applyFill="1"/>
    <xf numFmtId="203" fontId="40" fillId="4" borderId="0" xfId="0" applyNumberFormat="1" applyFont="1" applyFill="1" applyBorder="1"/>
    <xf numFmtId="195" fontId="40" fillId="4" borderId="0" xfId="1" quotePrefix="1" applyNumberFormat="1" applyFont="1" applyFill="1" applyBorder="1" applyAlignment="1">
      <alignment horizontal="center"/>
    </xf>
    <xf numFmtId="0" fontId="47" fillId="4" borderId="0" xfId="0" applyFont="1" applyFill="1" applyBorder="1" applyAlignment="1">
      <alignment horizontal="left"/>
    </xf>
    <xf numFmtId="44" fontId="47" fillId="4" borderId="0" xfId="2" applyNumberFormat="1" applyFont="1" applyFill="1" applyBorder="1"/>
    <xf numFmtId="195" fontId="47" fillId="4" borderId="0" xfId="1" quotePrefix="1" applyNumberFormat="1" applyFont="1" applyFill="1" applyBorder="1" applyAlignment="1">
      <alignment horizontal="center"/>
    </xf>
    <xf numFmtId="0" fontId="25" fillId="4" borderId="0" xfId="0" applyFont="1" applyFill="1" applyBorder="1" applyAlignment="1">
      <alignment horizontal="left"/>
    </xf>
    <xf numFmtId="44" fontId="25" fillId="4" borderId="0" xfId="0" applyNumberFormat="1" applyFont="1" applyFill="1"/>
    <xf numFmtId="9" fontId="25" fillId="4" borderId="2" xfId="6" applyFont="1" applyFill="1" applyBorder="1" applyAlignment="1">
      <alignment horizontal="right"/>
    </xf>
    <xf numFmtId="170" fontId="25" fillId="4" borderId="0" xfId="0" quotePrefix="1" applyNumberFormat="1" applyFont="1" applyFill="1" applyAlignment="1">
      <alignment horizontal="center"/>
    </xf>
    <xf numFmtId="0" fontId="33" fillId="4" borderId="0" xfId="0" applyFont="1" applyFill="1" applyAlignment="1">
      <alignment horizontal="right"/>
    </xf>
    <xf numFmtId="0" fontId="34" fillId="4" borderId="0" xfId="0" applyFont="1" applyFill="1" applyAlignment="1">
      <alignment horizontal="right"/>
    </xf>
    <xf numFmtId="0" fontId="24" fillId="4" borderId="0" xfId="0" applyFont="1" applyFill="1" applyAlignment="1">
      <alignment horizontal="right"/>
    </xf>
    <xf numFmtId="44" fontId="25" fillId="4" borderId="0" xfId="2" applyFont="1" applyFill="1" applyAlignment="1">
      <alignment horizontal="right"/>
    </xf>
    <xf numFmtId="169" fontId="25" fillId="4" borderId="0" xfId="1" applyNumberFormat="1" applyFont="1" applyFill="1" applyAlignment="1">
      <alignment horizontal="right"/>
    </xf>
    <xf numFmtId="0" fontId="40" fillId="4" borderId="0" xfId="0" applyFont="1" applyFill="1" applyBorder="1" applyAlignment="1">
      <alignment horizontal="right"/>
    </xf>
    <xf numFmtId="44" fontId="25" fillId="4" borderId="0" xfId="0" applyNumberFormat="1" applyFont="1" applyFill="1" applyAlignment="1">
      <alignment horizontal="right"/>
    </xf>
    <xf numFmtId="0" fontId="24" fillId="4" borderId="0" xfId="0" applyFont="1" applyFill="1" applyAlignment="1">
      <alignment horizontal="center"/>
    </xf>
    <xf numFmtId="43" fontId="0" fillId="0" borderId="0" xfId="0" applyNumberFormat="1" applyAlignment="1">
      <alignment wrapText="1"/>
    </xf>
    <xf numFmtId="195" fontId="25" fillId="4" borderId="0" xfId="0" applyNumberFormat="1" applyFont="1" applyFill="1"/>
    <xf numFmtId="203" fontId="25" fillId="4" borderId="0" xfId="0" applyNumberFormat="1" applyFont="1" applyFill="1"/>
    <xf numFmtId="203" fontId="2" fillId="4" borderId="0" xfId="0" applyNumberFormat="1" applyFont="1" applyFill="1"/>
    <xf numFmtId="195" fontId="40" fillId="4" borderId="0" xfId="1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25" fillId="0" borderId="0" xfId="0" applyFont="1" applyFill="1" applyAlignment="1">
      <alignment horizontal="right"/>
    </xf>
    <xf numFmtId="0" fontId="25" fillId="0" borderId="0" xfId="0" applyFont="1" applyFill="1"/>
    <xf numFmtId="0" fontId="3" fillId="0" borderId="0" xfId="0" applyFont="1" applyFill="1"/>
    <xf numFmtId="165" fontId="0" fillId="0" borderId="0" xfId="0" applyNumberFormat="1" applyFill="1" applyAlignment="1">
      <alignment horizontal="right"/>
    </xf>
    <xf numFmtId="1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65" fontId="0" fillId="0" borderId="0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1" xfId="0" applyFill="1" applyBorder="1"/>
    <xf numFmtId="44" fontId="0" fillId="0" borderId="0" xfId="2" applyFont="1" applyFill="1" applyAlignment="1">
      <alignment horizontal="right"/>
    </xf>
    <xf numFmtId="170" fontId="0" fillId="0" borderId="0" xfId="0" applyNumberFormat="1" applyFill="1"/>
    <xf numFmtId="43" fontId="0" fillId="0" borderId="0" xfId="0" applyNumberFormat="1" applyFill="1"/>
    <xf numFmtId="165" fontId="0" fillId="0" borderId="0" xfId="0" applyNumberFormat="1" applyFill="1" applyAlignment="1">
      <alignment horizontal="right" wrapText="1"/>
    </xf>
    <xf numFmtId="182" fontId="0" fillId="0" borderId="0" xfId="0" applyNumberFormat="1" applyFill="1"/>
    <xf numFmtId="182" fontId="0" fillId="0" borderId="0" xfId="0" applyNumberFormat="1" applyFill="1" applyAlignment="1">
      <alignment horizontal="right"/>
    </xf>
    <xf numFmtId="165" fontId="0" fillId="0" borderId="16" xfId="0" applyNumberFormat="1" applyFill="1" applyBorder="1" applyAlignment="1">
      <alignment horizontal="right"/>
    </xf>
    <xf numFmtId="165" fontId="0" fillId="0" borderId="17" xfId="0" applyNumberFormat="1" applyFill="1" applyBorder="1" applyAlignment="1">
      <alignment horizontal="right"/>
    </xf>
    <xf numFmtId="14" fontId="0" fillId="0" borderId="17" xfId="0" applyNumberFormat="1" applyFill="1" applyBorder="1" applyAlignment="1">
      <alignment horizontal="right"/>
    </xf>
    <xf numFmtId="0" fontId="0" fillId="0" borderId="17" xfId="0" applyNumberFormat="1" applyFill="1" applyBorder="1" applyAlignment="1">
      <alignment horizontal="right"/>
    </xf>
    <xf numFmtId="182" fontId="0" fillId="0" borderId="17" xfId="0" applyNumberFormat="1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8" xfId="0" applyFill="1" applyBorder="1" applyAlignment="1">
      <alignment horizontal="right"/>
    </xf>
    <xf numFmtId="165" fontId="0" fillId="0" borderId="19" xfId="0" applyNumberFormat="1" applyFill="1" applyBorder="1" applyAlignment="1">
      <alignment horizontal="right"/>
    </xf>
    <xf numFmtId="0" fontId="0" fillId="0" borderId="20" xfId="0" applyFill="1" applyBorder="1"/>
    <xf numFmtId="165" fontId="0" fillId="0" borderId="21" xfId="0" applyNumberFormat="1" applyFill="1" applyBorder="1" applyAlignment="1">
      <alignment horizontal="right"/>
    </xf>
    <xf numFmtId="44" fontId="0" fillId="0" borderId="0" xfId="2" applyFont="1" applyFill="1" applyBorder="1" applyAlignment="1">
      <alignment horizontal="right"/>
    </xf>
    <xf numFmtId="178" fontId="0" fillId="0" borderId="0" xfId="0" applyNumberFormat="1" applyFill="1" applyBorder="1"/>
    <xf numFmtId="170" fontId="0" fillId="0" borderId="0" xfId="0" applyNumberFormat="1" applyFill="1" applyBorder="1"/>
    <xf numFmtId="165" fontId="0" fillId="0" borderId="0" xfId="0" applyNumberFormat="1" applyFill="1" applyBorder="1"/>
    <xf numFmtId="43" fontId="0" fillId="0" borderId="0" xfId="0" applyNumberFormat="1" applyFill="1" applyBorder="1"/>
    <xf numFmtId="43" fontId="0" fillId="0" borderId="0" xfId="0" applyNumberFormat="1" applyFill="1" applyBorder="1" applyAlignment="1">
      <alignment horizontal="right"/>
    </xf>
    <xf numFmtId="43" fontId="0" fillId="0" borderId="22" xfId="0" applyNumberFormat="1" applyFill="1" applyBorder="1"/>
    <xf numFmtId="0" fontId="0" fillId="0" borderId="0" xfId="0" applyNumberFormat="1" applyFill="1" applyBorder="1" applyAlignment="1">
      <alignment horizontal="right"/>
    </xf>
    <xf numFmtId="179" fontId="0" fillId="0" borderId="0" xfId="0" applyNumberFormat="1" applyFill="1" applyBorder="1" applyAlignment="1">
      <alignment horizontal="right"/>
    </xf>
    <xf numFmtId="165" fontId="0" fillId="0" borderId="23" xfId="0" applyNumberFormat="1" applyFill="1" applyBorder="1" applyAlignment="1">
      <alignment horizontal="right"/>
    </xf>
    <xf numFmtId="165" fontId="0" fillId="0" borderId="3" xfId="0" applyNumberFormat="1" applyFill="1" applyBorder="1" applyAlignment="1">
      <alignment horizontal="right"/>
    </xf>
    <xf numFmtId="44" fontId="0" fillId="0" borderId="3" xfId="2" applyFont="1" applyFill="1" applyBorder="1" applyAlignment="1">
      <alignment horizontal="right"/>
    </xf>
    <xf numFmtId="178" fontId="0" fillId="0" borderId="3" xfId="0" applyNumberFormat="1" applyFill="1" applyBorder="1" applyAlignment="1">
      <alignment horizontal="right"/>
    </xf>
    <xf numFmtId="178" fontId="0" fillId="0" borderId="3" xfId="0" applyNumberFormat="1" applyFill="1" applyBorder="1"/>
    <xf numFmtId="170" fontId="0" fillId="0" borderId="3" xfId="0" applyNumberFormat="1" applyFill="1" applyBorder="1"/>
    <xf numFmtId="165" fontId="0" fillId="0" borderId="3" xfId="0" applyNumberFormat="1" applyFill="1" applyBorder="1"/>
    <xf numFmtId="43" fontId="0" fillId="0" borderId="3" xfId="0" applyNumberFormat="1" applyFill="1" applyBorder="1"/>
    <xf numFmtId="43" fontId="0" fillId="0" borderId="24" xfId="0" applyNumberFormat="1" applyFill="1" applyBorder="1"/>
    <xf numFmtId="178" fontId="0" fillId="0" borderId="0" xfId="0" applyNumberFormat="1" applyFill="1" applyAlignment="1">
      <alignment horizontal="right"/>
    </xf>
    <xf numFmtId="178" fontId="0" fillId="0" borderId="0" xfId="0" applyNumberFormat="1" applyFill="1"/>
    <xf numFmtId="172" fontId="25" fillId="4" borderId="0" xfId="0" applyNumberFormat="1" applyFont="1" applyFill="1" applyAlignment="1">
      <alignment horizontal="right"/>
    </xf>
    <xf numFmtId="0" fontId="24" fillId="4" borderId="0" xfId="0" applyFont="1" applyFill="1" applyAlignment="1"/>
    <xf numFmtId="2" fontId="6" fillId="0" borderId="0" xfId="0" applyNumberFormat="1" applyFont="1"/>
    <xf numFmtId="0" fontId="48" fillId="4" borderId="0" xfId="0" applyFont="1" applyFill="1"/>
    <xf numFmtId="0" fontId="49" fillId="4" borderId="0" xfId="0" applyFont="1" applyFill="1"/>
    <xf numFmtId="0" fontId="49" fillId="4" borderId="0" xfId="0" applyFont="1" applyFill="1" applyBorder="1"/>
    <xf numFmtId="0" fontId="50" fillId="4" borderId="0" xfId="0" applyFont="1" applyFill="1"/>
    <xf numFmtId="171" fontId="51" fillId="4" borderId="0" xfId="6" applyNumberFormat="1" applyFont="1" applyFill="1"/>
    <xf numFmtId="43" fontId="51" fillId="4" borderId="0" xfId="1" applyFont="1" applyFill="1"/>
    <xf numFmtId="215" fontId="49" fillId="4" borderId="0" xfId="2" applyNumberFormat="1" applyFont="1" applyFill="1"/>
    <xf numFmtId="203" fontId="49" fillId="4" borderId="0" xfId="2" applyNumberFormat="1" applyFont="1" applyFill="1"/>
    <xf numFmtId="7" fontId="49" fillId="4" borderId="0" xfId="2" applyNumberFormat="1" applyFont="1" applyFill="1"/>
    <xf numFmtId="172" fontId="49" fillId="4" borderId="0" xfId="0" applyNumberFormat="1" applyFont="1" applyFill="1"/>
    <xf numFmtId="43" fontId="49" fillId="4" borderId="0" xfId="2" applyNumberFormat="1" applyFont="1" applyFill="1"/>
    <xf numFmtId="9" fontId="51" fillId="4" borderId="0" xfId="6" applyFont="1" applyFill="1"/>
    <xf numFmtId="195" fontId="49" fillId="4" borderId="0" xfId="2" applyNumberFormat="1" applyFont="1" applyFill="1"/>
    <xf numFmtId="169" fontId="49" fillId="4" borderId="0" xfId="1" applyNumberFormat="1" applyFont="1" applyFill="1"/>
    <xf numFmtId="195" fontId="49" fillId="4" borderId="0" xfId="0" applyNumberFormat="1" applyFont="1" applyFill="1"/>
    <xf numFmtId="195" fontId="49" fillId="4" borderId="0" xfId="1" applyNumberFormat="1" applyFont="1" applyFill="1"/>
    <xf numFmtId="169" fontId="50" fillId="4" borderId="0" xfId="1" applyNumberFormat="1" applyFont="1" applyFill="1"/>
    <xf numFmtId="7" fontId="49" fillId="4" borderId="0" xfId="0" applyNumberFormat="1" applyFont="1" applyFill="1"/>
    <xf numFmtId="43" fontId="50" fillId="4" borderId="0" xfId="2" applyNumberFormat="1" applyFont="1" applyFill="1"/>
    <xf numFmtId="0" fontId="49" fillId="4" borderId="0" xfId="0" applyFont="1" applyFill="1" applyAlignment="1">
      <alignment horizontal="right"/>
    </xf>
    <xf numFmtId="0" fontId="49" fillId="0" borderId="0" xfId="0" applyFont="1"/>
    <xf numFmtId="0" fontId="50" fillId="4" borderId="0" xfId="0" applyFont="1" applyFill="1" applyAlignment="1">
      <alignment horizontal="center"/>
    </xf>
    <xf numFmtId="0" fontId="49" fillId="4" borderId="0" xfId="0" applyFont="1" applyFill="1" applyAlignment="1">
      <alignment horizontal="center"/>
    </xf>
    <xf numFmtId="210" fontId="49" fillId="4" borderId="0" xfId="0" applyNumberFormat="1" applyFont="1" applyFill="1" applyAlignment="1">
      <alignment horizontal="center"/>
    </xf>
    <xf numFmtId="210" fontId="49" fillId="4" borderId="0" xfId="0" applyNumberFormat="1" applyFont="1" applyFill="1"/>
    <xf numFmtId="0" fontId="52" fillId="4" borderId="0" xfId="0" applyFont="1" applyFill="1"/>
    <xf numFmtId="0" fontId="49" fillId="4" borderId="0" xfId="0" applyFont="1" applyFill="1" applyAlignment="1"/>
    <xf numFmtId="0" fontId="53" fillId="4" borderId="0" xfId="0" applyFont="1" applyFill="1"/>
    <xf numFmtId="7" fontId="49" fillId="4" borderId="0" xfId="0" applyNumberFormat="1" applyFont="1" applyFill="1" applyAlignment="1">
      <alignment horizontal="right"/>
    </xf>
    <xf numFmtId="207" fontId="49" fillId="4" borderId="0" xfId="0" applyNumberFormat="1" applyFont="1" applyFill="1" applyAlignment="1">
      <alignment horizontal="right"/>
    </xf>
    <xf numFmtId="195" fontId="49" fillId="4" borderId="0" xfId="1" applyNumberFormat="1" applyFont="1" applyFill="1" applyAlignment="1">
      <alignment horizontal="right"/>
    </xf>
    <xf numFmtId="10" fontId="49" fillId="4" borderId="0" xfId="0" applyNumberFormat="1" applyFont="1" applyFill="1" applyAlignment="1">
      <alignment horizontal="right"/>
    </xf>
    <xf numFmtId="195" fontId="49" fillId="4" borderId="0" xfId="2" applyNumberFormat="1" applyFont="1" applyFill="1" applyAlignment="1">
      <alignment horizontal="right"/>
    </xf>
    <xf numFmtId="44" fontId="49" fillId="4" borderId="0" xfId="0" applyNumberFormat="1" applyFont="1" applyFill="1" applyAlignment="1"/>
    <xf numFmtId="170" fontId="49" fillId="4" borderId="0" xfId="0" applyNumberFormat="1" applyFont="1" applyFill="1" applyAlignment="1">
      <alignment horizontal="right"/>
    </xf>
    <xf numFmtId="0" fontId="49" fillId="0" borderId="0" xfId="0" applyFont="1" applyFill="1"/>
    <xf numFmtId="44" fontId="49" fillId="4" borderId="0" xfId="2" applyNumberFormat="1" applyFont="1" applyFill="1"/>
    <xf numFmtId="203" fontId="49" fillId="4" borderId="0" xfId="0" applyNumberFormat="1" applyFont="1" applyFill="1"/>
    <xf numFmtId="203" fontId="50" fillId="4" borderId="0" xfId="2" applyNumberFormat="1" applyFont="1" applyFill="1" applyAlignment="1">
      <alignment horizontal="center"/>
    </xf>
    <xf numFmtId="10" fontId="51" fillId="4" borderId="0" xfId="0" applyNumberFormat="1" applyFont="1" applyFill="1"/>
    <xf numFmtId="0" fontId="54" fillId="4" borderId="0" xfId="0" applyFont="1" applyFill="1"/>
    <xf numFmtId="0" fontId="55" fillId="4" borderId="0" xfId="0" applyFont="1" applyFill="1"/>
    <xf numFmtId="44" fontId="50" fillId="4" borderId="0" xfId="2" applyFont="1" applyFill="1"/>
    <xf numFmtId="1" fontId="49" fillId="4" borderId="0" xfId="0" applyNumberFormat="1" applyFont="1" applyFill="1"/>
    <xf numFmtId="9" fontId="49" fillId="4" borderId="0" xfId="6" applyFont="1" applyFill="1"/>
    <xf numFmtId="0" fontId="55" fillId="4" borderId="0" xfId="0" applyFont="1" applyFill="1" applyAlignment="1">
      <alignment horizontal="right"/>
    </xf>
    <xf numFmtId="0" fontId="56" fillId="4" borderId="0" xfId="0" applyFont="1" applyFill="1"/>
    <xf numFmtId="0" fontId="54" fillId="4" borderId="0" xfId="0" applyFont="1" applyFill="1" applyAlignment="1">
      <alignment horizontal="right"/>
    </xf>
    <xf numFmtId="0" fontId="56" fillId="4" borderId="0" xfId="0" applyFont="1" applyFill="1" applyAlignment="1">
      <alignment horizontal="right"/>
    </xf>
    <xf numFmtId="195" fontId="55" fillId="4" borderId="0" xfId="1" applyNumberFormat="1" applyFont="1" applyFill="1" applyAlignment="1">
      <alignment horizontal="right"/>
    </xf>
    <xf numFmtId="195" fontId="55" fillId="4" borderId="0" xfId="1" applyNumberFormat="1" applyFont="1" applyFill="1" applyBorder="1" applyAlignment="1">
      <alignment horizontal="right"/>
    </xf>
    <xf numFmtId="169" fontId="49" fillId="4" borderId="0" xfId="0" applyNumberFormat="1" applyFont="1" applyFill="1"/>
    <xf numFmtId="195" fontId="55" fillId="4" borderId="0" xfId="1" applyNumberFormat="1" applyFont="1" applyFill="1" applyBorder="1"/>
    <xf numFmtId="0" fontId="50" fillId="4" borderId="0" xfId="0" applyFont="1" applyFill="1" applyBorder="1"/>
    <xf numFmtId="0" fontId="57" fillId="4" borderId="0" xfId="0" applyFont="1" applyFill="1"/>
    <xf numFmtId="0" fontId="58" fillId="4" borderId="0" xfId="0" applyFont="1" applyFill="1" applyBorder="1" applyAlignment="1">
      <alignment horizontal="center"/>
    </xf>
    <xf numFmtId="0" fontId="59" fillId="4" borderId="0" xfId="0" applyFont="1" applyFill="1"/>
    <xf numFmtId="0" fontId="60" fillId="4" borderId="0" xfId="0" applyFont="1" applyFill="1"/>
    <xf numFmtId="0" fontId="60" fillId="4" borderId="0" xfId="0" applyFont="1" applyFill="1" applyAlignment="1">
      <alignment horizontal="center"/>
    </xf>
    <xf numFmtId="0" fontId="60" fillId="4" borderId="0" xfId="0" applyFont="1" applyFill="1" applyBorder="1" applyAlignment="1">
      <alignment horizontal="center"/>
    </xf>
    <xf numFmtId="0" fontId="50" fillId="4" borderId="0" xfId="0" applyFont="1" applyFill="1" applyBorder="1" applyAlignment="1">
      <alignment horizontal="left"/>
    </xf>
    <xf numFmtId="9" fontId="51" fillId="4" borderId="0" xfId="6" applyFont="1" applyFill="1" applyBorder="1"/>
    <xf numFmtId="0" fontId="50" fillId="0" borderId="17" xfId="0" applyFont="1" applyFill="1" applyBorder="1" applyAlignment="1">
      <alignment horizontal="left"/>
    </xf>
    <xf numFmtId="44" fontId="51" fillId="4" borderId="0" xfId="1" applyNumberFormat="1" applyFont="1" applyFill="1" applyBorder="1" applyAlignment="1">
      <alignment horizontal="right"/>
    </xf>
    <xf numFmtId="0" fontId="50" fillId="0" borderId="0" xfId="0" applyFont="1" applyFill="1" applyBorder="1" applyAlignment="1">
      <alignment horizontal="left"/>
    </xf>
    <xf numFmtId="170" fontId="49" fillId="4" borderId="0" xfId="0" applyNumberFormat="1" applyFont="1" applyFill="1" applyBorder="1" applyAlignment="1">
      <alignment horizontal="center"/>
    </xf>
    <xf numFmtId="170" fontId="49" fillId="4" borderId="0" xfId="0" applyNumberFormat="1" applyFont="1" applyFill="1"/>
    <xf numFmtId="205" fontId="51" fillId="0" borderId="0" xfId="2" applyNumberFormat="1" applyFont="1" applyFill="1" applyBorder="1" applyAlignment="1">
      <alignment horizontal="left"/>
    </xf>
    <xf numFmtId="206" fontId="51" fillId="0" borderId="0" xfId="2" applyNumberFormat="1" applyFont="1" applyFill="1" applyBorder="1" applyAlignment="1">
      <alignment horizontal="left"/>
    </xf>
    <xf numFmtId="206" fontId="49" fillId="0" borderId="0" xfId="2" applyNumberFormat="1" applyFont="1" applyFill="1" applyBorder="1" applyAlignment="1">
      <alignment horizontal="left"/>
    </xf>
    <xf numFmtId="206" fontId="49" fillId="0" borderId="25" xfId="0" applyNumberFormat="1" applyFont="1" applyFill="1" applyBorder="1" applyAlignment="1">
      <alignment horizontal="center"/>
    </xf>
    <xf numFmtId="0" fontId="50" fillId="4" borderId="0" xfId="0" applyFont="1" applyFill="1" applyAlignment="1"/>
    <xf numFmtId="44" fontId="49" fillId="4" borderId="0" xfId="2" applyFont="1" applyFill="1" applyAlignment="1"/>
    <xf numFmtId="0" fontId="54" fillId="4" borderId="1" xfId="0" applyFont="1" applyFill="1" applyBorder="1" applyAlignment="1">
      <alignment horizontal="left"/>
    </xf>
    <xf numFmtId="0" fontId="49" fillId="4" borderId="1" xfId="0" applyFont="1" applyFill="1" applyBorder="1"/>
    <xf numFmtId="0" fontId="54" fillId="4" borderId="0" xfId="0" applyFont="1" applyFill="1" applyBorder="1" applyAlignment="1">
      <alignment horizontal="center"/>
    </xf>
    <xf numFmtId="0" fontId="49" fillId="4" borderId="3" xfId="0" applyFont="1" applyFill="1" applyBorder="1"/>
    <xf numFmtId="0" fontId="54" fillId="4" borderId="3" xfId="0" applyFont="1" applyFill="1" applyBorder="1" applyAlignment="1">
      <alignment horizontal="center"/>
    </xf>
    <xf numFmtId="174" fontId="49" fillId="4" borderId="0" xfId="0" quotePrefix="1" applyNumberFormat="1" applyFont="1" applyFill="1" applyAlignment="1">
      <alignment horizontal="center"/>
    </xf>
    <xf numFmtId="165" fontId="49" fillId="4" borderId="0" xfId="0" applyNumberFormat="1" applyFont="1" applyFill="1" applyBorder="1" applyAlignment="1">
      <alignment horizontal="right"/>
    </xf>
    <xf numFmtId="0" fontId="51" fillId="4" borderId="0" xfId="0" applyFont="1" applyFill="1"/>
    <xf numFmtId="203" fontId="49" fillId="4" borderId="0" xfId="2" applyNumberFormat="1" applyFont="1" applyFill="1" applyBorder="1" applyAlignment="1">
      <alignment horizontal="right"/>
    </xf>
    <xf numFmtId="173" fontId="49" fillId="4" borderId="0" xfId="0" quotePrefix="1" applyNumberFormat="1" applyFont="1" applyFill="1" applyAlignment="1">
      <alignment horizontal="center"/>
    </xf>
    <xf numFmtId="173" fontId="49" fillId="4" borderId="0" xfId="0" applyNumberFormat="1" applyFont="1" applyFill="1" applyBorder="1" applyAlignment="1">
      <alignment horizontal="right"/>
    </xf>
    <xf numFmtId="173" fontId="50" fillId="4" borderId="0" xfId="0" applyNumberFormat="1" applyFont="1" applyFill="1" applyBorder="1" applyAlignment="1">
      <alignment horizontal="right"/>
    </xf>
    <xf numFmtId="0" fontId="61" fillId="4" borderId="0" xfId="0" applyFont="1" applyFill="1"/>
    <xf numFmtId="43" fontId="50" fillId="4" borderId="0" xfId="0" applyNumberFormat="1" applyFont="1" applyFill="1" applyBorder="1" applyAlignment="1">
      <alignment horizontal="right"/>
    </xf>
    <xf numFmtId="170" fontId="49" fillId="4" borderId="0" xfId="0" quotePrefix="1" applyNumberFormat="1" applyFont="1" applyFill="1" applyBorder="1" applyAlignment="1">
      <alignment horizontal="center"/>
    </xf>
    <xf numFmtId="1" fontId="49" fillId="4" borderId="0" xfId="0" applyNumberFormat="1" applyFont="1" applyFill="1" applyAlignment="1">
      <alignment horizontal="right"/>
    </xf>
    <xf numFmtId="170" fontId="51" fillId="4" borderId="0" xfId="0" applyNumberFormat="1" applyFont="1" applyFill="1"/>
    <xf numFmtId="165" fontId="49" fillId="4" borderId="0" xfId="0" applyNumberFormat="1" applyFont="1" applyFill="1" applyAlignment="1">
      <alignment horizontal="right"/>
    </xf>
    <xf numFmtId="165" fontId="49" fillId="4" borderId="0" xfId="0" applyNumberFormat="1" applyFont="1" applyFill="1"/>
    <xf numFmtId="175" fontId="49" fillId="4" borderId="0" xfId="0" applyNumberFormat="1" applyFont="1" applyFill="1" applyBorder="1" applyAlignment="1">
      <alignment horizontal="right"/>
    </xf>
    <xf numFmtId="165" fontId="49" fillId="4" borderId="0" xfId="0" applyNumberFormat="1" applyFont="1" applyFill="1" applyBorder="1"/>
    <xf numFmtId="41" fontId="49" fillId="4" borderId="0" xfId="0" applyNumberFormat="1" applyFont="1" applyFill="1" applyBorder="1"/>
    <xf numFmtId="170" fontId="49" fillId="4" borderId="0" xfId="0" quotePrefix="1" applyNumberFormat="1" applyFont="1" applyFill="1" applyAlignment="1">
      <alignment horizontal="center"/>
    </xf>
    <xf numFmtId="41" fontId="49" fillId="4" borderId="0" xfId="0" applyNumberFormat="1" applyFont="1" applyFill="1"/>
    <xf numFmtId="44" fontId="49" fillId="4" borderId="2" xfId="2" applyFont="1" applyFill="1" applyBorder="1" applyAlignment="1">
      <alignment horizontal="right"/>
    </xf>
    <xf numFmtId="14" fontId="49" fillId="4" borderId="0" xfId="0" applyNumberFormat="1" applyFont="1" applyFill="1" applyAlignment="1">
      <alignment horizontal="center"/>
    </xf>
    <xf numFmtId="44" fontId="49" fillId="4" borderId="0" xfId="0" applyNumberFormat="1" applyFont="1" applyFill="1"/>
    <xf numFmtId="44" fontId="49" fillId="4" borderId="0" xfId="0" applyNumberFormat="1" applyFont="1" applyFill="1" applyAlignment="1">
      <alignment horizontal="right"/>
    </xf>
    <xf numFmtId="9" fontId="49" fillId="4" borderId="2" xfId="6" applyFont="1" applyFill="1" applyBorder="1" applyAlignment="1">
      <alignment horizontal="right"/>
    </xf>
    <xf numFmtId="0" fontId="49" fillId="0" borderId="0" xfId="0" applyFont="1" applyAlignment="1"/>
    <xf numFmtId="195" fontId="50" fillId="4" borderId="0" xfId="1" applyNumberFormat="1" applyFont="1" applyFill="1"/>
    <xf numFmtId="7" fontId="50" fillId="4" borderId="0" xfId="2" applyNumberFormat="1" applyFont="1" applyFill="1"/>
    <xf numFmtId="171" fontId="50" fillId="4" borderId="0" xfId="6" applyNumberFormat="1" applyFont="1" applyFill="1"/>
    <xf numFmtId="208" fontId="49" fillId="4" borderId="0" xfId="1" applyNumberFormat="1" applyFont="1" applyFill="1"/>
    <xf numFmtId="206" fontId="49" fillId="4" borderId="0" xfId="0" applyNumberFormat="1" applyFont="1" applyFill="1" applyAlignment="1">
      <alignment horizontal="right"/>
    </xf>
    <xf numFmtId="206" fontId="51" fillId="4" borderId="0" xfId="0" applyNumberFormat="1" applyFont="1" applyFill="1"/>
    <xf numFmtId="206" fontId="49" fillId="4" borderId="0" xfId="1" quotePrefix="1" applyNumberFormat="1" applyFont="1" applyFill="1" applyBorder="1" applyAlignment="1">
      <alignment horizontal="center"/>
    </xf>
    <xf numFmtId="172" fontId="49" fillId="4" borderId="0" xfId="0" applyNumberFormat="1" applyFont="1" applyFill="1" applyAlignment="1"/>
    <xf numFmtId="169" fontId="49" fillId="4" borderId="0" xfId="2" applyNumberFormat="1" applyFont="1" applyFill="1"/>
    <xf numFmtId="0" fontId="52" fillId="4" borderId="0" xfId="0" applyFont="1" applyFill="1" applyAlignment="1">
      <alignment horizontal="center"/>
    </xf>
    <xf numFmtId="171" fontId="59" fillId="4" borderId="0" xfId="6" applyNumberFormat="1" applyFont="1" applyFill="1" applyAlignment="1">
      <alignment horizontal="center"/>
    </xf>
    <xf numFmtId="0" fontId="62" fillId="4" borderId="0" xfId="0" applyFont="1" applyFill="1" applyAlignment="1">
      <alignment horizontal="center"/>
    </xf>
    <xf numFmtId="0" fontId="63" fillId="4" borderId="0" xfId="0" applyFont="1" applyFill="1" applyAlignment="1">
      <alignment horizontal="center"/>
    </xf>
    <xf numFmtId="215" fontId="49" fillId="4" borderId="0" xfId="0" applyNumberFormat="1" applyFont="1" applyFill="1" applyAlignment="1">
      <alignment horizontal="center"/>
    </xf>
    <xf numFmtId="43" fontId="36" fillId="0" borderId="0" xfId="1" applyNumberFormat="1" applyFont="1"/>
    <xf numFmtId="15" fontId="0" fillId="0" borderId="0" xfId="0" applyNumberFormat="1"/>
    <xf numFmtId="0" fontId="49" fillId="4" borderId="0" xfId="0" applyFont="1" applyFill="1" applyAlignment="1">
      <alignment horizontal="left"/>
    </xf>
    <xf numFmtId="0" fontId="41" fillId="4" borderId="0" xfId="0" applyFont="1" applyFill="1" applyAlignment="1">
      <alignment horizontal="center"/>
    </xf>
    <xf numFmtId="2" fontId="7" fillId="0" borderId="0" xfId="0" applyNumberFormat="1" applyFont="1" applyAlignment="1">
      <alignment wrapText="1"/>
    </xf>
    <xf numFmtId="206" fontId="49" fillId="4" borderId="0" xfId="1" applyNumberFormat="1" applyFont="1" applyFill="1"/>
    <xf numFmtId="0" fontId="29" fillId="0" borderId="0" xfId="5"/>
    <xf numFmtId="0" fontId="64" fillId="0" borderId="0" xfId="5" applyFont="1"/>
    <xf numFmtId="0" fontId="29" fillId="0" borderId="0" xfId="5" applyAlignment="1">
      <alignment horizontal="center"/>
    </xf>
    <xf numFmtId="0" fontId="54" fillId="0" borderId="0" xfId="5" applyFont="1"/>
    <xf numFmtId="0" fontId="53" fillId="0" borderId="0" xfId="5" applyFont="1"/>
    <xf numFmtId="0" fontId="50" fillId="0" borderId="0" xfId="5" applyFont="1" applyAlignment="1">
      <alignment horizontal="center"/>
    </xf>
    <xf numFmtId="0" fontId="52" fillId="0" borderId="0" xfId="5" applyFont="1" applyAlignment="1">
      <alignment horizontal="center"/>
    </xf>
    <xf numFmtId="2" fontId="52" fillId="0" borderId="0" xfId="5" applyNumberFormat="1" applyFont="1"/>
    <xf numFmtId="0" fontId="49" fillId="0" borderId="0" xfId="5" applyFont="1" applyAlignment="1">
      <alignment horizontal="left"/>
    </xf>
    <xf numFmtId="14" fontId="49" fillId="0" borderId="0" xfId="5" applyNumberFormat="1" applyFont="1" applyAlignment="1">
      <alignment horizontal="center"/>
    </xf>
    <xf numFmtId="208" fontId="29" fillId="0" borderId="0" xfId="5" applyNumberFormat="1"/>
    <xf numFmtId="169" fontId="49" fillId="0" borderId="0" xfId="1" applyNumberFormat="1" applyFont="1" applyAlignment="1">
      <alignment horizontal="right"/>
    </xf>
    <xf numFmtId="0" fontId="29" fillId="0" borderId="0" xfId="5" applyFont="1"/>
    <xf numFmtId="6" fontId="29" fillId="0" borderId="0" xfId="5" applyNumberFormat="1"/>
    <xf numFmtId="6" fontId="29" fillId="0" borderId="0" xfId="5" applyNumberFormat="1" applyAlignment="1">
      <alignment horizontal="right"/>
    </xf>
    <xf numFmtId="195" fontId="29" fillId="0" borderId="0" xfId="5" applyNumberFormat="1" applyAlignment="1">
      <alignment horizontal="right"/>
    </xf>
    <xf numFmtId="195" fontId="66" fillId="0" borderId="0" xfId="1" applyNumberFormat="1" applyFont="1"/>
    <xf numFmtId="195" fontId="66" fillId="0" borderId="0" xfId="1" applyNumberFormat="1" applyFont="1" applyAlignment="1">
      <alignment horizontal="right"/>
    </xf>
    <xf numFmtId="195" fontId="29" fillId="0" borderId="0" xfId="1" applyNumberFormat="1" applyFont="1"/>
    <xf numFmtId="2" fontId="29" fillId="0" borderId="0" xfId="5" applyNumberFormat="1" applyFont="1"/>
    <xf numFmtId="195" fontId="29" fillId="0" borderId="0" xfId="1" applyNumberFormat="1" applyFont="1" applyAlignment="1">
      <alignment horizontal="right"/>
    </xf>
    <xf numFmtId="2" fontId="29" fillId="0" borderId="0" xfId="5" applyNumberFormat="1"/>
    <xf numFmtId="171" fontId="29" fillId="0" borderId="0" xfId="5" applyNumberFormat="1"/>
    <xf numFmtId="6" fontId="29" fillId="0" borderId="0" xfId="1" applyNumberFormat="1" applyFont="1"/>
    <xf numFmtId="6" fontId="29" fillId="0" borderId="15" xfId="5" applyNumberFormat="1" applyBorder="1"/>
    <xf numFmtId="195" fontId="49" fillId="0" borderId="0" xfId="1" applyNumberFormat="1" applyFont="1"/>
    <xf numFmtId="2" fontId="49" fillId="0" borderId="0" xfId="5" applyNumberFormat="1" applyFont="1"/>
    <xf numFmtId="0" fontId="52" fillId="0" borderId="0" xfId="5" applyFont="1"/>
    <xf numFmtId="220" fontId="50" fillId="0" borderId="0" xfId="1" applyNumberFormat="1" applyFont="1"/>
    <xf numFmtId="220" fontId="29" fillId="0" borderId="0" xfId="1" applyNumberFormat="1" applyFont="1"/>
    <xf numFmtId="195" fontId="29" fillId="0" borderId="0" xfId="5" applyNumberFormat="1"/>
    <xf numFmtId="195" fontId="49" fillId="0" borderId="0" xfId="1" applyNumberFormat="1" applyFont="1" applyAlignment="1">
      <alignment horizontal="right"/>
    </xf>
    <xf numFmtId="195" fontId="29" fillId="0" borderId="0" xfId="5" applyNumberFormat="1" applyAlignment="1">
      <alignment horizontal="center"/>
    </xf>
    <xf numFmtId="0" fontId="50" fillId="0" borderId="0" xfId="5" applyFont="1"/>
    <xf numFmtId="9" fontId="29" fillId="0" borderId="0" xfId="5" applyNumberFormat="1"/>
    <xf numFmtId="220" fontId="29" fillId="0" borderId="0" xfId="5" applyNumberFormat="1"/>
    <xf numFmtId="2" fontId="68" fillId="0" borderId="0" xfId="5" applyNumberFormat="1" applyFont="1" applyBorder="1"/>
    <xf numFmtId="9" fontId="50" fillId="0" borderId="0" xfId="5" applyNumberFormat="1" applyFont="1"/>
    <xf numFmtId="0" fontId="29" fillId="0" borderId="0" xfId="5" applyBorder="1"/>
    <xf numFmtId="6" fontId="29" fillId="0" borderId="0" xfId="5" applyNumberFormat="1" applyBorder="1"/>
    <xf numFmtId="0" fontId="68" fillId="0" borderId="0" xfId="5" applyFont="1" applyBorder="1"/>
    <xf numFmtId="9" fontId="29" fillId="0" borderId="0" xfId="5" applyNumberFormat="1" applyBorder="1"/>
    <xf numFmtId="6" fontId="68" fillId="0" borderId="0" xfId="5" applyNumberFormat="1" applyFont="1" applyBorder="1"/>
    <xf numFmtId="1" fontId="29" fillId="0" borderId="0" xfId="5" applyNumberFormat="1"/>
    <xf numFmtId="44" fontId="70" fillId="4" borderId="0" xfId="0" applyNumberFormat="1" applyFont="1" applyFill="1" applyBorder="1" applyAlignment="1">
      <alignment horizontal="center"/>
    </xf>
    <xf numFmtId="0" fontId="70" fillId="4" borderId="0" xfId="0" quotePrefix="1" applyFont="1" applyFill="1" applyBorder="1" applyAlignment="1">
      <alignment horizontal="center"/>
    </xf>
    <xf numFmtId="0" fontId="70" fillId="4" borderId="0" xfId="0" applyFont="1" applyFill="1" applyBorder="1"/>
    <xf numFmtId="9" fontId="70" fillId="4" borderId="0" xfId="0" applyNumberFormat="1" applyFont="1" applyFill="1" applyBorder="1" applyAlignment="1">
      <alignment horizontal="center"/>
    </xf>
    <xf numFmtId="0" fontId="70" fillId="4" borderId="0" xfId="0" applyFont="1" applyFill="1" applyBorder="1" applyAlignment="1">
      <alignment horizontal="center"/>
    </xf>
    <xf numFmtId="7" fontId="49" fillId="4" borderId="0" xfId="2" applyNumberFormat="1" applyFont="1" applyFill="1" applyBorder="1"/>
    <xf numFmtId="0" fontId="50" fillId="4" borderId="12" xfId="0" applyFont="1" applyFill="1" applyBorder="1"/>
    <xf numFmtId="0" fontId="50" fillId="4" borderId="4" xfId="0" applyFont="1" applyFill="1" applyBorder="1"/>
    <xf numFmtId="0" fontId="50" fillId="4" borderId="4" xfId="0" applyFont="1" applyFill="1" applyBorder="1" applyAlignment="1">
      <alignment horizontal="center"/>
    </xf>
    <xf numFmtId="203" fontId="50" fillId="4" borderId="4" xfId="0" applyNumberFormat="1" applyFont="1" applyFill="1" applyBorder="1"/>
    <xf numFmtId="203" fontId="50" fillId="4" borderId="13" xfId="0" applyNumberFormat="1" applyFont="1" applyFill="1" applyBorder="1"/>
    <xf numFmtId="0" fontId="49" fillId="4" borderId="4" xfId="0" applyFont="1" applyFill="1" applyBorder="1"/>
    <xf numFmtId="206" fontId="49" fillId="4" borderId="4" xfId="0" applyNumberFormat="1" applyFont="1" applyFill="1" applyBorder="1" applyAlignment="1">
      <alignment horizontal="center"/>
    </xf>
    <xf numFmtId="5" fontId="49" fillId="4" borderId="0" xfId="0" applyNumberFormat="1" applyFont="1" applyFill="1" applyAlignment="1">
      <alignment horizontal="right"/>
    </xf>
    <xf numFmtId="169" fontId="49" fillId="4" borderId="0" xfId="2" applyNumberFormat="1" applyFont="1" applyFill="1" applyAlignment="1">
      <alignment horizontal="right"/>
    </xf>
    <xf numFmtId="44" fontId="48" fillId="4" borderId="0" xfId="0" applyNumberFormat="1" applyFont="1" applyFill="1"/>
    <xf numFmtId="43" fontId="46" fillId="4" borderId="0" xfId="0" quotePrefix="1" applyNumberFormat="1" applyFont="1" applyFill="1" applyAlignment="1">
      <alignment horizontal="right"/>
    </xf>
    <xf numFmtId="0" fontId="71" fillId="4" borderId="0" xfId="0" applyFont="1" applyFill="1"/>
    <xf numFmtId="9" fontId="51" fillId="4" borderId="0" xfId="1" applyNumberFormat="1" applyFont="1" applyFill="1"/>
    <xf numFmtId="169" fontId="51" fillId="4" borderId="0" xfId="1" applyNumberFormat="1" applyFont="1" applyFill="1"/>
    <xf numFmtId="0" fontId="50" fillId="4" borderId="26" xfId="0" applyFont="1" applyFill="1" applyBorder="1" applyAlignment="1">
      <alignment horizontal="left"/>
    </xf>
    <xf numFmtId="0" fontId="50" fillId="4" borderId="27" xfId="0" applyFont="1" applyFill="1" applyBorder="1" applyAlignment="1">
      <alignment horizontal="left"/>
    </xf>
    <xf numFmtId="0" fontId="50" fillId="4" borderId="28" xfId="0" applyFont="1" applyFill="1" applyBorder="1" applyAlignment="1">
      <alignment horizontal="center"/>
    </xf>
    <xf numFmtId="170" fontId="49" fillId="4" borderId="27" xfId="0" applyNumberFormat="1" applyFont="1" applyFill="1" applyBorder="1" applyAlignment="1">
      <alignment horizontal="center"/>
    </xf>
    <xf numFmtId="206" fontId="49" fillId="4" borderId="29" xfId="0" applyNumberFormat="1" applyFont="1" applyFill="1" applyBorder="1" applyAlignment="1">
      <alignment horizontal="center"/>
    </xf>
    <xf numFmtId="206" fontId="49" fillId="4" borderId="28" xfId="0" applyNumberFormat="1" applyFont="1" applyFill="1" applyBorder="1" applyAlignment="1">
      <alignment horizontal="center"/>
    </xf>
    <xf numFmtId="170" fontId="49" fillId="4" borderId="29" xfId="0" applyNumberFormat="1" applyFont="1" applyFill="1" applyBorder="1" applyAlignment="1">
      <alignment horizontal="center"/>
    </xf>
    <xf numFmtId="0" fontId="54" fillId="4" borderId="0" xfId="0" applyFont="1" applyFill="1" applyBorder="1" applyAlignment="1">
      <alignment horizontal="left"/>
    </xf>
    <xf numFmtId="0" fontId="49" fillId="4" borderId="5" xfId="0" applyFont="1" applyFill="1" applyBorder="1"/>
    <xf numFmtId="0" fontId="55" fillId="4" borderId="5" xfId="0" applyFont="1" applyFill="1" applyBorder="1"/>
    <xf numFmtId="0" fontId="54" fillId="4" borderId="3" xfId="0" applyFont="1" applyFill="1" applyBorder="1" applyAlignment="1">
      <alignment horizontal="right"/>
    </xf>
    <xf numFmtId="203" fontId="50" fillId="4" borderId="15" xfId="2" applyNumberFormat="1" applyFont="1" applyFill="1" applyBorder="1" applyAlignment="1">
      <alignment horizontal="left"/>
    </xf>
    <xf numFmtId="203" fontId="50" fillId="4" borderId="15" xfId="2" applyNumberFormat="1" applyFont="1" applyFill="1" applyBorder="1" applyAlignment="1">
      <alignment horizontal="center"/>
    </xf>
    <xf numFmtId="0" fontId="65" fillId="4" borderId="0" xfId="0" quotePrefix="1" applyFont="1" applyFill="1"/>
    <xf numFmtId="206" fontId="61" fillId="4" borderId="0" xfId="0" applyNumberFormat="1" applyFont="1" applyFill="1" applyBorder="1" applyAlignment="1">
      <alignment horizontal="right"/>
    </xf>
    <xf numFmtId="170" fontId="61" fillId="4" borderId="0" xfId="0" quotePrefix="1" applyNumberFormat="1" applyFont="1" applyFill="1" applyBorder="1" applyAlignment="1">
      <alignment horizontal="center"/>
    </xf>
    <xf numFmtId="170" fontId="51" fillId="4" borderId="0" xfId="0" quotePrefix="1" applyNumberFormat="1" applyFont="1" applyFill="1" applyBorder="1" applyAlignment="1">
      <alignment horizontal="center"/>
    </xf>
    <xf numFmtId="173" fontId="61" fillId="4" borderId="0" xfId="0" applyNumberFormat="1" applyFont="1" applyFill="1" applyBorder="1" applyAlignment="1">
      <alignment horizontal="right"/>
    </xf>
    <xf numFmtId="165" fontId="51" fillId="4" borderId="0" xfId="0" applyNumberFormat="1" applyFont="1" applyFill="1" applyBorder="1" applyAlignment="1">
      <alignment horizontal="right"/>
    </xf>
    <xf numFmtId="195" fontId="51" fillId="4" borderId="0" xfId="0" applyNumberFormat="1" applyFont="1" applyFill="1" applyBorder="1" applyAlignment="1">
      <alignment horizontal="right"/>
    </xf>
    <xf numFmtId="173" fontId="66" fillId="4" borderId="0" xfId="0" applyNumberFormat="1" applyFont="1" applyFill="1" applyBorder="1" applyAlignment="1">
      <alignment horizontal="right"/>
    </xf>
    <xf numFmtId="173" fontId="66" fillId="4" borderId="0" xfId="0" quotePrefix="1" applyNumberFormat="1" applyFont="1" applyFill="1" applyAlignment="1">
      <alignment horizontal="center"/>
    </xf>
    <xf numFmtId="1" fontId="66" fillId="4" borderId="0" xfId="2" applyNumberFormat="1" applyFont="1" applyFill="1" applyBorder="1" applyAlignment="1">
      <alignment horizontal="right"/>
    </xf>
    <xf numFmtId="203" fontId="66" fillId="4" borderId="0" xfId="2" applyNumberFormat="1" applyFont="1" applyFill="1" applyBorder="1" applyAlignment="1">
      <alignment horizontal="right"/>
    </xf>
    <xf numFmtId="203" fontId="50" fillId="4" borderId="0" xfId="2" applyNumberFormat="1" applyFont="1" applyFill="1" applyBorder="1" applyAlignment="1">
      <alignment horizontal="left"/>
    </xf>
    <xf numFmtId="203" fontId="50" fillId="4" borderId="0" xfId="2" applyNumberFormat="1" applyFont="1" applyFill="1" applyBorder="1" applyAlignment="1">
      <alignment horizontal="center"/>
    </xf>
    <xf numFmtId="203" fontId="49" fillId="4" borderId="0" xfId="2" applyNumberFormat="1" applyFont="1" applyFill="1" applyAlignment="1">
      <alignment horizontal="right"/>
    </xf>
    <xf numFmtId="203" fontId="49" fillId="4" borderId="0" xfId="0" quotePrefix="1" applyNumberFormat="1" applyFont="1" applyFill="1" applyAlignment="1">
      <alignment horizontal="center"/>
    </xf>
    <xf numFmtId="203" fontId="49" fillId="4" borderId="2" xfId="2" applyNumberFormat="1" applyFont="1" applyFill="1" applyBorder="1" applyAlignment="1">
      <alignment horizontal="right"/>
    </xf>
    <xf numFmtId="0" fontId="53" fillId="4" borderId="0" xfId="0" applyFont="1" applyFill="1" applyAlignment="1">
      <alignment horizontal="left"/>
    </xf>
    <xf numFmtId="9" fontId="53" fillId="4" borderId="0" xfId="6" applyFont="1" applyFill="1"/>
    <xf numFmtId="9" fontId="51" fillId="0" borderId="0" xfId="5" applyNumberFormat="1" applyFont="1" applyAlignment="1">
      <alignment horizontal="right"/>
    </xf>
    <xf numFmtId="195" fontId="1" fillId="0" borderId="0" xfId="1" applyNumberFormat="1" applyFont="1" applyAlignment="1"/>
    <xf numFmtId="195" fontId="1" fillId="0" borderId="0" xfId="1" applyNumberFormat="1" applyFont="1" applyAlignment="1">
      <alignment wrapText="1"/>
    </xf>
    <xf numFmtId="195" fontId="36" fillId="0" borderId="0" xfId="4" applyNumberFormat="1"/>
    <xf numFmtId="195" fontId="36" fillId="0" borderId="0" xfId="1" applyNumberFormat="1" applyFont="1"/>
    <xf numFmtId="43" fontId="36" fillId="0" borderId="0" xfId="1" applyFont="1"/>
    <xf numFmtId="43" fontId="49" fillId="4" borderId="0" xfId="1" applyFont="1" applyFill="1"/>
    <xf numFmtId="195" fontId="49" fillId="4" borderId="1" xfId="1" applyNumberFormat="1" applyFont="1" applyFill="1" applyBorder="1"/>
    <xf numFmtId="44" fontId="7" fillId="0" borderId="0" xfId="2" applyFont="1" applyAlignment="1">
      <alignment horizontal="right"/>
    </xf>
    <xf numFmtId="165" fontId="7" fillId="0" borderId="0" xfId="0" applyNumberFormat="1" applyFont="1" applyBorder="1" applyAlignment="1">
      <alignment horizontal="right"/>
    </xf>
    <xf numFmtId="170" fontId="0" fillId="0" borderId="6" xfId="0" applyNumberFormat="1" applyBorder="1"/>
    <xf numFmtId="170" fontId="0" fillId="0" borderId="5" xfId="0" applyNumberFormat="1" applyBorder="1"/>
    <xf numFmtId="165" fontId="0" fillId="0" borderId="5" xfId="0" applyNumberFormat="1" applyBorder="1"/>
    <xf numFmtId="165" fontId="0" fillId="0" borderId="5" xfId="0" applyNumberFormat="1" applyBorder="1" applyAlignment="1">
      <alignment horizontal="right"/>
    </xf>
    <xf numFmtId="170" fontId="0" fillId="0" borderId="7" xfId="0" applyNumberFormat="1" applyBorder="1"/>
    <xf numFmtId="170" fontId="0" fillId="0" borderId="8" xfId="0" applyNumberFormat="1" applyBorder="1"/>
    <xf numFmtId="170" fontId="0" fillId="0" borderId="0" xfId="0" applyNumberFormat="1" applyBorder="1"/>
    <xf numFmtId="170" fontId="0" fillId="0" borderId="9" xfId="0" applyNumberFormat="1" applyBorder="1"/>
    <xf numFmtId="170" fontId="0" fillId="0" borderId="10" xfId="0" applyNumberFormat="1" applyBorder="1"/>
    <xf numFmtId="170" fontId="0" fillId="0" borderId="1" xfId="0" applyNumberFormat="1" applyBorder="1"/>
    <xf numFmtId="170" fontId="0" fillId="0" borderId="11" xfId="0" applyNumberFormat="1" applyBorder="1"/>
    <xf numFmtId="165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left"/>
    </xf>
    <xf numFmtId="165" fontId="0" fillId="0" borderId="1" xfId="0" applyNumberFormat="1" applyBorder="1" applyAlignment="1">
      <alignment horizontal="left"/>
    </xf>
    <xf numFmtId="195" fontId="6" fillId="0" borderId="0" xfId="0" applyNumberFormat="1" applyFont="1"/>
    <xf numFmtId="169" fontId="6" fillId="0" borderId="0" xfId="0" applyNumberFormat="1" applyFont="1"/>
    <xf numFmtId="0" fontId="6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195" fontId="6" fillId="0" borderId="0" xfId="1" applyNumberFormat="1" applyFont="1" applyBorder="1"/>
    <xf numFmtId="195" fontId="6" fillId="0" borderId="9" xfId="1" applyNumberFormat="1" applyFont="1" applyBorder="1"/>
    <xf numFmtId="195" fontId="6" fillId="0" borderId="9" xfId="0" applyNumberFormat="1" applyFont="1" applyBorder="1"/>
    <xf numFmtId="0" fontId="6" fillId="0" borderId="10" xfId="0" applyFont="1" applyBorder="1"/>
    <xf numFmtId="0" fontId="6" fillId="0" borderId="1" xfId="0" applyFont="1" applyBorder="1"/>
    <xf numFmtId="0" fontId="6" fillId="0" borderId="11" xfId="0" applyFont="1" applyBorder="1"/>
    <xf numFmtId="0" fontId="4" fillId="0" borderId="6" xfId="0" applyFont="1" applyBorder="1"/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4" fillId="4" borderId="0" xfId="0" applyFont="1" applyFill="1" applyBorder="1" applyAlignment="1">
      <alignment horizontal="right"/>
    </xf>
    <xf numFmtId="0" fontId="49" fillId="0" borderId="17" xfId="0" applyFont="1" applyBorder="1"/>
    <xf numFmtId="0" fontId="49" fillId="0" borderId="18" xfId="0" applyFont="1" applyBorder="1"/>
    <xf numFmtId="195" fontId="51" fillId="0" borderId="21" xfId="1" applyNumberFormat="1" applyFont="1" applyBorder="1"/>
    <xf numFmtId="0" fontId="49" fillId="0" borderId="0" xfId="0" applyFont="1" applyBorder="1"/>
    <xf numFmtId="0" fontId="49" fillId="0" borderId="22" xfId="0" applyFont="1" applyBorder="1"/>
    <xf numFmtId="195" fontId="49" fillId="0" borderId="21" xfId="1" applyNumberFormat="1" applyFont="1" applyBorder="1"/>
    <xf numFmtId="171" fontId="49" fillId="0" borderId="21" xfId="6" applyNumberFormat="1" applyFont="1" applyBorder="1"/>
    <xf numFmtId="8" fontId="49" fillId="0" borderId="0" xfId="5" applyNumberFormat="1" applyFont="1" applyAlignment="1">
      <alignment horizontal="right"/>
    </xf>
    <xf numFmtId="6" fontId="50" fillId="0" borderId="0" xfId="5" applyNumberFormat="1" applyFont="1"/>
    <xf numFmtId="0" fontId="51" fillId="0" borderId="21" xfId="0" applyFont="1" applyBorder="1"/>
    <xf numFmtId="195" fontId="51" fillId="0" borderId="23" xfId="1" applyNumberFormat="1" applyFont="1" applyBorder="1"/>
    <xf numFmtId="0" fontId="49" fillId="0" borderId="3" xfId="0" applyFont="1" applyBorder="1"/>
    <xf numFmtId="0" fontId="49" fillId="0" borderId="24" xfId="0" applyFont="1" applyBorder="1"/>
    <xf numFmtId="0" fontId="73" fillId="0" borderId="16" xfId="0" applyFont="1" applyBorder="1" applyAlignment="1">
      <alignment horizontal="center"/>
    </xf>
    <xf numFmtId="195" fontId="42" fillId="4" borderId="0" xfId="0" applyNumberFormat="1" applyFont="1" applyFill="1"/>
    <xf numFmtId="195" fontId="74" fillId="4" borderId="0" xfId="1" applyNumberFormat="1" applyFont="1" applyFill="1" applyAlignment="1">
      <alignment horizontal="right"/>
    </xf>
    <xf numFmtId="195" fontId="75" fillId="4" borderId="0" xfId="1" applyNumberFormat="1" applyFont="1" applyFill="1" applyAlignment="1">
      <alignment horizontal="right"/>
    </xf>
    <xf numFmtId="195" fontId="74" fillId="4" borderId="0" xfId="1" applyNumberFormat="1" applyFont="1" applyFill="1"/>
    <xf numFmtId="195" fontId="76" fillId="4" borderId="0" xfId="1" applyNumberFormat="1" applyFont="1" applyFill="1"/>
    <xf numFmtId="0" fontId="48" fillId="4" borderId="0" xfId="0" applyFont="1" applyFill="1" applyAlignment="1">
      <alignment horizontal="left" indent="1"/>
    </xf>
    <xf numFmtId="245" fontId="51" fillId="4" borderId="0" xfId="0" applyNumberFormat="1" applyFont="1" applyFill="1"/>
    <xf numFmtId="195" fontId="13" fillId="0" borderId="0" xfId="0" applyNumberFormat="1" applyFont="1"/>
    <xf numFmtId="180" fontId="7" fillId="0" borderId="3" xfId="0" applyNumberFormat="1" applyFont="1" applyBorder="1"/>
    <xf numFmtId="9" fontId="68" fillId="0" borderId="0" xfId="6" applyFont="1"/>
    <xf numFmtId="9" fontId="49" fillId="0" borderId="0" xfId="5" applyNumberFormat="1" applyFont="1" applyAlignment="1">
      <alignment horizontal="right"/>
    </xf>
    <xf numFmtId="8" fontId="29" fillId="0" borderId="0" xfId="5" applyNumberFormat="1"/>
    <xf numFmtId="195" fontId="6" fillId="0" borderId="0" xfId="1" applyNumberFormat="1" applyFont="1"/>
    <xf numFmtId="0" fontId="0" fillId="0" borderId="0" xfId="0" applyAlignment="1">
      <alignment horizontal="left" indent="1"/>
    </xf>
    <xf numFmtId="205" fontId="49" fillId="4" borderId="0" xfId="2" applyNumberFormat="1" applyFont="1" applyFill="1"/>
    <xf numFmtId="206" fontId="51" fillId="4" borderId="0" xfId="0" applyNumberFormat="1" applyFont="1" applyFill="1" applyAlignment="1">
      <alignment horizontal="right"/>
    </xf>
    <xf numFmtId="0" fontId="77" fillId="4" borderId="0" xfId="0" applyFont="1" applyFill="1"/>
    <xf numFmtId="0" fontId="52" fillId="4" borderId="0" xfId="0" applyFont="1" applyFill="1" applyBorder="1" applyAlignment="1">
      <alignment horizontal="left"/>
    </xf>
    <xf numFmtId="0" fontId="49" fillId="4" borderId="0" xfId="0" applyFont="1" applyFill="1" applyBorder="1" applyAlignment="1">
      <alignment horizontal="left"/>
    </xf>
    <xf numFmtId="173" fontId="51" fillId="4" borderId="0" xfId="0" applyNumberFormat="1" applyFont="1" applyFill="1" applyBorder="1" applyAlignment="1">
      <alignment horizontal="right"/>
    </xf>
    <xf numFmtId="0" fontId="55" fillId="4" borderId="0" xfId="0" applyFont="1" applyFill="1" applyBorder="1" applyAlignment="1">
      <alignment horizontal="center"/>
    </xf>
    <xf numFmtId="43" fontId="51" fillId="4" borderId="0" xfId="0" applyNumberFormat="1" applyFont="1" applyFill="1" applyBorder="1" applyAlignment="1">
      <alignment horizontal="right"/>
    </xf>
    <xf numFmtId="0" fontId="64" fillId="4" borderId="0" xfId="3" applyFont="1" applyFill="1" applyAlignment="1">
      <alignment horizontal="centerContinuous"/>
    </xf>
    <xf numFmtId="0" fontId="78" fillId="4" borderId="0" xfId="3" applyFont="1" applyFill="1" applyAlignment="1">
      <alignment horizontal="centerContinuous"/>
    </xf>
    <xf numFmtId="0" fontId="29" fillId="4" borderId="0" xfId="3" applyFill="1" applyAlignment="1">
      <alignment horizontal="centerContinuous"/>
    </xf>
    <xf numFmtId="195" fontId="29" fillId="4" borderId="0" xfId="1" applyNumberFormat="1" applyFont="1" applyFill="1" applyAlignment="1">
      <alignment horizontal="centerContinuous"/>
    </xf>
    <xf numFmtId="0" fontId="79" fillId="4" borderId="0" xfId="3" applyFont="1" applyFill="1" applyAlignment="1">
      <alignment horizontal="centerContinuous" wrapText="1"/>
    </xf>
    <xf numFmtId="43" fontId="29" fillId="4" borderId="0" xfId="1" applyFont="1" applyFill="1" applyAlignment="1">
      <alignment horizontal="centerContinuous"/>
    </xf>
    <xf numFmtId="0" fontId="29" fillId="4" borderId="0" xfId="3" applyFill="1"/>
    <xf numFmtId="0" fontId="50" fillId="4" borderId="0" xfId="3" applyFont="1" applyFill="1" applyAlignment="1">
      <alignment wrapText="1"/>
    </xf>
    <xf numFmtId="0" fontId="78" fillId="4" borderId="0" xfId="3" applyFont="1" applyFill="1" applyAlignment="1">
      <alignment wrapText="1"/>
    </xf>
    <xf numFmtId="0" fontId="80" fillId="4" borderId="0" xfId="3" applyFont="1" applyFill="1" applyBorder="1" applyAlignment="1">
      <alignment horizontal="center" wrapText="1"/>
    </xf>
    <xf numFmtId="195" fontId="80" fillId="4" borderId="0" xfId="1" applyNumberFormat="1" applyFont="1" applyFill="1" applyBorder="1" applyAlignment="1">
      <alignment horizontal="center" wrapText="1"/>
    </xf>
    <xf numFmtId="0" fontId="65" fillId="4" borderId="0" xfId="3" applyFont="1" applyFill="1" applyBorder="1" applyAlignment="1">
      <alignment horizontal="center" wrapText="1"/>
    </xf>
    <xf numFmtId="43" fontId="80" fillId="4" borderId="0" xfId="1" applyFont="1" applyFill="1" applyBorder="1" applyAlignment="1">
      <alignment horizontal="center" wrapText="1"/>
    </xf>
    <xf numFmtId="0" fontId="80" fillId="4" borderId="0" xfId="3" applyFont="1" applyFill="1" applyBorder="1" applyAlignment="1">
      <alignment horizontal="left"/>
    </xf>
    <xf numFmtId="195" fontId="50" fillId="4" borderId="0" xfId="1" applyNumberFormat="1" applyFont="1" applyFill="1" applyAlignment="1">
      <alignment wrapText="1"/>
    </xf>
    <xf numFmtId="0" fontId="79" fillId="4" borderId="0" xfId="3" applyFont="1" applyFill="1" applyAlignment="1">
      <alignment horizontal="left" wrapText="1"/>
    </xf>
    <xf numFmtId="0" fontId="50" fillId="4" borderId="0" xfId="3" applyFont="1" applyFill="1" applyAlignment="1">
      <alignment horizontal="center" wrapText="1"/>
    </xf>
    <xf numFmtId="43" fontId="50" fillId="4" borderId="0" xfId="1" applyFont="1" applyFill="1" applyAlignment="1">
      <alignment wrapText="1"/>
    </xf>
    <xf numFmtId="0" fontId="78" fillId="4" borderId="0" xfId="3" applyFont="1" applyFill="1"/>
    <xf numFmtId="0" fontId="50" fillId="4" borderId="0" xfId="3" applyFont="1" applyFill="1"/>
    <xf numFmtId="195" fontId="29" fillId="4" borderId="0" xfId="1" applyNumberFormat="1" applyFont="1" applyFill="1"/>
    <xf numFmtId="0" fontId="29" fillId="4" borderId="0" xfId="3" applyFill="1" applyAlignment="1">
      <alignment horizontal="center"/>
    </xf>
    <xf numFmtId="43" fontId="29" fillId="4" borderId="0" xfId="1" applyFont="1" applyFill="1"/>
    <xf numFmtId="0" fontId="50" fillId="4" borderId="0" xfId="3" applyFont="1" applyFill="1" applyAlignment="1">
      <alignment horizontal="right"/>
    </xf>
    <xf numFmtId="195" fontId="29" fillId="4" borderId="4" xfId="1" applyNumberFormat="1" applyFont="1" applyFill="1" applyBorder="1"/>
    <xf numFmtId="195" fontId="50" fillId="4" borderId="15" xfId="1" applyNumberFormat="1" applyFont="1" applyFill="1" applyBorder="1"/>
    <xf numFmtId="0" fontId="50" fillId="4" borderId="1" xfId="3" applyFont="1" applyFill="1" applyBorder="1"/>
    <xf numFmtId="0" fontId="78" fillId="4" borderId="1" xfId="3" applyFont="1" applyFill="1" applyBorder="1"/>
    <xf numFmtId="0" fontId="29" fillId="4" borderId="1" xfId="3" applyFill="1" applyBorder="1"/>
    <xf numFmtId="0" fontId="82" fillId="4" borderId="0" xfId="3" applyFont="1" applyFill="1" applyAlignment="1">
      <alignment horizontal="right"/>
    </xf>
    <xf numFmtId="0" fontId="49" fillId="4" borderId="0" xfId="3" applyFont="1" applyFill="1"/>
    <xf numFmtId="0" fontId="50" fillId="4" borderId="0" xfId="3" applyFont="1" applyFill="1" applyBorder="1"/>
    <xf numFmtId="0" fontId="78" fillId="4" borderId="0" xfId="3" applyFont="1" applyFill="1" applyBorder="1"/>
    <xf numFmtId="0" fontId="29" fillId="4" borderId="0" xfId="3" applyFill="1" applyBorder="1"/>
    <xf numFmtId="0" fontId="50" fillId="4" borderId="0" xfId="3" applyFont="1" applyFill="1" applyBorder="1" applyAlignment="1">
      <alignment horizontal="right"/>
    </xf>
    <xf numFmtId="0" fontId="79" fillId="4" borderId="0" xfId="3" applyFont="1" applyFill="1" applyBorder="1" applyAlignment="1">
      <alignment horizontal="left" wrapText="1"/>
    </xf>
    <xf numFmtId="195" fontId="29" fillId="4" borderId="0" xfId="1" applyNumberFormat="1" applyFont="1" applyFill="1" applyBorder="1"/>
    <xf numFmtId="0" fontId="29" fillId="4" borderId="0" xfId="3" applyFill="1" applyBorder="1" applyAlignment="1">
      <alignment horizontal="center"/>
    </xf>
    <xf numFmtId="43" fontId="29" fillId="4" borderId="0" xfId="1" applyFont="1" applyFill="1" applyBorder="1"/>
    <xf numFmtId="206" fontId="29" fillId="4" borderId="0" xfId="3" applyNumberFormat="1" applyFill="1"/>
    <xf numFmtId="205" fontId="29" fillId="4" borderId="0" xfId="3" applyNumberFormat="1" applyFill="1" applyAlignment="1">
      <alignment horizontal="center"/>
    </xf>
    <xf numFmtId="1" fontId="29" fillId="4" borderId="0" xfId="3" applyNumberFormat="1" applyFill="1"/>
    <xf numFmtId="2" fontId="29" fillId="4" borderId="0" xfId="3" applyNumberFormat="1" applyFill="1" applyAlignment="1">
      <alignment horizontal="center"/>
    </xf>
    <xf numFmtId="0" fontId="81" fillId="4" borderId="0" xfId="3" applyFont="1" applyFill="1" applyAlignment="1">
      <alignment horizontal="left" wrapText="1"/>
    </xf>
    <xf numFmtId="0" fontId="50" fillId="4" borderId="0" xfId="3" applyFont="1" applyFill="1" applyAlignment="1">
      <alignment horizontal="center"/>
    </xf>
    <xf numFmtId="43" fontId="50" fillId="4" borderId="0" xfId="1" applyFont="1" applyFill="1"/>
    <xf numFmtId="206" fontId="50" fillId="4" borderId="15" xfId="3" applyNumberFormat="1" applyFont="1" applyFill="1" applyBorder="1"/>
    <xf numFmtId="0" fontId="54" fillId="4" borderId="3" xfId="0" applyFont="1" applyFill="1" applyBorder="1" applyAlignment="1">
      <alignment horizontal="center"/>
    </xf>
    <xf numFmtId="0" fontId="54" fillId="4" borderId="5" xfId="0" applyFont="1" applyFill="1" applyBorder="1" applyAlignment="1">
      <alignment horizontal="center"/>
    </xf>
    <xf numFmtId="0" fontId="80" fillId="4" borderId="0" xfId="3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/>
    </xf>
    <xf numFmtId="0" fontId="49" fillId="0" borderId="1" xfId="0" applyFont="1" applyBorder="1" applyAlignment="1"/>
    <xf numFmtId="0" fontId="48" fillId="4" borderId="1" xfId="0" applyFont="1" applyFill="1" applyBorder="1" applyAlignment="1">
      <alignment horizontal="center"/>
    </xf>
    <xf numFmtId="43" fontId="13" fillId="4" borderId="12" xfId="1" applyFont="1" applyFill="1" applyBorder="1" applyAlignment="1">
      <alignment horizontal="center"/>
    </xf>
    <xf numFmtId="43" fontId="13" fillId="4" borderId="13" xfId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_Asset info" xfId="3"/>
    <cellStyle name="Normal_CIN stockprice" xfId="4"/>
    <cellStyle name="Normal_WE_final" xfId="5"/>
    <cellStyle name="Percent" xfId="6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CIN vs DowJones Elec. Utility Index</a:t>
            </a:r>
          </a:p>
        </c:rich>
      </c:tx>
      <c:layout>
        <c:manualLayout>
          <c:xMode val="edge"/>
          <c:yMode val="edge"/>
          <c:x val="0.28136249958434773"/>
          <c:y val="2.51798892847153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536622032899"/>
          <c:y val="6.4748286732125127E-2"/>
          <c:w val="0.71147077920373269"/>
          <c:h val="0.64028861323990405"/>
        </c:manualLayout>
      </c:layout>
      <c:lineChart>
        <c:grouping val="standard"/>
        <c:varyColors val="0"/>
        <c:ser>
          <c:idx val="1"/>
          <c:order val="1"/>
          <c:tx>
            <c:strRef>
              <c:f>'Stock Data'!$C$1</c:f>
              <c:strCache>
                <c:ptCount val="1"/>
                <c:pt idx="0">
                  <c:v>DJ Utilities Index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'Stock Data'!$A$2:$A$510</c:f>
              <c:numCache>
                <c:formatCode>m/d/yyyy</c:formatCode>
                <c:ptCount val="509"/>
                <c:pt idx="0">
                  <c:v>35856</c:v>
                </c:pt>
                <c:pt idx="1">
                  <c:v>35857</c:v>
                </c:pt>
                <c:pt idx="2">
                  <c:v>35858</c:v>
                </c:pt>
                <c:pt idx="3">
                  <c:v>35859</c:v>
                </c:pt>
                <c:pt idx="4">
                  <c:v>35860</c:v>
                </c:pt>
                <c:pt idx="5">
                  <c:v>35863</c:v>
                </c:pt>
                <c:pt idx="6">
                  <c:v>35864</c:v>
                </c:pt>
                <c:pt idx="7">
                  <c:v>35865</c:v>
                </c:pt>
                <c:pt idx="8">
                  <c:v>35866</c:v>
                </c:pt>
                <c:pt idx="9">
                  <c:v>35867</c:v>
                </c:pt>
                <c:pt idx="10">
                  <c:v>35870</c:v>
                </c:pt>
                <c:pt idx="11">
                  <c:v>35871</c:v>
                </c:pt>
                <c:pt idx="12">
                  <c:v>35872</c:v>
                </c:pt>
                <c:pt idx="13">
                  <c:v>35873</c:v>
                </c:pt>
                <c:pt idx="14">
                  <c:v>35874</c:v>
                </c:pt>
                <c:pt idx="15">
                  <c:v>35877</c:v>
                </c:pt>
                <c:pt idx="16">
                  <c:v>35878</c:v>
                </c:pt>
                <c:pt idx="17">
                  <c:v>35879</c:v>
                </c:pt>
                <c:pt idx="18">
                  <c:v>35880</c:v>
                </c:pt>
                <c:pt idx="19">
                  <c:v>35881</c:v>
                </c:pt>
                <c:pt idx="20">
                  <c:v>35884</c:v>
                </c:pt>
                <c:pt idx="21">
                  <c:v>35885</c:v>
                </c:pt>
                <c:pt idx="22">
                  <c:v>35886</c:v>
                </c:pt>
                <c:pt idx="23">
                  <c:v>35887</c:v>
                </c:pt>
                <c:pt idx="24">
                  <c:v>35888</c:v>
                </c:pt>
                <c:pt idx="25">
                  <c:v>35891</c:v>
                </c:pt>
                <c:pt idx="26">
                  <c:v>35892</c:v>
                </c:pt>
                <c:pt idx="27">
                  <c:v>35893</c:v>
                </c:pt>
                <c:pt idx="28">
                  <c:v>35894</c:v>
                </c:pt>
                <c:pt idx="29">
                  <c:v>35898</c:v>
                </c:pt>
                <c:pt idx="30">
                  <c:v>35899</c:v>
                </c:pt>
                <c:pt idx="31">
                  <c:v>35900</c:v>
                </c:pt>
                <c:pt idx="32">
                  <c:v>35901</c:v>
                </c:pt>
                <c:pt idx="33">
                  <c:v>35902</c:v>
                </c:pt>
                <c:pt idx="34">
                  <c:v>35905</c:v>
                </c:pt>
                <c:pt idx="35">
                  <c:v>35906</c:v>
                </c:pt>
                <c:pt idx="36">
                  <c:v>35907</c:v>
                </c:pt>
                <c:pt idx="37">
                  <c:v>35908</c:v>
                </c:pt>
                <c:pt idx="38">
                  <c:v>35909</c:v>
                </c:pt>
                <c:pt idx="39">
                  <c:v>35912</c:v>
                </c:pt>
                <c:pt idx="40">
                  <c:v>35913</c:v>
                </c:pt>
                <c:pt idx="41">
                  <c:v>35914</c:v>
                </c:pt>
                <c:pt idx="42">
                  <c:v>35915</c:v>
                </c:pt>
                <c:pt idx="43">
                  <c:v>35916</c:v>
                </c:pt>
                <c:pt idx="44">
                  <c:v>35919</c:v>
                </c:pt>
                <c:pt idx="45">
                  <c:v>35920</c:v>
                </c:pt>
                <c:pt idx="46">
                  <c:v>35921</c:v>
                </c:pt>
                <c:pt idx="47">
                  <c:v>35922</c:v>
                </c:pt>
                <c:pt idx="48">
                  <c:v>35923</c:v>
                </c:pt>
                <c:pt idx="49">
                  <c:v>35926</c:v>
                </c:pt>
                <c:pt idx="50">
                  <c:v>35927</c:v>
                </c:pt>
                <c:pt idx="51">
                  <c:v>35928</c:v>
                </c:pt>
                <c:pt idx="52">
                  <c:v>35929</c:v>
                </c:pt>
                <c:pt idx="53">
                  <c:v>35930</c:v>
                </c:pt>
                <c:pt idx="54">
                  <c:v>35933</c:v>
                </c:pt>
                <c:pt idx="55">
                  <c:v>35934</c:v>
                </c:pt>
                <c:pt idx="56">
                  <c:v>35935</c:v>
                </c:pt>
                <c:pt idx="57">
                  <c:v>35936</c:v>
                </c:pt>
                <c:pt idx="58">
                  <c:v>35937</c:v>
                </c:pt>
                <c:pt idx="59">
                  <c:v>35941</c:v>
                </c:pt>
                <c:pt idx="60">
                  <c:v>35942</c:v>
                </c:pt>
                <c:pt idx="61">
                  <c:v>35943</c:v>
                </c:pt>
                <c:pt idx="62">
                  <c:v>35944</c:v>
                </c:pt>
                <c:pt idx="63">
                  <c:v>35947</c:v>
                </c:pt>
                <c:pt idx="64">
                  <c:v>35948</c:v>
                </c:pt>
                <c:pt idx="65">
                  <c:v>35949</c:v>
                </c:pt>
                <c:pt idx="66">
                  <c:v>35950</c:v>
                </c:pt>
                <c:pt idx="67">
                  <c:v>35951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35961</c:v>
                </c:pt>
                <c:pt idx="74">
                  <c:v>35962</c:v>
                </c:pt>
                <c:pt idx="75">
                  <c:v>35963</c:v>
                </c:pt>
                <c:pt idx="76">
                  <c:v>35964</c:v>
                </c:pt>
                <c:pt idx="77">
                  <c:v>35965</c:v>
                </c:pt>
                <c:pt idx="78">
                  <c:v>35968</c:v>
                </c:pt>
                <c:pt idx="79">
                  <c:v>35969</c:v>
                </c:pt>
                <c:pt idx="80">
                  <c:v>35970</c:v>
                </c:pt>
                <c:pt idx="81">
                  <c:v>35971</c:v>
                </c:pt>
                <c:pt idx="82">
                  <c:v>35972</c:v>
                </c:pt>
                <c:pt idx="83">
                  <c:v>35975</c:v>
                </c:pt>
                <c:pt idx="84">
                  <c:v>35976</c:v>
                </c:pt>
                <c:pt idx="85">
                  <c:v>35977</c:v>
                </c:pt>
                <c:pt idx="86">
                  <c:v>35978</c:v>
                </c:pt>
                <c:pt idx="87">
                  <c:v>35982</c:v>
                </c:pt>
                <c:pt idx="88">
                  <c:v>35983</c:v>
                </c:pt>
                <c:pt idx="89">
                  <c:v>35984</c:v>
                </c:pt>
                <c:pt idx="90">
                  <c:v>35985</c:v>
                </c:pt>
                <c:pt idx="91">
                  <c:v>35986</c:v>
                </c:pt>
                <c:pt idx="92">
                  <c:v>35989</c:v>
                </c:pt>
                <c:pt idx="93">
                  <c:v>35990</c:v>
                </c:pt>
                <c:pt idx="94">
                  <c:v>35991</c:v>
                </c:pt>
                <c:pt idx="95">
                  <c:v>35992</c:v>
                </c:pt>
                <c:pt idx="96">
                  <c:v>35993</c:v>
                </c:pt>
                <c:pt idx="97">
                  <c:v>35996</c:v>
                </c:pt>
                <c:pt idx="98">
                  <c:v>35997</c:v>
                </c:pt>
                <c:pt idx="99">
                  <c:v>35998</c:v>
                </c:pt>
                <c:pt idx="100">
                  <c:v>35999</c:v>
                </c:pt>
                <c:pt idx="101">
                  <c:v>36000</c:v>
                </c:pt>
                <c:pt idx="102">
                  <c:v>36003</c:v>
                </c:pt>
                <c:pt idx="103">
                  <c:v>36004</c:v>
                </c:pt>
                <c:pt idx="104" formatCode="d\-mmm\-yy">
                  <c:v>36005</c:v>
                </c:pt>
                <c:pt idx="105" formatCode="d\-mmm\-yy">
                  <c:v>36006</c:v>
                </c:pt>
                <c:pt idx="106" formatCode="d\-mmm\-yy">
                  <c:v>36007</c:v>
                </c:pt>
                <c:pt idx="107" formatCode="d\-mmm\-yy">
                  <c:v>36010</c:v>
                </c:pt>
                <c:pt idx="108" formatCode="d\-mmm\-yy">
                  <c:v>36011</c:v>
                </c:pt>
                <c:pt idx="109" formatCode="d\-mmm\-yy">
                  <c:v>36012</c:v>
                </c:pt>
                <c:pt idx="110" formatCode="d\-mmm\-yy">
                  <c:v>36013</c:v>
                </c:pt>
                <c:pt idx="111" formatCode="d\-mmm\-yy">
                  <c:v>36014</c:v>
                </c:pt>
                <c:pt idx="112" formatCode="d\-mmm\-yy">
                  <c:v>36017</c:v>
                </c:pt>
                <c:pt idx="113" formatCode="d\-mmm\-yy">
                  <c:v>36018</c:v>
                </c:pt>
                <c:pt idx="114" formatCode="d\-mmm\-yy">
                  <c:v>36019</c:v>
                </c:pt>
                <c:pt idx="115" formatCode="d\-mmm\-yy">
                  <c:v>36020</c:v>
                </c:pt>
                <c:pt idx="116" formatCode="d\-mmm\-yy">
                  <c:v>36021</c:v>
                </c:pt>
                <c:pt idx="117" formatCode="d\-mmm\-yy">
                  <c:v>36024</c:v>
                </c:pt>
                <c:pt idx="118" formatCode="d\-mmm\-yy">
                  <c:v>36025</c:v>
                </c:pt>
                <c:pt idx="119" formatCode="d\-mmm\-yy">
                  <c:v>36026</c:v>
                </c:pt>
                <c:pt idx="120" formatCode="d\-mmm\-yy">
                  <c:v>36027</c:v>
                </c:pt>
                <c:pt idx="121" formatCode="d\-mmm\-yy">
                  <c:v>36028</c:v>
                </c:pt>
                <c:pt idx="122" formatCode="d\-mmm\-yy">
                  <c:v>36031</c:v>
                </c:pt>
                <c:pt idx="123" formatCode="d\-mmm\-yy">
                  <c:v>36032</c:v>
                </c:pt>
                <c:pt idx="124" formatCode="d\-mmm\-yy">
                  <c:v>36033</c:v>
                </c:pt>
                <c:pt idx="125" formatCode="d\-mmm\-yy">
                  <c:v>36034</c:v>
                </c:pt>
                <c:pt idx="126" formatCode="d\-mmm\-yy">
                  <c:v>36035</c:v>
                </c:pt>
                <c:pt idx="127" formatCode="d\-mmm\-yy">
                  <c:v>36038</c:v>
                </c:pt>
                <c:pt idx="128" formatCode="d\-mmm\-yy">
                  <c:v>36039</c:v>
                </c:pt>
                <c:pt idx="129" formatCode="d\-mmm\-yy">
                  <c:v>36040</c:v>
                </c:pt>
                <c:pt idx="130" formatCode="d\-mmm\-yy">
                  <c:v>36041</c:v>
                </c:pt>
                <c:pt idx="131" formatCode="d\-mmm\-yy">
                  <c:v>36042</c:v>
                </c:pt>
                <c:pt idx="132" formatCode="d\-mmm\-yy">
                  <c:v>36046</c:v>
                </c:pt>
                <c:pt idx="133" formatCode="d\-mmm\-yy">
                  <c:v>36047</c:v>
                </c:pt>
                <c:pt idx="134" formatCode="d\-mmm\-yy">
                  <c:v>36048</c:v>
                </c:pt>
                <c:pt idx="135" formatCode="d\-mmm\-yy">
                  <c:v>36049</c:v>
                </c:pt>
                <c:pt idx="136" formatCode="d\-mmm\-yy">
                  <c:v>36052</c:v>
                </c:pt>
                <c:pt idx="137" formatCode="d\-mmm\-yy">
                  <c:v>36053</c:v>
                </c:pt>
                <c:pt idx="138" formatCode="d\-mmm\-yy">
                  <c:v>36054</c:v>
                </c:pt>
                <c:pt idx="139" formatCode="d\-mmm\-yy">
                  <c:v>36055</c:v>
                </c:pt>
                <c:pt idx="140" formatCode="d\-mmm\-yy">
                  <c:v>36056</c:v>
                </c:pt>
                <c:pt idx="141" formatCode="d\-mmm\-yy">
                  <c:v>36059</c:v>
                </c:pt>
                <c:pt idx="142" formatCode="d\-mmm\-yy">
                  <c:v>36060</c:v>
                </c:pt>
                <c:pt idx="143" formatCode="d\-mmm\-yy">
                  <c:v>36061</c:v>
                </c:pt>
                <c:pt idx="144" formatCode="d\-mmm\-yy">
                  <c:v>36062</c:v>
                </c:pt>
                <c:pt idx="145" formatCode="d\-mmm\-yy">
                  <c:v>36063</c:v>
                </c:pt>
                <c:pt idx="146" formatCode="d\-mmm\-yy">
                  <c:v>36066</c:v>
                </c:pt>
                <c:pt idx="147" formatCode="d\-mmm\-yy">
                  <c:v>36067</c:v>
                </c:pt>
                <c:pt idx="148" formatCode="d\-mmm\-yy">
                  <c:v>36068</c:v>
                </c:pt>
                <c:pt idx="149" formatCode="d\-mmm\-yy">
                  <c:v>36069</c:v>
                </c:pt>
                <c:pt idx="150" formatCode="d\-mmm\-yy">
                  <c:v>36070</c:v>
                </c:pt>
                <c:pt idx="151" formatCode="d\-mmm\-yy">
                  <c:v>36073</c:v>
                </c:pt>
                <c:pt idx="152" formatCode="d\-mmm\-yy">
                  <c:v>36074</c:v>
                </c:pt>
                <c:pt idx="153" formatCode="d\-mmm\-yy">
                  <c:v>36075</c:v>
                </c:pt>
                <c:pt idx="154" formatCode="d\-mmm\-yy">
                  <c:v>36076</c:v>
                </c:pt>
                <c:pt idx="155" formatCode="d\-mmm\-yy">
                  <c:v>36077</c:v>
                </c:pt>
                <c:pt idx="156" formatCode="d\-mmm\-yy">
                  <c:v>36080</c:v>
                </c:pt>
                <c:pt idx="157" formatCode="d\-mmm\-yy">
                  <c:v>36081</c:v>
                </c:pt>
                <c:pt idx="158" formatCode="d\-mmm\-yy">
                  <c:v>36082</c:v>
                </c:pt>
                <c:pt idx="159" formatCode="d\-mmm\-yy">
                  <c:v>36083</c:v>
                </c:pt>
                <c:pt idx="160" formatCode="d\-mmm\-yy">
                  <c:v>36084</c:v>
                </c:pt>
                <c:pt idx="161" formatCode="d\-mmm\-yy">
                  <c:v>36087</c:v>
                </c:pt>
                <c:pt idx="162" formatCode="d\-mmm\-yy">
                  <c:v>36088</c:v>
                </c:pt>
                <c:pt idx="163" formatCode="d\-mmm\-yy">
                  <c:v>36089</c:v>
                </c:pt>
                <c:pt idx="164" formatCode="d\-mmm\-yy">
                  <c:v>36090</c:v>
                </c:pt>
                <c:pt idx="165" formatCode="d\-mmm\-yy">
                  <c:v>36091</c:v>
                </c:pt>
                <c:pt idx="166" formatCode="d\-mmm\-yy">
                  <c:v>36094</c:v>
                </c:pt>
                <c:pt idx="167" formatCode="d\-mmm\-yy">
                  <c:v>36095</c:v>
                </c:pt>
                <c:pt idx="168" formatCode="d\-mmm\-yy">
                  <c:v>36096</c:v>
                </c:pt>
                <c:pt idx="169" formatCode="d\-mmm\-yy">
                  <c:v>36097</c:v>
                </c:pt>
                <c:pt idx="170" formatCode="d\-mmm\-yy">
                  <c:v>36098</c:v>
                </c:pt>
                <c:pt idx="171" formatCode="d\-mmm\-yy">
                  <c:v>36101</c:v>
                </c:pt>
                <c:pt idx="172" formatCode="d\-mmm\-yy">
                  <c:v>36102</c:v>
                </c:pt>
                <c:pt idx="173" formatCode="d\-mmm\-yy">
                  <c:v>36103</c:v>
                </c:pt>
                <c:pt idx="174" formatCode="d\-mmm\-yy">
                  <c:v>36104</c:v>
                </c:pt>
                <c:pt idx="175" formatCode="d\-mmm\-yy">
                  <c:v>36105</c:v>
                </c:pt>
                <c:pt idx="176" formatCode="d\-mmm\-yy">
                  <c:v>36108</c:v>
                </c:pt>
                <c:pt idx="177" formatCode="d\-mmm\-yy">
                  <c:v>36109</c:v>
                </c:pt>
                <c:pt idx="178" formatCode="d\-mmm\-yy">
                  <c:v>36110</c:v>
                </c:pt>
                <c:pt idx="179" formatCode="d\-mmm\-yy">
                  <c:v>36111</c:v>
                </c:pt>
                <c:pt idx="180" formatCode="d\-mmm\-yy">
                  <c:v>36112</c:v>
                </c:pt>
                <c:pt idx="181" formatCode="d\-mmm\-yy">
                  <c:v>36115</c:v>
                </c:pt>
                <c:pt idx="182" formatCode="d\-mmm\-yy">
                  <c:v>36116</c:v>
                </c:pt>
                <c:pt idx="183" formatCode="d\-mmm\-yy">
                  <c:v>36117</c:v>
                </c:pt>
                <c:pt idx="184" formatCode="d\-mmm\-yy">
                  <c:v>36118</c:v>
                </c:pt>
                <c:pt idx="185" formatCode="d\-mmm\-yy">
                  <c:v>36119</c:v>
                </c:pt>
                <c:pt idx="186" formatCode="d\-mmm\-yy">
                  <c:v>36122</c:v>
                </c:pt>
                <c:pt idx="187" formatCode="d\-mmm\-yy">
                  <c:v>36123</c:v>
                </c:pt>
                <c:pt idx="188" formatCode="d\-mmm\-yy">
                  <c:v>36124</c:v>
                </c:pt>
                <c:pt idx="189" formatCode="d\-mmm\-yy">
                  <c:v>36126</c:v>
                </c:pt>
                <c:pt idx="190" formatCode="d\-mmm\-yy">
                  <c:v>36129</c:v>
                </c:pt>
                <c:pt idx="191" formatCode="d\-mmm\-yy">
                  <c:v>36130</c:v>
                </c:pt>
                <c:pt idx="192" formatCode="d\-mmm\-yy">
                  <c:v>36131</c:v>
                </c:pt>
                <c:pt idx="193" formatCode="d\-mmm\-yy">
                  <c:v>36132</c:v>
                </c:pt>
                <c:pt idx="194" formatCode="d\-mmm\-yy">
                  <c:v>36133</c:v>
                </c:pt>
                <c:pt idx="195" formatCode="d\-mmm\-yy">
                  <c:v>36136</c:v>
                </c:pt>
                <c:pt idx="196" formatCode="d\-mmm\-yy">
                  <c:v>36137</c:v>
                </c:pt>
                <c:pt idx="197" formatCode="d\-mmm\-yy">
                  <c:v>36138</c:v>
                </c:pt>
                <c:pt idx="198" formatCode="d\-mmm\-yy">
                  <c:v>36139</c:v>
                </c:pt>
                <c:pt idx="199" formatCode="d\-mmm\-yy">
                  <c:v>36140</c:v>
                </c:pt>
                <c:pt idx="200" formatCode="d\-mmm\-yy">
                  <c:v>36143</c:v>
                </c:pt>
                <c:pt idx="201" formatCode="d\-mmm\-yy">
                  <c:v>36144</c:v>
                </c:pt>
                <c:pt idx="202" formatCode="d\-mmm\-yy">
                  <c:v>36145</c:v>
                </c:pt>
                <c:pt idx="203" formatCode="d\-mmm\-yy">
                  <c:v>36146</c:v>
                </c:pt>
                <c:pt idx="204" formatCode="d\-mmm\-yy">
                  <c:v>36147</c:v>
                </c:pt>
                <c:pt idx="205" formatCode="d\-mmm\-yy">
                  <c:v>36150</c:v>
                </c:pt>
                <c:pt idx="206" formatCode="d\-mmm\-yy">
                  <c:v>36151</c:v>
                </c:pt>
                <c:pt idx="207" formatCode="d\-mmm\-yy">
                  <c:v>36152</c:v>
                </c:pt>
                <c:pt idx="208" formatCode="d\-mmm\-yy">
                  <c:v>36153</c:v>
                </c:pt>
                <c:pt idx="209" formatCode="d\-mmm\-yy">
                  <c:v>36157</c:v>
                </c:pt>
                <c:pt idx="210" formatCode="d\-mmm\-yy">
                  <c:v>36158</c:v>
                </c:pt>
                <c:pt idx="211" formatCode="d\-mmm\-yy">
                  <c:v>36159</c:v>
                </c:pt>
                <c:pt idx="212" formatCode="d\-mmm\-yy">
                  <c:v>36160</c:v>
                </c:pt>
                <c:pt idx="213" formatCode="d\-mmm\-yy">
                  <c:v>36164</c:v>
                </c:pt>
                <c:pt idx="214" formatCode="d\-mmm\-yy">
                  <c:v>36165</c:v>
                </c:pt>
                <c:pt idx="215" formatCode="d\-mmm\-yy">
                  <c:v>36166</c:v>
                </c:pt>
                <c:pt idx="216" formatCode="d\-mmm\-yy">
                  <c:v>36167</c:v>
                </c:pt>
                <c:pt idx="217" formatCode="d\-mmm\-yy">
                  <c:v>36168</c:v>
                </c:pt>
                <c:pt idx="218" formatCode="d\-mmm\-yy">
                  <c:v>36171</c:v>
                </c:pt>
                <c:pt idx="219" formatCode="d\-mmm\-yy">
                  <c:v>36172</c:v>
                </c:pt>
                <c:pt idx="220" formatCode="d\-mmm\-yy">
                  <c:v>36173</c:v>
                </c:pt>
                <c:pt idx="221" formatCode="d\-mmm\-yy">
                  <c:v>36174</c:v>
                </c:pt>
                <c:pt idx="222" formatCode="d\-mmm\-yy">
                  <c:v>36175</c:v>
                </c:pt>
                <c:pt idx="223" formatCode="d\-mmm\-yy">
                  <c:v>36179</c:v>
                </c:pt>
                <c:pt idx="224" formatCode="d\-mmm\-yy">
                  <c:v>36180</c:v>
                </c:pt>
                <c:pt idx="225" formatCode="d\-mmm\-yy">
                  <c:v>36181</c:v>
                </c:pt>
                <c:pt idx="226" formatCode="d\-mmm\-yy">
                  <c:v>36182</c:v>
                </c:pt>
                <c:pt idx="227" formatCode="d\-mmm\-yy">
                  <c:v>36185</c:v>
                </c:pt>
                <c:pt idx="228" formatCode="d\-mmm\-yy">
                  <c:v>36186</c:v>
                </c:pt>
                <c:pt idx="229" formatCode="d\-mmm\-yy">
                  <c:v>36187</c:v>
                </c:pt>
                <c:pt idx="230" formatCode="d\-mmm\-yy">
                  <c:v>36188</c:v>
                </c:pt>
                <c:pt idx="231" formatCode="d\-mmm\-yy">
                  <c:v>36189</c:v>
                </c:pt>
                <c:pt idx="232" formatCode="d\-mmm\-yy">
                  <c:v>36192</c:v>
                </c:pt>
                <c:pt idx="233" formatCode="d\-mmm\-yy">
                  <c:v>36193</c:v>
                </c:pt>
                <c:pt idx="234" formatCode="d\-mmm\-yy">
                  <c:v>36194</c:v>
                </c:pt>
                <c:pt idx="235" formatCode="d\-mmm\-yy">
                  <c:v>36195</c:v>
                </c:pt>
                <c:pt idx="236" formatCode="d\-mmm\-yy">
                  <c:v>36196</c:v>
                </c:pt>
                <c:pt idx="237" formatCode="d\-mmm\-yy">
                  <c:v>36199</c:v>
                </c:pt>
                <c:pt idx="238" formatCode="d\-mmm\-yy">
                  <c:v>36200</c:v>
                </c:pt>
                <c:pt idx="239" formatCode="d\-mmm\-yy">
                  <c:v>36201</c:v>
                </c:pt>
                <c:pt idx="240" formatCode="d\-mmm\-yy">
                  <c:v>36202</c:v>
                </c:pt>
                <c:pt idx="241" formatCode="d\-mmm\-yy">
                  <c:v>36203</c:v>
                </c:pt>
                <c:pt idx="242" formatCode="d\-mmm\-yy">
                  <c:v>36207</c:v>
                </c:pt>
                <c:pt idx="243" formatCode="d\-mmm\-yy">
                  <c:v>36208</c:v>
                </c:pt>
                <c:pt idx="244" formatCode="d\-mmm\-yy">
                  <c:v>36209</c:v>
                </c:pt>
                <c:pt idx="245" formatCode="d\-mmm\-yy">
                  <c:v>36210</c:v>
                </c:pt>
                <c:pt idx="246" formatCode="d\-mmm\-yy">
                  <c:v>36213</c:v>
                </c:pt>
                <c:pt idx="247" formatCode="d\-mmm\-yy">
                  <c:v>36214</c:v>
                </c:pt>
                <c:pt idx="248" formatCode="d\-mmm\-yy">
                  <c:v>36215</c:v>
                </c:pt>
                <c:pt idx="249" formatCode="d\-mmm\-yy">
                  <c:v>36216</c:v>
                </c:pt>
                <c:pt idx="250" formatCode="d\-mmm\-yy">
                  <c:v>36217</c:v>
                </c:pt>
                <c:pt idx="251" formatCode="d\-mmm\-yy">
                  <c:v>36220</c:v>
                </c:pt>
                <c:pt idx="252" formatCode="d\-mmm\-yy">
                  <c:v>36221</c:v>
                </c:pt>
                <c:pt idx="253" formatCode="d\-mmm\-yy">
                  <c:v>36222</c:v>
                </c:pt>
                <c:pt idx="254" formatCode="d\-mmm\-yy">
                  <c:v>36223</c:v>
                </c:pt>
                <c:pt idx="255" formatCode="d\-mmm\-yy">
                  <c:v>36224</c:v>
                </c:pt>
                <c:pt idx="256" formatCode="d\-mmm\-yy">
                  <c:v>36227</c:v>
                </c:pt>
                <c:pt idx="257" formatCode="d\-mmm\-yy">
                  <c:v>36228</c:v>
                </c:pt>
                <c:pt idx="258" formatCode="d\-mmm\-yy">
                  <c:v>36229</c:v>
                </c:pt>
                <c:pt idx="259" formatCode="d\-mmm\-yy">
                  <c:v>36230</c:v>
                </c:pt>
                <c:pt idx="260" formatCode="d\-mmm\-yy">
                  <c:v>36231</c:v>
                </c:pt>
                <c:pt idx="261" formatCode="d\-mmm\-yy">
                  <c:v>36234</c:v>
                </c:pt>
                <c:pt idx="262" formatCode="d\-mmm\-yy">
                  <c:v>36235</c:v>
                </c:pt>
                <c:pt idx="263" formatCode="d\-mmm\-yy">
                  <c:v>36236</c:v>
                </c:pt>
                <c:pt idx="264" formatCode="d\-mmm\-yy">
                  <c:v>36237</c:v>
                </c:pt>
                <c:pt idx="265" formatCode="d\-mmm\-yy">
                  <c:v>36238</c:v>
                </c:pt>
                <c:pt idx="266" formatCode="d\-mmm\-yy">
                  <c:v>36241</c:v>
                </c:pt>
                <c:pt idx="267" formatCode="d\-mmm\-yy">
                  <c:v>36242</c:v>
                </c:pt>
                <c:pt idx="268" formatCode="d\-mmm\-yy">
                  <c:v>36243</c:v>
                </c:pt>
                <c:pt idx="269" formatCode="d\-mmm\-yy">
                  <c:v>36244</c:v>
                </c:pt>
                <c:pt idx="270" formatCode="d\-mmm\-yy">
                  <c:v>36245</c:v>
                </c:pt>
                <c:pt idx="271" formatCode="d\-mmm\-yy">
                  <c:v>36248</c:v>
                </c:pt>
                <c:pt idx="272" formatCode="d\-mmm\-yy">
                  <c:v>36249</c:v>
                </c:pt>
                <c:pt idx="273" formatCode="d\-mmm\-yy">
                  <c:v>36250</c:v>
                </c:pt>
                <c:pt idx="274" formatCode="d\-mmm\-yy">
                  <c:v>36251</c:v>
                </c:pt>
                <c:pt idx="275" formatCode="d\-mmm\-yy">
                  <c:v>36255</c:v>
                </c:pt>
                <c:pt idx="276" formatCode="d\-mmm\-yy">
                  <c:v>36256</c:v>
                </c:pt>
                <c:pt idx="277" formatCode="d\-mmm\-yy">
                  <c:v>36257</c:v>
                </c:pt>
                <c:pt idx="278" formatCode="d\-mmm\-yy">
                  <c:v>36258</c:v>
                </c:pt>
                <c:pt idx="279" formatCode="d\-mmm\-yy">
                  <c:v>36259</c:v>
                </c:pt>
                <c:pt idx="280" formatCode="d\-mmm\-yy">
                  <c:v>36262</c:v>
                </c:pt>
                <c:pt idx="281" formatCode="d\-mmm\-yy">
                  <c:v>36263</c:v>
                </c:pt>
                <c:pt idx="282" formatCode="d\-mmm\-yy">
                  <c:v>36264</c:v>
                </c:pt>
                <c:pt idx="283" formatCode="d\-mmm\-yy">
                  <c:v>36265</c:v>
                </c:pt>
                <c:pt idx="284" formatCode="d\-mmm\-yy">
                  <c:v>36266</c:v>
                </c:pt>
                <c:pt idx="285" formatCode="d\-mmm\-yy">
                  <c:v>36269</c:v>
                </c:pt>
                <c:pt idx="286" formatCode="d\-mmm\-yy">
                  <c:v>36270</c:v>
                </c:pt>
                <c:pt idx="287" formatCode="d\-mmm\-yy">
                  <c:v>36271</c:v>
                </c:pt>
                <c:pt idx="288" formatCode="d\-mmm\-yy">
                  <c:v>36272</c:v>
                </c:pt>
                <c:pt idx="289" formatCode="d\-mmm\-yy">
                  <c:v>36273</c:v>
                </c:pt>
                <c:pt idx="290" formatCode="d\-mmm\-yy">
                  <c:v>36276</c:v>
                </c:pt>
                <c:pt idx="291" formatCode="d\-mmm\-yy">
                  <c:v>36277</c:v>
                </c:pt>
                <c:pt idx="292" formatCode="d\-mmm\-yy">
                  <c:v>36278</c:v>
                </c:pt>
                <c:pt idx="293" formatCode="d\-mmm\-yy">
                  <c:v>36279</c:v>
                </c:pt>
                <c:pt idx="294" formatCode="d\-mmm\-yy">
                  <c:v>36280</c:v>
                </c:pt>
                <c:pt idx="295" formatCode="d\-mmm\-yy">
                  <c:v>36283</c:v>
                </c:pt>
                <c:pt idx="296" formatCode="d\-mmm\-yy">
                  <c:v>36284</c:v>
                </c:pt>
                <c:pt idx="297" formatCode="d\-mmm\-yy">
                  <c:v>36285</c:v>
                </c:pt>
                <c:pt idx="298" formatCode="d\-mmm\-yy">
                  <c:v>36286</c:v>
                </c:pt>
                <c:pt idx="299" formatCode="d\-mmm\-yy">
                  <c:v>36287</c:v>
                </c:pt>
                <c:pt idx="300" formatCode="d\-mmm\-yy">
                  <c:v>36290</c:v>
                </c:pt>
                <c:pt idx="301" formatCode="d\-mmm\-yy">
                  <c:v>36291</c:v>
                </c:pt>
                <c:pt idx="302" formatCode="d\-mmm\-yy">
                  <c:v>36292</c:v>
                </c:pt>
                <c:pt idx="303" formatCode="d\-mmm\-yy">
                  <c:v>36293</c:v>
                </c:pt>
                <c:pt idx="304" formatCode="d\-mmm\-yy">
                  <c:v>36294</c:v>
                </c:pt>
                <c:pt idx="305" formatCode="d\-mmm\-yy">
                  <c:v>36297</c:v>
                </c:pt>
                <c:pt idx="306" formatCode="d\-mmm\-yy">
                  <c:v>36298</c:v>
                </c:pt>
                <c:pt idx="307" formatCode="d\-mmm\-yy">
                  <c:v>36299</c:v>
                </c:pt>
                <c:pt idx="308" formatCode="d\-mmm\-yy">
                  <c:v>36300</c:v>
                </c:pt>
                <c:pt idx="309" formatCode="d\-mmm\-yy">
                  <c:v>36301</c:v>
                </c:pt>
                <c:pt idx="310" formatCode="d\-mmm\-yy">
                  <c:v>36304</c:v>
                </c:pt>
                <c:pt idx="311" formatCode="d\-mmm\-yy">
                  <c:v>36305</c:v>
                </c:pt>
                <c:pt idx="312" formatCode="d\-mmm\-yy">
                  <c:v>36306</c:v>
                </c:pt>
                <c:pt idx="313" formatCode="d\-mmm\-yy">
                  <c:v>36307</c:v>
                </c:pt>
                <c:pt idx="314" formatCode="d\-mmm\-yy">
                  <c:v>36308</c:v>
                </c:pt>
                <c:pt idx="315" formatCode="d\-mmm\-yy">
                  <c:v>36312</c:v>
                </c:pt>
                <c:pt idx="316" formatCode="d\-mmm\-yy">
                  <c:v>36313</c:v>
                </c:pt>
                <c:pt idx="317" formatCode="d\-mmm\-yy">
                  <c:v>36314</c:v>
                </c:pt>
                <c:pt idx="318" formatCode="d\-mmm\-yy">
                  <c:v>36315</c:v>
                </c:pt>
                <c:pt idx="319" formatCode="d\-mmm\-yy">
                  <c:v>36318</c:v>
                </c:pt>
                <c:pt idx="320" formatCode="d\-mmm\-yy">
                  <c:v>36319</c:v>
                </c:pt>
                <c:pt idx="321" formatCode="d\-mmm\-yy">
                  <c:v>36320</c:v>
                </c:pt>
                <c:pt idx="322" formatCode="d\-mmm\-yy">
                  <c:v>36321</c:v>
                </c:pt>
                <c:pt idx="323" formatCode="d\-mmm\-yy">
                  <c:v>36322</c:v>
                </c:pt>
                <c:pt idx="324" formatCode="d\-mmm\-yy">
                  <c:v>36325</c:v>
                </c:pt>
                <c:pt idx="325" formatCode="d\-mmm\-yy">
                  <c:v>36326</c:v>
                </c:pt>
                <c:pt idx="326" formatCode="d\-mmm\-yy">
                  <c:v>36327</c:v>
                </c:pt>
                <c:pt idx="327" formatCode="d\-mmm\-yy">
                  <c:v>36328</c:v>
                </c:pt>
                <c:pt idx="328" formatCode="d\-mmm\-yy">
                  <c:v>36329</c:v>
                </c:pt>
                <c:pt idx="329" formatCode="d\-mmm\-yy">
                  <c:v>36332</c:v>
                </c:pt>
                <c:pt idx="330" formatCode="d\-mmm\-yy">
                  <c:v>36333</c:v>
                </c:pt>
                <c:pt idx="331" formatCode="d\-mmm\-yy">
                  <c:v>36334</c:v>
                </c:pt>
                <c:pt idx="332" formatCode="d\-mmm\-yy">
                  <c:v>36335</c:v>
                </c:pt>
                <c:pt idx="333" formatCode="d\-mmm\-yy">
                  <c:v>36336</c:v>
                </c:pt>
                <c:pt idx="334" formatCode="d\-mmm\-yy">
                  <c:v>36339</c:v>
                </c:pt>
                <c:pt idx="335" formatCode="d\-mmm\-yy">
                  <c:v>36340</c:v>
                </c:pt>
                <c:pt idx="336" formatCode="d\-mmm\-yy">
                  <c:v>36341</c:v>
                </c:pt>
                <c:pt idx="337" formatCode="d\-mmm\-yy">
                  <c:v>36342</c:v>
                </c:pt>
                <c:pt idx="338" formatCode="d\-mmm\-yy">
                  <c:v>36343</c:v>
                </c:pt>
                <c:pt idx="339" formatCode="d\-mmm\-yy">
                  <c:v>36347</c:v>
                </c:pt>
                <c:pt idx="340" formatCode="d\-mmm\-yy">
                  <c:v>36348</c:v>
                </c:pt>
                <c:pt idx="341" formatCode="d\-mmm\-yy">
                  <c:v>36349</c:v>
                </c:pt>
                <c:pt idx="342" formatCode="d\-mmm\-yy">
                  <c:v>36350</c:v>
                </c:pt>
                <c:pt idx="343" formatCode="d\-mmm\-yy">
                  <c:v>36353</c:v>
                </c:pt>
                <c:pt idx="344" formatCode="d\-mmm\-yy">
                  <c:v>36354</c:v>
                </c:pt>
                <c:pt idx="345" formatCode="d\-mmm\-yy">
                  <c:v>36355</c:v>
                </c:pt>
                <c:pt idx="346" formatCode="d\-mmm\-yy">
                  <c:v>36356</c:v>
                </c:pt>
                <c:pt idx="347" formatCode="d\-mmm\-yy">
                  <c:v>36357</c:v>
                </c:pt>
                <c:pt idx="348" formatCode="d\-mmm\-yy">
                  <c:v>36360</c:v>
                </c:pt>
                <c:pt idx="349" formatCode="d\-mmm\-yy">
                  <c:v>36361</c:v>
                </c:pt>
                <c:pt idx="350" formatCode="d\-mmm\-yy">
                  <c:v>36362</c:v>
                </c:pt>
                <c:pt idx="351" formatCode="d\-mmm\-yy">
                  <c:v>36363</c:v>
                </c:pt>
                <c:pt idx="352" formatCode="d\-mmm\-yy">
                  <c:v>36364</c:v>
                </c:pt>
                <c:pt idx="353" formatCode="d\-mmm\-yy">
                  <c:v>36367</c:v>
                </c:pt>
                <c:pt idx="354" formatCode="d\-mmm\-yy">
                  <c:v>36368</c:v>
                </c:pt>
                <c:pt idx="355" formatCode="d\-mmm\-yy">
                  <c:v>36369</c:v>
                </c:pt>
                <c:pt idx="356" formatCode="d\-mmm\-yy">
                  <c:v>36370</c:v>
                </c:pt>
                <c:pt idx="357" formatCode="d\-mmm\-yy">
                  <c:v>36371</c:v>
                </c:pt>
                <c:pt idx="358" formatCode="d\-mmm\-yy">
                  <c:v>36374</c:v>
                </c:pt>
                <c:pt idx="359" formatCode="d\-mmm\-yy">
                  <c:v>36375</c:v>
                </c:pt>
                <c:pt idx="360" formatCode="d\-mmm\-yy">
                  <c:v>36376</c:v>
                </c:pt>
                <c:pt idx="361" formatCode="d\-mmm\-yy">
                  <c:v>36377</c:v>
                </c:pt>
                <c:pt idx="362" formatCode="d\-mmm\-yy">
                  <c:v>36378</c:v>
                </c:pt>
                <c:pt idx="363" formatCode="d\-mmm\-yy">
                  <c:v>36381</c:v>
                </c:pt>
                <c:pt idx="364" formatCode="d\-mmm\-yy">
                  <c:v>36382</c:v>
                </c:pt>
                <c:pt idx="365" formatCode="d\-mmm\-yy">
                  <c:v>36383</c:v>
                </c:pt>
                <c:pt idx="366" formatCode="d\-mmm\-yy">
                  <c:v>36384</c:v>
                </c:pt>
                <c:pt idx="367" formatCode="d\-mmm\-yy">
                  <c:v>36385</c:v>
                </c:pt>
                <c:pt idx="368" formatCode="d\-mmm\-yy">
                  <c:v>36388</c:v>
                </c:pt>
                <c:pt idx="369" formatCode="d\-mmm\-yy">
                  <c:v>36389</c:v>
                </c:pt>
                <c:pt idx="370" formatCode="d\-mmm\-yy">
                  <c:v>36390</c:v>
                </c:pt>
                <c:pt idx="371" formatCode="d\-mmm\-yy">
                  <c:v>36391</c:v>
                </c:pt>
                <c:pt idx="372" formatCode="d\-mmm\-yy">
                  <c:v>36392</c:v>
                </c:pt>
                <c:pt idx="373" formatCode="d\-mmm\-yy">
                  <c:v>36395</c:v>
                </c:pt>
                <c:pt idx="374" formatCode="d\-mmm\-yy">
                  <c:v>36396</c:v>
                </c:pt>
                <c:pt idx="375" formatCode="d\-mmm\-yy">
                  <c:v>36397</c:v>
                </c:pt>
                <c:pt idx="376" formatCode="d\-mmm\-yy">
                  <c:v>36398</c:v>
                </c:pt>
                <c:pt idx="377" formatCode="d\-mmm\-yy">
                  <c:v>36399</c:v>
                </c:pt>
                <c:pt idx="378" formatCode="d\-mmm\-yy">
                  <c:v>36402</c:v>
                </c:pt>
                <c:pt idx="379" formatCode="d\-mmm\-yy">
                  <c:v>36403</c:v>
                </c:pt>
                <c:pt idx="380" formatCode="d\-mmm\-yy">
                  <c:v>36404</c:v>
                </c:pt>
                <c:pt idx="381" formatCode="d\-mmm\-yy">
                  <c:v>36405</c:v>
                </c:pt>
                <c:pt idx="382" formatCode="d\-mmm\-yy">
                  <c:v>36406</c:v>
                </c:pt>
                <c:pt idx="383" formatCode="d\-mmm\-yy">
                  <c:v>36410</c:v>
                </c:pt>
                <c:pt idx="384" formatCode="d\-mmm\-yy">
                  <c:v>36411</c:v>
                </c:pt>
                <c:pt idx="385" formatCode="d\-mmm\-yy">
                  <c:v>36412</c:v>
                </c:pt>
                <c:pt idx="386" formatCode="d\-mmm\-yy">
                  <c:v>36413</c:v>
                </c:pt>
                <c:pt idx="387" formatCode="d\-mmm\-yy">
                  <c:v>36416</c:v>
                </c:pt>
                <c:pt idx="388" formatCode="d\-mmm\-yy">
                  <c:v>36417</c:v>
                </c:pt>
                <c:pt idx="389" formatCode="d\-mmm\-yy">
                  <c:v>36418</c:v>
                </c:pt>
                <c:pt idx="390" formatCode="d\-mmm\-yy">
                  <c:v>36419</c:v>
                </c:pt>
                <c:pt idx="391" formatCode="d\-mmm\-yy">
                  <c:v>36420</c:v>
                </c:pt>
                <c:pt idx="392" formatCode="d\-mmm\-yy">
                  <c:v>36423</c:v>
                </c:pt>
                <c:pt idx="393" formatCode="d\-mmm\-yy">
                  <c:v>36424</c:v>
                </c:pt>
                <c:pt idx="394" formatCode="d\-mmm\-yy">
                  <c:v>36425</c:v>
                </c:pt>
                <c:pt idx="395" formatCode="d\-mmm\-yy">
                  <c:v>36426</c:v>
                </c:pt>
                <c:pt idx="396" formatCode="d\-mmm\-yy">
                  <c:v>36427</c:v>
                </c:pt>
                <c:pt idx="397" formatCode="d\-mmm\-yy">
                  <c:v>36430</c:v>
                </c:pt>
                <c:pt idx="398" formatCode="d\-mmm\-yy">
                  <c:v>36431</c:v>
                </c:pt>
                <c:pt idx="399" formatCode="d\-mmm\-yy">
                  <c:v>36432</c:v>
                </c:pt>
                <c:pt idx="400" formatCode="d\-mmm\-yy">
                  <c:v>36433</c:v>
                </c:pt>
                <c:pt idx="401" formatCode="d\-mmm\-yy">
                  <c:v>36434</c:v>
                </c:pt>
                <c:pt idx="402" formatCode="d\-mmm\-yy">
                  <c:v>36437</c:v>
                </c:pt>
                <c:pt idx="403" formatCode="d\-mmm\-yy">
                  <c:v>36438</c:v>
                </c:pt>
                <c:pt idx="404" formatCode="d\-mmm\-yy">
                  <c:v>36439</c:v>
                </c:pt>
                <c:pt idx="405" formatCode="d\-mmm\-yy">
                  <c:v>36440</c:v>
                </c:pt>
                <c:pt idx="406" formatCode="d\-mmm\-yy">
                  <c:v>36441</c:v>
                </c:pt>
                <c:pt idx="407" formatCode="d\-mmm\-yy">
                  <c:v>36444</c:v>
                </c:pt>
                <c:pt idx="408" formatCode="d\-mmm\-yy">
                  <c:v>36445</c:v>
                </c:pt>
                <c:pt idx="409" formatCode="d\-mmm\-yy">
                  <c:v>36446</c:v>
                </c:pt>
                <c:pt idx="410" formatCode="d\-mmm\-yy">
                  <c:v>36447</c:v>
                </c:pt>
                <c:pt idx="411" formatCode="d\-mmm\-yy">
                  <c:v>36448</c:v>
                </c:pt>
                <c:pt idx="412" formatCode="d\-mmm\-yy">
                  <c:v>36451</c:v>
                </c:pt>
                <c:pt idx="413" formatCode="d\-mmm\-yy">
                  <c:v>36452</c:v>
                </c:pt>
                <c:pt idx="414" formatCode="d\-mmm\-yy">
                  <c:v>36453</c:v>
                </c:pt>
                <c:pt idx="415" formatCode="d\-mmm\-yy">
                  <c:v>36454</c:v>
                </c:pt>
                <c:pt idx="416" formatCode="d\-mmm\-yy">
                  <c:v>36455</c:v>
                </c:pt>
                <c:pt idx="417" formatCode="d\-mmm\-yy">
                  <c:v>36458</c:v>
                </c:pt>
                <c:pt idx="418" formatCode="d\-mmm\-yy">
                  <c:v>36459</c:v>
                </c:pt>
                <c:pt idx="419" formatCode="d\-mmm\-yy">
                  <c:v>36460</c:v>
                </c:pt>
                <c:pt idx="420" formatCode="d\-mmm\-yy">
                  <c:v>36461</c:v>
                </c:pt>
                <c:pt idx="421" formatCode="d\-mmm\-yy">
                  <c:v>36462</c:v>
                </c:pt>
                <c:pt idx="422" formatCode="d\-mmm\-yy">
                  <c:v>36465</c:v>
                </c:pt>
                <c:pt idx="423" formatCode="d\-mmm\-yy">
                  <c:v>36466</c:v>
                </c:pt>
                <c:pt idx="424" formatCode="d\-mmm\-yy">
                  <c:v>36467</c:v>
                </c:pt>
                <c:pt idx="425" formatCode="d\-mmm\-yy">
                  <c:v>36468</c:v>
                </c:pt>
                <c:pt idx="426" formatCode="d\-mmm\-yy">
                  <c:v>36469</c:v>
                </c:pt>
                <c:pt idx="427" formatCode="d\-mmm\-yy">
                  <c:v>36472</c:v>
                </c:pt>
                <c:pt idx="428" formatCode="d\-mmm\-yy">
                  <c:v>36473</c:v>
                </c:pt>
                <c:pt idx="429" formatCode="d\-mmm\-yy">
                  <c:v>36474</c:v>
                </c:pt>
                <c:pt idx="430" formatCode="d\-mmm\-yy">
                  <c:v>36475</c:v>
                </c:pt>
                <c:pt idx="431" formatCode="d\-mmm\-yy">
                  <c:v>36476</c:v>
                </c:pt>
                <c:pt idx="432" formatCode="d\-mmm\-yy">
                  <c:v>36479</c:v>
                </c:pt>
                <c:pt idx="433" formatCode="d\-mmm\-yy">
                  <c:v>36480</c:v>
                </c:pt>
                <c:pt idx="434" formatCode="d\-mmm\-yy">
                  <c:v>36481</c:v>
                </c:pt>
                <c:pt idx="435" formatCode="d\-mmm\-yy">
                  <c:v>36482</c:v>
                </c:pt>
                <c:pt idx="436" formatCode="d\-mmm\-yy">
                  <c:v>36483</c:v>
                </c:pt>
                <c:pt idx="437" formatCode="d\-mmm\-yy">
                  <c:v>36486</c:v>
                </c:pt>
                <c:pt idx="438" formatCode="d\-mmm\-yy">
                  <c:v>36487</c:v>
                </c:pt>
                <c:pt idx="439" formatCode="d\-mmm\-yy">
                  <c:v>36488</c:v>
                </c:pt>
                <c:pt idx="440" formatCode="d\-mmm\-yy">
                  <c:v>36490</c:v>
                </c:pt>
                <c:pt idx="441" formatCode="d\-mmm\-yy">
                  <c:v>36493</c:v>
                </c:pt>
                <c:pt idx="442" formatCode="d\-mmm\-yy">
                  <c:v>36494</c:v>
                </c:pt>
                <c:pt idx="443" formatCode="d\-mmm\-yy">
                  <c:v>36495</c:v>
                </c:pt>
                <c:pt idx="444" formatCode="d\-mmm\-yy">
                  <c:v>36496</c:v>
                </c:pt>
                <c:pt idx="445" formatCode="d\-mmm\-yy">
                  <c:v>36497</c:v>
                </c:pt>
                <c:pt idx="446" formatCode="d\-mmm\-yy">
                  <c:v>36500</c:v>
                </c:pt>
                <c:pt idx="447" formatCode="d\-mmm\-yy">
                  <c:v>36501</c:v>
                </c:pt>
                <c:pt idx="448" formatCode="d\-mmm\-yy">
                  <c:v>36502</c:v>
                </c:pt>
                <c:pt idx="449" formatCode="d\-mmm\-yy">
                  <c:v>36503</c:v>
                </c:pt>
                <c:pt idx="450" formatCode="d\-mmm\-yy">
                  <c:v>36504</c:v>
                </c:pt>
                <c:pt idx="451" formatCode="d\-mmm\-yy">
                  <c:v>36507</c:v>
                </c:pt>
                <c:pt idx="452" formatCode="d\-mmm\-yy">
                  <c:v>36508</c:v>
                </c:pt>
                <c:pt idx="453" formatCode="d\-mmm\-yy">
                  <c:v>36509</c:v>
                </c:pt>
                <c:pt idx="454" formatCode="d\-mmm\-yy">
                  <c:v>36510</c:v>
                </c:pt>
                <c:pt idx="455" formatCode="d\-mmm\-yy">
                  <c:v>36511</c:v>
                </c:pt>
                <c:pt idx="456" formatCode="d\-mmm\-yy">
                  <c:v>36514</c:v>
                </c:pt>
                <c:pt idx="457" formatCode="d\-mmm\-yy">
                  <c:v>36515</c:v>
                </c:pt>
                <c:pt idx="458" formatCode="d\-mmm\-yy">
                  <c:v>36516</c:v>
                </c:pt>
                <c:pt idx="459" formatCode="d\-mmm\-yy">
                  <c:v>36517</c:v>
                </c:pt>
                <c:pt idx="460" formatCode="d\-mmm\-yy">
                  <c:v>36521</c:v>
                </c:pt>
                <c:pt idx="461" formatCode="d\-mmm\-yy">
                  <c:v>36522</c:v>
                </c:pt>
                <c:pt idx="462" formatCode="d\-mmm\-yy">
                  <c:v>36523</c:v>
                </c:pt>
                <c:pt idx="463" formatCode="d\-mmm\-yy">
                  <c:v>36524</c:v>
                </c:pt>
                <c:pt idx="464" formatCode="d\-mmm\-yy">
                  <c:v>36525</c:v>
                </c:pt>
                <c:pt idx="465" formatCode="d\-mmm\-yy">
                  <c:v>36528</c:v>
                </c:pt>
                <c:pt idx="466" formatCode="d\-mmm\-yy">
                  <c:v>36529</c:v>
                </c:pt>
                <c:pt idx="467" formatCode="d\-mmm\-yy">
                  <c:v>36530</c:v>
                </c:pt>
                <c:pt idx="468" formatCode="d\-mmm\-yy">
                  <c:v>36531</c:v>
                </c:pt>
                <c:pt idx="469" formatCode="d\-mmm\-yy">
                  <c:v>36532</c:v>
                </c:pt>
                <c:pt idx="470" formatCode="d\-mmm\-yy">
                  <c:v>36535</c:v>
                </c:pt>
                <c:pt idx="471" formatCode="d\-mmm\-yy">
                  <c:v>36536</c:v>
                </c:pt>
                <c:pt idx="472" formatCode="d\-mmm\-yy">
                  <c:v>36537</c:v>
                </c:pt>
                <c:pt idx="473" formatCode="d\-mmm\-yy">
                  <c:v>36538</c:v>
                </c:pt>
                <c:pt idx="474" formatCode="d\-mmm\-yy">
                  <c:v>36539</c:v>
                </c:pt>
                <c:pt idx="475" formatCode="d\-mmm\-yy">
                  <c:v>36543</c:v>
                </c:pt>
                <c:pt idx="476" formatCode="d\-mmm\-yy">
                  <c:v>36544</c:v>
                </c:pt>
                <c:pt idx="477" formatCode="d\-mmm\-yy">
                  <c:v>36545</c:v>
                </c:pt>
                <c:pt idx="478" formatCode="d\-mmm\-yy">
                  <c:v>36546</c:v>
                </c:pt>
                <c:pt idx="479" formatCode="d\-mmm\-yy">
                  <c:v>36549</c:v>
                </c:pt>
                <c:pt idx="480" formatCode="d\-mmm\-yy">
                  <c:v>36550</c:v>
                </c:pt>
                <c:pt idx="481" formatCode="d\-mmm\-yy">
                  <c:v>36551</c:v>
                </c:pt>
                <c:pt idx="482" formatCode="d\-mmm\-yy">
                  <c:v>36552</c:v>
                </c:pt>
                <c:pt idx="483" formatCode="d\-mmm\-yy">
                  <c:v>36553</c:v>
                </c:pt>
                <c:pt idx="484" formatCode="d\-mmm\-yy">
                  <c:v>36556</c:v>
                </c:pt>
                <c:pt idx="485" formatCode="d\-mmm\-yy">
                  <c:v>36557</c:v>
                </c:pt>
                <c:pt idx="486" formatCode="d\-mmm\-yy">
                  <c:v>36558</c:v>
                </c:pt>
                <c:pt idx="487" formatCode="d\-mmm\-yy">
                  <c:v>36559</c:v>
                </c:pt>
                <c:pt idx="488" formatCode="d\-mmm\-yy">
                  <c:v>36560</c:v>
                </c:pt>
                <c:pt idx="489" formatCode="d\-mmm\-yy">
                  <c:v>36563</c:v>
                </c:pt>
                <c:pt idx="490" formatCode="d\-mmm\-yy">
                  <c:v>36564</c:v>
                </c:pt>
                <c:pt idx="491" formatCode="d\-mmm\-yy">
                  <c:v>36565</c:v>
                </c:pt>
                <c:pt idx="492" formatCode="d\-mmm\-yy">
                  <c:v>36566</c:v>
                </c:pt>
                <c:pt idx="493" formatCode="d\-mmm\-yy">
                  <c:v>36567</c:v>
                </c:pt>
                <c:pt idx="494" formatCode="d\-mmm\-yy">
                  <c:v>36570</c:v>
                </c:pt>
                <c:pt idx="495" formatCode="d\-mmm\-yy">
                  <c:v>36571</c:v>
                </c:pt>
                <c:pt idx="496" formatCode="d\-mmm\-yy">
                  <c:v>36572</c:v>
                </c:pt>
                <c:pt idx="497" formatCode="d\-mmm\-yy">
                  <c:v>36573</c:v>
                </c:pt>
                <c:pt idx="498" formatCode="d\-mmm\-yy">
                  <c:v>36574</c:v>
                </c:pt>
                <c:pt idx="499" formatCode="d\-mmm\-yy">
                  <c:v>36578</c:v>
                </c:pt>
                <c:pt idx="500" formatCode="d\-mmm\-yy">
                  <c:v>36579</c:v>
                </c:pt>
                <c:pt idx="501" formatCode="d\-mmm\-yy">
                  <c:v>36580</c:v>
                </c:pt>
                <c:pt idx="502" formatCode="d\-mmm\-yy">
                  <c:v>36581</c:v>
                </c:pt>
                <c:pt idx="503" formatCode="d\-mmm\-yy">
                  <c:v>36584</c:v>
                </c:pt>
                <c:pt idx="504" formatCode="d\-mmm\-yy">
                  <c:v>36585</c:v>
                </c:pt>
                <c:pt idx="505" formatCode="d\-mmm\-yy">
                  <c:v>36586</c:v>
                </c:pt>
                <c:pt idx="506" formatCode="d\-mmm\-yy">
                  <c:v>36587</c:v>
                </c:pt>
                <c:pt idx="507" formatCode="d\-mmm\-yy">
                  <c:v>36588</c:v>
                </c:pt>
                <c:pt idx="508" formatCode="d\-mmm\-yy">
                  <c:v>36591</c:v>
                </c:pt>
              </c:numCache>
            </c:numRef>
          </c:cat>
          <c:val>
            <c:numRef>
              <c:f>'Stock Data'!$C$2:$C$510</c:f>
              <c:numCache>
                <c:formatCode>_(* #,##0_);_(* \(#,##0\);_(* "-"??_);_(@_)</c:formatCode>
                <c:ptCount val="509"/>
                <c:pt idx="0">
                  <c:v>271.69</c:v>
                </c:pt>
                <c:pt idx="1">
                  <c:v>272.47000000000003</c:v>
                </c:pt>
                <c:pt idx="2">
                  <c:v>271.92</c:v>
                </c:pt>
                <c:pt idx="3">
                  <c:v>271.69</c:v>
                </c:pt>
                <c:pt idx="4">
                  <c:v>272.89999999999998</c:v>
                </c:pt>
                <c:pt idx="5">
                  <c:v>274.10000000000002</c:v>
                </c:pt>
                <c:pt idx="6">
                  <c:v>276.70999999999998</c:v>
                </c:pt>
                <c:pt idx="7">
                  <c:v>275.68</c:v>
                </c:pt>
                <c:pt idx="8">
                  <c:v>275.07</c:v>
                </c:pt>
                <c:pt idx="9">
                  <c:v>274.99</c:v>
                </c:pt>
                <c:pt idx="10">
                  <c:v>276.70999999999998</c:v>
                </c:pt>
                <c:pt idx="11">
                  <c:v>278.68</c:v>
                </c:pt>
                <c:pt idx="12">
                  <c:v>281.24</c:v>
                </c:pt>
                <c:pt idx="13">
                  <c:v>281.77999999999997</c:v>
                </c:pt>
                <c:pt idx="14">
                  <c:v>285.68</c:v>
                </c:pt>
                <c:pt idx="15">
                  <c:v>287.39999999999998</c:v>
                </c:pt>
                <c:pt idx="16">
                  <c:v>287.60000000000002</c:v>
                </c:pt>
                <c:pt idx="17">
                  <c:v>287</c:v>
                </c:pt>
                <c:pt idx="18">
                  <c:v>284.99</c:v>
                </c:pt>
                <c:pt idx="19">
                  <c:v>282.64</c:v>
                </c:pt>
                <c:pt idx="20">
                  <c:v>281.89999999999998</c:v>
                </c:pt>
                <c:pt idx="21">
                  <c:v>285.94</c:v>
                </c:pt>
                <c:pt idx="22">
                  <c:v>286.31</c:v>
                </c:pt>
                <c:pt idx="23">
                  <c:v>291.18</c:v>
                </c:pt>
                <c:pt idx="24">
                  <c:v>290.35000000000002</c:v>
                </c:pt>
                <c:pt idx="25">
                  <c:v>288.83</c:v>
                </c:pt>
                <c:pt idx="26">
                  <c:v>288.26</c:v>
                </c:pt>
                <c:pt idx="27">
                  <c:v>285.62</c:v>
                </c:pt>
                <c:pt idx="28">
                  <c:v>287.37</c:v>
                </c:pt>
                <c:pt idx="29">
                  <c:v>284.89999999999998</c:v>
                </c:pt>
                <c:pt idx="30">
                  <c:v>287.83</c:v>
                </c:pt>
                <c:pt idx="31">
                  <c:v>287.89</c:v>
                </c:pt>
                <c:pt idx="32">
                  <c:v>286.22000000000003</c:v>
                </c:pt>
                <c:pt idx="33">
                  <c:v>289.58</c:v>
                </c:pt>
                <c:pt idx="34">
                  <c:v>288.32</c:v>
                </c:pt>
                <c:pt idx="35">
                  <c:v>287.51</c:v>
                </c:pt>
                <c:pt idx="36">
                  <c:v>285.22000000000003</c:v>
                </c:pt>
                <c:pt idx="37">
                  <c:v>281.92</c:v>
                </c:pt>
                <c:pt idx="38">
                  <c:v>280</c:v>
                </c:pt>
                <c:pt idx="39">
                  <c:v>276.76</c:v>
                </c:pt>
                <c:pt idx="40">
                  <c:v>277.14</c:v>
                </c:pt>
                <c:pt idx="41">
                  <c:v>278.27999999999997</c:v>
                </c:pt>
                <c:pt idx="42">
                  <c:v>284.47000000000003</c:v>
                </c:pt>
                <c:pt idx="43">
                  <c:v>283.56</c:v>
                </c:pt>
                <c:pt idx="44">
                  <c:v>284.13</c:v>
                </c:pt>
                <c:pt idx="45">
                  <c:v>284.7</c:v>
                </c:pt>
                <c:pt idx="46">
                  <c:v>282.64</c:v>
                </c:pt>
                <c:pt idx="47">
                  <c:v>281.49</c:v>
                </c:pt>
                <c:pt idx="48">
                  <c:v>282.38</c:v>
                </c:pt>
                <c:pt idx="49">
                  <c:v>282.12</c:v>
                </c:pt>
                <c:pt idx="50">
                  <c:v>282.73</c:v>
                </c:pt>
                <c:pt idx="51">
                  <c:v>280.43</c:v>
                </c:pt>
                <c:pt idx="52">
                  <c:v>279.11</c:v>
                </c:pt>
                <c:pt idx="53">
                  <c:v>279.92</c:v>
                </c:pt>
                <c:pt idx="54">
                  <c:v>279.43</c:v>
                </c:pt>
                <c:pt idx="55">
                  <c:v>278.60000000000002</c:v>
                </c:pt>
                <c:pt idx="56">
                  <c:v>281.29000000000002</c:v>
                </c:pt>
                <c:pt idx="57">
                  <c:v>280.26</c:v>
                </c:pt>
                <c:pt idx="58">
                  <c:v>280.06</c:v>
                </c:pt>
                <c:pt idx="59">
                  <c:v>278.39999999999998</c:v>
                </c:pt>
                <c:pt idx="60">
                  <c:v>277.42</c:v>
                </c:pt>
                <c:pt idx="61">
                  <c:v>280.77999999999997</c:v>
                </c:pt>
                <c:pt idx="62">
                  <c:v>284.64999999999998</c:v>
                </c:pt>
                <c:pt idx="63">
                  <c:v>291.81</c:v>
                </c:pt>
                <c:pt idx="64">
                  <c:v>291.3</c:v>
                </c:pt>
                <c:pt idx="65">
                  <c:v>290.52</c:v>
                </c:pt>
                <c:pt idx="66">
                  <c:v>290.18</c:v>
                </c:pt>
                <c:pt idx="67">
                  <c:v>292.36</c:v>
                </c:pt>
                <c:pt idx="68">
                  <c:v>292.01</c:v>
                </c:pt>
                <c:pt idx="69">
                  <c:v>290.98</c:v>
                </c:pt>
                <c:pt idx="70">
                  <c:v>292.64</c:v>
                </c:pt>
                <c:pt idx="71">
                  <c:v>293.79000000000002</c:v>
                </c:pt>
                <c:pt idx="72">
                  <c:v>293.42</c:v>
                </c:pt>
                <c:pt idx="73">
                  <c:v>292.01</c:v>
                </c:pt>
                <c:pt idx="74">
                  <c:v>290.99</c:v>
                </c:pt>
                <c:pt idx="75">
                  <c:v>290.72000000000003</c:v>
                </c:pt>
                <c:pt idx="76">
                  <c:v>291.02</c:v>
                </c:pt>
                <c:pt idx="77">
                  <c:v>289.29000000000002</c:v>
                </c:pt>
                <c:pt idx="78">
                  <c:v>289.02</c:v>
                </c:pt>
                <c:pt idx="79">
                  <c:v>290.25</c:v>
                </c:pt>
                <c:pt idx="80">
                  <c:v>290.25</c:v>
                </c:pt>
                <c:pt idx="81">
                  <c:v>286.92</c:v>
                </c:pt>
                <c:pt idx="82">
                  <c:v>288.60000000000002</c:v>
                </c:pt>
                <c:pt idx="83">
                  <c:v>292.45999999999998</c:v>
                </c:pt>
                <c:pt idx="84">
                  <c:v>293.87</c:v>
                </c:pt>
                <c:pt idx="85">
                  <c:v>294.14</c:v>
                </c:pt>
                <c:pt idx="86">
                  <c:v>293.83999999999997</c:v>
                </c:pt>
                <c:pt idx="87">
                  <c:v>295.39999999999998</c:v>
                </c:pt>
                <c:pt idx="88">
                  <c:v>292.73</c:v>
                </c:pt>
                <c:pt idx="89">
                  <c:v>292.85000000000002</c:v>
                </c:pt>
                <c:pt idx="90">
                  <c:v>290.72000000000003</c:v>
                </c:pt>
                <c:pt idx="91">
                  <c:v>291.11</c:v>
                </c:pt>
                <c:pt idx="92">
                  <c:v>290.04000000000002</c:v>
                </c:pt>
                <c:pt idx="93">
                  <c:v>290.99</c:v>
                </c:pt>
                <c:pt idx="94">
                  <c:v>290.87</c:v>
                </c:pt>
                <c:pt idx="95">
                  <c:v>292.31</c:v>
                </c:pt>
                <c:pt idx="96">
                  <c:v>291.89</c:v>
                </c:pt>
                <c:pt idx="97">
                  <c:v>289.95</c:v>
                </c:pt>
                <c:pt idx="98">
                  <c:v>288.24</c:v>
                </c:pt>
                <c:pt idx="99">
                  <c:v>289.2</c:v>
                </c:pt>
                <c:pt idx="100">
                  <c:v>287.52</c:v>
                </c:pt>
                <c:pt idx="101">
                  <c:v>286.08</c:v>
                </c:pt>
                <c:pt idx="102">
                  <c:v>286.32</c:v>
                </c:pt>
                <c:pt idx="103">
                  <c:v>283.83</c:v>
                </c:pt>
                <c:pt idx="104">
                  <c:v>282.04000000000002</c:v>
                </c:pt>
                <c:pt idx="105">
                  <c:v>284.85000000000002</c:v>
                </c:pt>
                <c:pt idx="106">
                  <c:v>278.64999999999998</c:v>
                </c:pt>
                <c:pt idx="107">
                  <c:v>280.33</c:v>
                </c:pt>
                <c:pt idx="108">
                  <c:v>273.74</c:v>
                </c:pt>
                <c:pt idx="109">
                  <c:v>273.92</c:v>
                </c:pt>
                <c:pt idx="110">
                  <c:v>273.58999999999997</c:v>
                </c:pt>
                <c:pt idx="111">
                  <c:v>277.06</c:v>
                </c:pt>
                <c:pt idx="112">
                  <c:v>276.67</c:v>
                </c:pt>
                <c:pt idx="113">
                  <c:v>274.72000000000003</c:v>
                </c:pt>
                <c:pt idx="114">
                  <c:v>280.81</c:v>
                </c:pt>
                <c:pt idx="115">
                  <c:v>279.07</c:v>
                </c:pt>
                <c:pt idx="116">
                  <c:v>277.51</c:v>
                </c:pt>
                <c:pt idx="117">
                  <c:v>281.11</c:v>
                </c:pt>
                <c:pt idx="118">
                  <c:v>281.23</c:v>
                </c:pt>
                <c:pt idx="119">
                  <c:v>279.97000000000003</c:v>
                </c:pt>
                <c:pt idx="120">
                  <c:v>280.08999999999997</c:v>
                </c:pt>
                <c:pt idx="121">
                  <c:v>282.66000000000003</c:v>
                </c:pt>
                <c:pt idx="122">
                  <c:v>284.22000000000003</c:v>
                </c:pt>
                <c:pt idx="123">
                  <c:v>283.52999999999997</c:v>
                </c:pt>
                <c:pt idx="124">
                  <c:v>284.25</c:v>
                </c:pt>
                <c:pt idx="125">
                  <c:v>281.38</c:v>
                </c:pt>
                <c:pt idx="126">
                  <c:v>283.74</c:v>
                </c:pt>
                <c:pt idx="127">
                  <c:v>278.2</c:v>
                </c:pt>
                <c:pt idx="128">
                  <c:v>278.2</c:v>
                </c:pt>
                <c:pt idx="129">
                  <c:v>272.87</c:v>
                </c:pt>
                <c:pt idx="130">
                  <c:v>272.36</c:v>
                </c:pt>
                <c:pt idx="131">
                  <c:v>271.67</c:v>
                </c:pt>
                <c:pt idx="132">
                  <c:v>276.88</c:v>
                </c:pt>
                <c:pt idx="133">
                  <c:v>278.29000000000002</c:v>
                </c:pt>
                <c:pt idx="134">
                  <c:v>278.35000000000002</c:v>
                </c:pt>
                <c:pt idx="135">
                  <c:v>281.68</c:v>
                </c:pt>
                <c:pt idx="136">
                  <c:v>287.04000000000002</c:v>
                </c:pt>
                <c:pt idx="137">
                  <c:v>290.95999999999998</c:v>
                </c:pt>
                <c:pt idx="138">
                  <c:v>293.66000000000003</c:v>
                </c:pt>
                <c:pt idx="139">
                  <c:v>292.49</c:v>
                </c:pt>
                <c:pt idx="140">
                  <c:v>293.95999999999998</c:v>
                </c:pt>
                <c:pt idx="141">
                  <c:v>294.11</c:v>
                </c:pt>
                <c:pt idx="142">
                  <c:v>296.95999999999998</c:v>
                </c:pt>
                <c:pt idx="143">
                  <c:v>302.98</c:v>
                </c:pt>
                <c:pt idx="144">
                  <c:v>298.72000000000003</c:v>
                </c:pt>
                <c:pt idx="145">
                  <c:v>299.74</c:v>
                </c:pt>
                <c:pt idx="146">
                  <c:v>299.86</c:v>
                </c:pt>
                <c:pt idx="147">
                  <c:v>303.58</c:v>
                </c:pt>
                <c:pt idx="148">
                  <c:v>306.72000000000003</c:v>
                </c:pt>
                <c:pt idx="149">
                  <c:v>304.77999999999997</c:v>
                </c:pt>
                <c:pt idx="150">
                  <c:v>311.19</c:v>
                </c:pt>
                <c:pt idx="151">
                  <c:v>318.83</c:v>
                </c:pt>
                <c:pt idx="152">
                  <c:v>317.48</c:v>
                </c:pt>
                <c:pt idx="153">
                  <c:v>319.13</c:v>
                </c:pt>
                <c:pt idx="154">
                  <c:v>320.51</c:v>
                </c:pt>
                <c:pt idx="155">
                  <c:v>311.45999999999998</c:v>
                </c:pt>
                <c:pt idx="156">
                  <c:v>300.52</c:v>
                </c:pt>
                <c:pt idx="157">
                  <c:v>305.56</c:v>
                </c:pt>
                <c:pt idx="158">
                  <c:v>310.41000000000003</c:v>
                </c:pt>
                <c:pt idx="159">
                  <c:v>315.5</c:v>
                </c:pt>
                <c:pt idx="160">
                  <c:v>309.63</c:v>
                </c:pt>
                <c:pt idx="161">
                  <c:v>306.13</c:v>
                </c:pt>
                <c:pt idx="162">
                  <c:v>300.64</c:v>
                </c:pt>
                <c:pt idx="163">
                  <c:v>300.88</c:v>
                </c:pt>
                <c:pt idx="164">
                  <c:v>303.82</c:v>
                </c:pt>
                <c:pt idx="165">
                  <c:v>301.45</c:v>
                </c:pt>
                <c:pt idx="166">
                  <c:v>299.05</c:v>
                </c:pt>
                <c:pt idx="167">
                  <c:v>298.3</c:v>
                </c:pt>
                <c:pt idx="168">
                  <c:v>300.27999999999997</c:v>
                </c:pt>
                <c:pt idx="169">
                  <c:v>297.86</c:v>
                </c:pt>
                <c:pt idx="170">
                  <c:v>301.45</c:v>
                </c:pt>
                <c:pt idx="171">
                  <c:v>304.87</c:v>
                </c:pt>
                <c:pt idx="172">
                  <c:v>307.77</c:v>
                </c:pt>
                <c:pt idx="173">
                  <c:v>306.95999999999998</c:v>
                </c:pt>
                <c:pt idx="174">
                  <c:v>307.05</c:v>
                </c:pt>
                <c:pt idx="175">
                  <c:v>307.05</c:v>
                </c:pt>
                <c:pt idx="176">
                  <c:v>307.38</c:v>
                </c:pt>
                <c:pt idx="177">
                  <c:v>310.08</c:v>
                </c:pt>
                <c:pt idx="178">
                  <c:v>305.44</c:v>
                </c:pt>
                <c:pt idx="179">
                  <c:v>305.62</c:v>
                </c:pt>
                <c:pt idx="180">
                  <c:v>306.87</c:v>
                </c:pt>
                <c:pt idx="181">
                  <c:v>309.54000000000002</c:v>
                </c:pt>
                <c:pt idx="182">
                  <c:v>309.06</c:v>
                </c:pt>
                <c:pt idx="183">
                  <c:v>309.27</c:v>
                </c:pt>
                <c:pt idx="184">
                  <c:v>308.33999999999997</c:v>
                </c:pt>
                <c:pt idx="185">
                  <c:v>310.14</c:v>
                </c:pt>
                <c:pt idx="186">
                  <c:v>312.02999999999997</c:v>
                </c:pt>
                <c:pt idx="187">
                  <c:v>311.07</c:v>
                </c:pt>
                <c:pt idx="188">
                  <c:v>310.5</c:v>
                </c:pt>
                <c:pt idx="189">
                  <c:v>309.93</c:v>
                </c:pt>
                <c:pt idx="190">
                  <c:v>303.52</c:v>
                </c:pt>
                <c:pt idx="191">
                  <c:v>305.17</c:v>
                </c:pt>
                <c:pt idx="192">
                  <c:v>304.14999999999998</c:v>
                </c:pt>
                <c:pt idx="193">
                  <c:v>303.10000000000002</c:v>
                </c:pt>
                <c:pt idx="194">
                  <c:v>308.94</c:v>
                </c:pt>
                <c:pt idx="195">
                  <c:v>308.45999999999998</c:v>
                </c:pt>
                <c:pt idx="196">
                  <c:v>307.70999999999998</c:v>
                </c:pt>
                <c:pt idx="197">
                  <c:v>306.75</c:v>
                </c:pt>
                <c:pt idx="198">
                  <c:v>303.7</c:v>
                </c:pt>
                <c:pt idx="199">
                  <c:v>304.42</c:v>
                </c:pt>
                <c:pt idx="200">
                  <c:v>304.20999999999998</c:v>
                </c:pt>
                <c:pt idx="201">
                  <c:v>304.48</c:v>
                </c:pt>
                <c:pt idx="202">
                  <c:v>306.57</c:v>
                </c:pt>
                <c:pt idx="203">
                  <c:v>311.64</c:v>
                </c:pt>
                <c:pt idx="204">
                  <c:v>313.29000000000002</c:v>
                </c:pt>
                <c:pt idx="205">
                  <c:v>314.36</c:v>
                </c:pt>
                <c:pt idx="206">
                  <c:v>312.81</c:v>
                </c:pt>
                <c:pt idx="207">
                  <c:v>315.05</c:v>
                </c:pt>
                <c:pt idx="208">
                  <c:v>314.54000000000002</c:v>
                </c:pt>
                <c:pt idx="209">
                  <c:v>312.27</c:v>
                </c:pt>
                <c:pt idx="210">
                  <c:v>312.57</c:v>
                </c:pt>
                <c:pt idx="211">
                  <c:v>310.92</c:v>
                </c:pt>
                <c:pt idx="212">
                  <c:v>312.3</c:v>
                </c:pt>
                <c:pt idx="213">
                  <c:v>311.91000000000003</c:v>
                </c:pt>
                <c:pt idx="214">
                  <c:v>309.75</c:v>
                </c:pt>
                <c:pt idx="215">
                  <c:v>311.79000000000002</c:v>
                </c:pt>
                <c:pt idx="216">
                  <c:v>311.19</c:v>
                </c:pt>
                <c:pt idx="217">
                  <c:v>310.14</c:v>
                </c:pt>
                <c:pt idx="218">
                  <c:v>307.41000000000003</c:v>
                </c:pt>
                <c:pt idx="219">
                  <c:v>308.58</c:v>
                </c:pt>
                <c:pt idx="220">
                  <c:v>308.07</c:v>
                </c:pt>
                <c:pt idx="221">
                  <c:v>303.43</c:v>
                </c:pt>
                <c:pt idx="222">
                  <c:v>306.54000000000002</c:v>
                </c:pt>
                <c:pt idx="223">
                  <c:v>304.99</c:v>
                </c:pt>
                <c:pt idx="224">
                  <c:v>304.51</c:v>
                </c:pt>
                <c:pt idx="225">
                  <c:v>306.99</c:v>
                </c:pt>
                <c:pt idx="226">
                  <c:v>308.73</c:v>
                </c:pt>
                <c:pt idx="227">
                  <c:v>308.61</c:v>
                </c:pt>
                <c:pt idx="228">
                  <c:v>308.01</c:v>
                </c:pt>
                <c:pt idx="229">
                  <c:v>303.82</c:v>
                </c:pt>
                <c:pt idx="230">
                  <c:v>303.19</c:v>
                </c:pt>
                <c:pt idx="231">
                  <c:v>302.8</c:v>
                </c:pt>
                <c:pt idx="232">
                  <c:v>296.66000000000003</c:v>
                </c:pt>
                <c:pt idx="233">
                  <c:v>294.98</c:v>
                </c:pt>
                <c:pt idx="234">
                  <c:v>294.95</c:v>
                </c:pt>
                <c:pt idx="235">
                  <c:v>291.29000000000002</c:v>
                </c:pt>
                <c:pt idx="236">
                  <c:v>293.60000000000002</c:v>
                </c:pt>
                <c:pt idx="237">
                  <c:v>296.06</c:v>
                </c:pt>
                <c:pt idx="238">
                  <c:v>293.72000000000003</c:v>
                </c:pt>
                <c:pt idx="239">
                  <c:v>293.95999999999998</c:v>
                </c:pt>
                <c:pt idx="240">
                  <c:v>291.47000000000003</c:v>
                </c:pt>
                <c:pt idx="241">
                  <c:v>286.44</c:v>
                </c:pt>
                <c:pt idx="242">
                  <c:v>288.20999999999998</c:v>
                </c:pt>
                <c:pt idx="243">
                  <c:v>291.41000000000003</c:v>
                </c:pt>
                <c:pt idx="244">
                  <c:v>295.25</c:v>
                </c:pt>
                <c:pt idx="245">
                  <c:v>295.58</c:v>
                </c:pt>
                <c:pt idx="246">
                  <c:v>298.75</c:v>
                </c:pt>
                <c:pt idx="247">
                  <c:v>296.27</c:v>
                </c:pt>
                <c:pt idx="248">
                  <c:v>297.44</c:v>
                </c:pt>
                <c:pt idx="249">
                  <c:v>294.11</c:v>
                </c:pt>
                <c:pt idx="250">
                  <c:v>293.87</c:v>
                </c:pt>
                <c:pt idx="251">
                  <c:v>291.02</c:v>
                </c:pt>
                <c:pt idx="252">
                  <c:v>290.72000000000003</c:v>
                </c:pt>
                <c:pt idx="253">
                  <c:v>292.97000000000003</c:v>
                </c:pt>
                <c:pt idx="254">
                  <c:v>297.11</c:v>
                </c:pt>
                <c:pt idx="255">
                  <c:v>301.51</c:v>
                </c:pt>
                <c:pt idx="256">
                  <c:v>299.23</c:v>
                </c:pt>
                <c:pt idx="257">
                  <c:v>295.01</c:v>
                </c:pt>
                <c:pt idx="258">
                  <c:v>298.63</c:v>
                </c:pt>
                <c:pt idx="259">
                  <c:v>301.57</c:v>
                </c:pt>
                <c:pt idx="260">
                  <c:v>304.51</c:v>
                </c:pt>
                <c:pt idx="261">
                  <c:v>301.95999999999998</c:v>
                </c:pt>
                <c:pt idx="262">
                  <c:v>301.54000000000002</c:v>
                </c:pt>
                <c:pt idx="263">
                  <c:v>302.41000000000003</c:v>
                </c:pt>
                <c:pt idx="264">
                  <c:v>306.16000000000003</c:v>
                </c:pt>
                <c:pt idx="265">
                  <c:v>303.94</c:v>
                </c:pt>
                <c:pt idx="266">
                  <c:v>303.22000000000003</c:v>
                </c:pt>
                <c:pt idx="267">
                  <c:v>299.95</c:v>
                </c:pt>
                <c:pt idx="268">
                  <c:v>305.05</c:v>
                </c:pt>
                <c:pt idx="269">
                  <c:v>304.39</c:v>
                </c:pt>
                <c:pt idx="270">
                  <c:v>299.77</c:v>
                </c:pt>
                <c:pt idx="271">
                  <c:v>300.31</c:v>
                </c:pt>
                <c:pt idx="272">
                  <c:v>293.93</c:v>
                </c:pt>
                <c:pt idx="273">
                  <c:v>292.27999999999997</c:v>
                </c:pt>
                <c:pt idx="274">
                  <c:v>295.01</c:v>
                </c:pt>
                <c:pt idx="275">
                  <c:v>297.23</c:v>
                </c:pt>
                <c:pt idx="276">
                  <c:v>293.57</c:v>
                </c:pt>
                <c:pt idx="277">
                  <c:v>292.37</c:v>
                </c:pt>
                <c:pt idx="278">
                  <c:v>297.11</c:v>
                </c:pt>
                <c:pt idx="279">
                  <c:v>296.33</c:v>
                </c:pt>
                <c:pt idx="280">
                  <c:v>298.75</c:v>
                </c:pt>
                <c:pt idx="281">
                  <c:v>298.01</c:v>
                </c:pt>
                <c:pt idx="282">
                  <c:v>291.58999999999997</c:v>
                </c:pt>
                <c:pt idx="283">
                  <c:v>293.95999999999998</c:v>
                </c:pt>
                <c:pt idx="284">
                  <c:v>296.14999999999998</c:v>
                </c:pt>
                <c:pt idx="285">
                  <c:v>298.42</c:v>
                </c:pt>
                <c:pt idx="286">
                  <c:v>303.52</c:v>
                </c:pt>
                <c:pt idx="287">
                  <c:v>302.35000000000002</c:v>
                </c:pt>
                <c:pt idx="288">
                  <c:v>302.44</c:v>
                </c:pt>
                <c:pt idx="289">
                  <c:v>301.27</c:v>
                </c:pt>
                <c:pt idx="290">
                  <c:v>302.58999999999997</c:v>
                </c:pt>
                <c:pt idx="291">
                  <c:v>305.70999999999998</c:v>
                </c:pt>
                <c:pt idx="292">
                  <c:v>307.95</c:v>
                </c:pt>
                <c:pt idx="293">
                  <c:v>311.31</c:v>
                </c:pt>
                <c:pt idx="294">
                  <c:v>311.55</c:v>
                </c:pt>
                <c:pt idx="295">
                  <c:v>316.33999999999997</c:v>
                </c:pt>
                <c:pt idx="296">
                  <c:v>313.32</c:v>
                </c:pt>
                <c:pt idx="297">
                  <c:v>314.87</c:v>
                </c:pt>
                <c:pt idx="298">
                  <c:v>314.77999999999997</c:v>
                </c:pt>
                <c:pt idx="299">
                  <c:v>315.95</c:v>
                </c:pt>
                <c:pt idx="300">
                  <c:v>314.81</c:v>
                </c:pt>
                <c:pt idx="301">
                  <c:v>314.77999999999997</c:v>
                </c:pt>
                <c:pt idx="302">
                  <c:v>315.86</c:v>
                </c:pt>
                <c:pt idx="303">
                  <c:v>320.39</c:v>
                </c:pt>
                <c:pt idx="304">
                  <c:v>315.98</c:v>
                </c:pt>
                <c:pt idx="305">
                  <c:v>319.25</c:v>
                </c:pt>
                <c:pt idx="306">
                  <c:v>318.83</c:v>
                </c:pt>
                <c:pt idx="307">
                  <c:v>324.25</c:v>
                </c:pt>
                <c:pt idx="308">
                  <c:v>324.61</c:v>
                </c:pt>
                <c:pt idx="309">
                  <c:v>325.14999999999998</c:v>
                </c:pt>
                <c:pt idx="310">
                  <c:v>327.43</c:v>
                </c:pt>
                <c:pt idx="311">
                  <c:v>328.48</c:v>
                </c:pt>
                <c:pt idx="312">
                  <c:v>330.63</c:v>
                </c:pt>
                <c:pt idx="313">
                  <c:v>325.77999999999997</c:v>
                </c:pt>
                <c:pt idx="314">
                  <c:v>329.2</c:v>
                </c:pt>
                <c:pt idx="315">
                  <c:v>325.42</c:v>
                </c:pt>
                <c:pt idx="316">
                  <c:v>324.39999999999998</c:v>
                </c:pt>
                <c:pt idx="317">
                  <c:v>326.47000000000003</c:v>
                </c:pt>
                <c:pt idx="318">
                  <c:v>330.72</c:v>
                </c:pt>
                <c:pt idx="319">
                  <c:v>333.27</c:v>
                </c:pt>
                <c:pt idx="320">
                  <c:v>332.37</c:v>
                </c:pt>
                <c:pt idx="321">
                  <c:v>331.86</c:v>
                </c:pt>
                <c:pt idx="322">
                  <c:v>328</c:v>
                </c:pt>
                <c:pt idx="323">
                  <c:v>328.72</c:v>
                </c:pt>
                <c:pt idx="324">
                  <c:v>331.11</c:v>
                </c:pt>
                <c:pt idx="325">
                  <c:v>332.1</c:v>
                </c:pt>
                <c:pt idx="326">
                  <c:v>333.45</c:v>
                </c:pt>
                <c:pt idx="327">
                  <c:v>332.91</c:v>
                </c:pt>
                <c:pt idx="328">
                  <c:v>330.1</c:v>
                </c:pt>
                <c:pt idx="329">
                  <c:v>326.77</c:v>
                </c:pt>
                <c:pt idx="330">
                  <c:v>328.39</c:v>
                </c:pt>
                <c:pt idx="331">
                  <c:v>326.68</c:v>
                </c:pt>
                <c:pt idx="332">
                  <c:v>324.76</c:v>
                </c:pt>
                <c:pt idx="333">
                  <c:v>322.04000000000002</c:v>
                </c:pt>
                <c:pt idx="334">
                  <c:v>323.29000000000002</c:v>
                </c:pt>
                <c:pt idx="335">
                  <c:v>322.45</c:v>
                </c:pt>
                <c:pt idx="336">
                  <c:v>316.82</c:v>
                </c:pt>
                <c:pt idx="337">
                  <c:v>318.32</c:v>
                </c:pt>
                <c:pt idx="338">
                  <c:v>320.33</c:v>
                </c:pt>
                <c:pt idx="339">
                  <c:v>321.38</c:v>
                </c:pt>
                <c:pt idx="340">
                  <c:v>321.14</c:v>
                </c:pt>
                <c:pt idx="341">
                  <c:v>320.69</c:v>
                </c:pt>
                <c:pt idx="342">
                  <c:v>321.70999999999998</c:v>
                </c:pt>
                <c:pt idx="343">
                  <c:v>320.3</c:v>
                </c:pt>
                <c:pt idx="344">
                  <c:v>320.3</c:v>
                </c:pt>
                <c:pt idx="345">
                  <c:v>320.36</c:v>
                </c:pt>
                <c:pt idx="346">
                  <c:v>320.57</c:v>
                </c:pt>
                <c:pt idx="347">
                  <c:v>320.24</c:v>
                </c:pt>
                <c:pt idx="348">
                  <c:v>321.41000000000003</c:v>
                </c:pt>
                <c:pt idx="349">
                  <c:v>321.32</c:v>
                </c:pt>
                <c:pt idx="350">
                  <c:v>321.68</c:v>
                </c:pt>
                <c:pt idx="351">
                  <c:v>321.23</c:v>
                </c:pt>
                <c:pt idx="352">
                  <c:v>320.99</c:v>
                </c:pt>
                <c:pt idx="353">
                  <c:v>320.93</c:v>
                </c:pt>
                <c:pt idx="354">
                  <c:v>319.61</c:v>
                </c:pt>
                <c:pt idx="355">
                  <c:v>317.18</c:v>
                </c:pt>
                <c:pt idx="356">
                  <c:v>313.23</c:v>
                </c:pt>
                <c:pt idx="357">
                  <c:v>314.66000000000003</c:v>
                </c:pt>
                <c:pt idx="358">
                  <c:v>315.68</c:v>
                </c:pt>
                <c:pt idx="359">
                  <c:v>316.85000000000002</c:v>
                </c:pt>
                <c:pt idx="360">
                  <c:v>316.64</c:v>
                </c:pt>
                <c:pt idx="361">
                  <c:v>317.72000000000003</c:v>
                </c:pt>
                <c:pt idx="362">
                  <c:v>318.38</c:v>
                </c:pt>
                <c:pt idx="363">
                  <c:v>318.95</c:v>
                </c:pt>
                <c:pt idx="364">
                  <c:v>317.69</c:v>
                </c:pt>
                <c:pt idx="365">
                  <c:v>317.24</c:v>
                </c:pt>
                <c:pt idx="366">
                  <c:v>312.60000000000002</c:v>
                </c:pt>
                <c:pt idx="367">
                  <c:v>314.39</c:v>
                </c:pt>
                <c:pt idx="368">
                  <c:v>312.58</c:v>
                </c:pt>
                <c:pt idx="369">
                  <c:v>313.06</c:v>
                </c:pt>
                <c:pt idx="370">
                  <c:v>311.33</c:v>
                </c:pt>
                <c:pt idx="371">
                  <c:v>314.86</c:v>
                </c:pt>
                <c:pt idx="372">
                  <c:v>319.64</c:v>
                </c:pt>
                <c:pt idx="373">
                  <c:v>319.58</c:v>
                </c:pt>
                <c:pt idx="374">
                  <c:v>321.25</c:v>
                </c:pt>
                <c:pt idx="375">
                  <c:v>325.2</c:v>
                </c:pt>
                <c:pt idx="376">
                  <c:v>321.73</c:v>
                </c:pt>
                <c:pt idx="377">
                  <c:v>320.93</c:v>
                </c:pt>
                <c:pt idx="378">
                  <c:v>317.11</c:v>
                </c:pt>
                <c:pt idx="379">
                  <c:v>315.86</c:v>
                </c:pt>
                <c:pt idx="380">
                  <c:v>316.95</c:v>
                </c:pt>
                <c:pt idx="381">
                  <c:v>314.60000000000002</c:v>
                </c:pt>
                <c:pt idx="382">
                  <c:v>319.61</c:v>
                </c:pt>
                <c:pt idx="383">
                  <c:v>314.60000000000002</c:v>
                </c:pt>
                <c:pt idx="384">
                  <c:v>312.64</c:v>
                </c:pt>
                <c:pt idx="385">
                  <c:v>314.12</c:v>
                </c:pt>
                <c:pt idx="386">
                  <c:v>315.95</c:v>
                </c:pt>
                <c:pt idx="387">
                  <c:v>313.54000000000002</c:v>
                </c:pt>
                <c:pt idx="388">
                  <c:v>310.91000000000003</c:v>
                </c:pt>
                <c:pt idx="389">
                  <c:v>310.98</c:v>
                </c:pt>
                <c:pt idx="390">
                  <c:v>309.02</c:v>
                </c:pt>
                <c:pt idx="391">
                  <c:v>310.77999999999997</c:v>
                </c:pt>
                <c:pt idx="392">
                  <c:v>308.66000000000003</c:v>
                </c:pt>
                <c:pt idx="393">
                  <c:v>302.24</c:v>
                </c:pt>
                <c:pt idx="394">
                  <c:v>300.48</c:v>
                </c:pt>
                <c:pt idx="395">
                  <c:v>294.86</c:v>
                </c:pt>
                <c:pt idx="396">
                  <c:v>294.73</c:v>
                </c:pt>
                <c:pt idx="397">
                  <c:v>293.73</c:v>
                </c:pt>
                <c:pt idx="398">
                  <c:v>291.77</c:v>
                </c:pt>
                <c:pt idx="399">
                  <c:v>294.73</c:v>
                </c:pt>
                <c:pt idx="400">
                  <c:v>298.26</c:v>
                </c:pt>
                <c:pt idx="401">
                  <c:v>301.54000000000002</c:v>
                </c:pt>
                <c:pt idx="402">
                  <c:v>305.87</c:v>
                </c:pt>
                <c:pt idx="403">
                  <c:v>303.39999999999998</c:v>
                </c:pt>
                <c:pt idx="404">
                  <c:v>303.43</c:v>
                </c:pt>
                <c:pt idx="405">
                  <c:v>298.36</c:v>
                </c:pt>
                <c:pt idx="406">
                  <c:v>299.67</c:v>
                </c:pt>
                <c:pt idx="407">
                  <c:v>295.72000000000003</c:v>
                </c:pt>
                <c:pt idx="408">
                  <c:v>295.58999999999997</c:v>
                </c:pt>
                <c:pt idx="409">
                  <c:v>296.49</c:v>
                </c:pt>
                <c:pt idx="410">
                  <c:v>299.38</c:v>
                </c:pt>
                <c:pt idx="411">
                  <c:v>294.73</c:v>
                </c:pt>
                <c:pt idx="412">
                  <c:v>298.52</c:v>
                </c:pt>
                <c:pt idx="413">
                  <c:v>295.08</c:v>
                </c:pt>
                <c:pt idx="414">
                  <c:v>294.66000000000003</c:v>
                </c:pt>
                <c:pt idx="415">
                  <c:v>293.57</c:v>
                </c:pt>
                <c:pt idx="416">
                  <c:v>294.73</c:v>
                </c:pt>
                <c:pt idx="417">
                  <c:v>294.47000000000003</c:v>
                </c:pt>
                <c:pt idx="418">
                  <c:v>295.24</c:v>
                </c:pt>
                <c:pt idx="419">
                  <c:v>302.37</c:v>
                </c:pt>
                <c:pt idx="420">
                  <c:v>306.26</c:v>
                </c:pt>
                <c:pt idx="421">
                  <c:v>306.61</c:v>
                </c:pt>
                <c:pt idx="422">
                  <c:v>305.2</c:v>
                </c:pt>
                <c:pt idx="423">
                  <c:v>306.67</c:v>
                </c:pt>
                <c:pt idx="424">
                  <c:v>306.64</c:v>
                </c:pt>
                <c:pt idx="425">
                  <c:v>304.01</c:v>
                </c:pt>
                <c:pt idx="426">
                  <c:v>303.27</c:v>
                </c:pt>
                <c:pt idx="427">
                  <c:v>302.18</c:v>
                </c:pt>
                <c:pt idx="428">
                  <c:v>299.48</c:v>
                </c:pt>
                <c:pt idx="429">
                  <c:v>297.33</c:v>
                </c:pt>
                <c:pt idx="430">
                  <c:v>299.35000000000002</c:v>
                </c:pt>
                <c:pt idx="431">
                  <c:v>300.31</c:v>
                </c:pt>
                <c:pt idx="432">
                  <c:v>298.13</c:v>
                </c:pt>
                <c:pt idx="433">
                  <c:v>297.97000000000003</c:v>
                </c:pt>
                <c:pt idx="434">
                  <c:v>296.24</c:v>
                </c:pt>
                <c:pt idx="435">
                  <c:v>294.05</c:v>
                </c:pt>
                <c:pt idx="436">
                  <c:v>291.70999999999998</c:v>
                </c:pt>
                <c:pt idx="437">
                  <c:v>286.08999999999997</c:v>
                </c:pt>
                <c:pt idx="438">
                  <c:v>281.56</c:v>
                </c:pt>
                <c:pt idx="439">
                  <c:v>283.2</c:v>
                </c:pt>
                <c:pt idx="440">
                  <c:v>281.37</c:v>
                </c:pt>
                <c:pt idx="441">
                  <c:v>276.94</c:v>
                </c:pt>
                <c:pt idx="442">
                  <c:v>281.52999999999997</c:v>
                </c:pt>
                <c:pt idx="443">
                  <c:v>279.95999999999998</c:v>
                </c:pt>
                <c:pt idx="444">
                  <c:v>281.43</c:v>
                </c:pt>
                <c:pt idx="445">
                  <c:v>283.17</c:v>
                </c:pt>
                <c:pt idx="446">
                  <c:v>281.31</c:v>
                </c:pt>
                <c:pt idx="447">
                  <c:v>275.91000000000003</c:v>
                </c:pt>
                <c:pt idx="448">
                  <c:v>273.7</c:v>
                </c:pt>
                <c:pt idx="449">
                  <c:v>274.44</c:v>
                </c:pt>
                <c:pt idx="450">
                  <c:v>273.18</c:v>
                </c:pt>
                <c:pt idx="451">
                  <c:v>269.58999999999997</c:v>
                </c:pt>
                <c:pt idx="452">
                  <c:v>269.2</c:v>
                </c:pt>
                <c:pt idx="453">
                  <c:v>272.19</c:v>
                </c:pt>
                <c:pt idx="454">
                  <c:v>270.52</c:v>
                </c:pt>
                <c:pt idx="455">
                  <c:v>274.27</c:v>
                </c:pt>
                <c:pt idx="456">
                  <c:v>273.83</c:v>
                </c:pt>
                <c:pt idx="457">
                  <c:v>277.10000000000002</c:v>
                </c:pt>
                <c:pt idx="458">
                  <c:v>277.42</c:v>
                </c:pt>
                <c:pt idx="459">
                  <c:v>281.20999999999998</c:v>
                </c:pt>
                <c:pt idx="460">
                  <c:v>282.56</c:v>
                </c:pt>
                <c:pt idx="461">
                  <c:v>283.01</c:v>
                </c:pt>
                <c:pt idx="462">
                  <c:v>281.60000000000002</c:v>
                </c:pt>
                <c:pt idx="463">
                  <c:v>283.62</c:v>
                </c:pt>
                <c:pt idx="464">
                  <c:v>283.36</c:v>
                </c:pt>
                <c:pt idx="465">
                  <c:v>276.70999999999998</c:v>
                </c:pt>
                <c:pt idx="466">
                  <c:v>278.51</c:v>
                </c:pt>
                <c:pt idx="467">
                  <c:v>289.11</c:v>
                </c:pt>
                <c:pt idx="468">
                  <c:v>292.64</c:v>
                </c:pt>
                <c:pt idx="469">
                  <c:v>297.77999999999997</c:v>
                </c:pt>
                <c:pt idx="470">
                  <c:v>296.37</c:v>
                </c:pt>
                <c:pt idx="471">
                  <c:v>294.37</c:v>
                </c:pt>
                <c:pt idx="472">
                  <c:v>298.23</c:v>
                </c:pt>
                <c:pt idx="473">
                  <c:v>299.8</c:v>
                </c:pt>
                <c:pt idx="474">
                  <c:v>302.24</c:v>
                </c:pt>
                <c:pt idx="475">
                  <c:v>299.29000000000002</c:v>
                </c:pt>
                <c:pt idx="476">
                  <c:v>301.54000000000002</c:v>
                </c:pt>
                <c:pt idx="477">
                  <c:v>308.82</c:v>
                </c:pt>
                <c:pt idx="478">
                  <c:v>315.08999999999997</c:v>
                </c:pt>
                <c:pt idx="479">
                  <c:v>312.26</c:v>
                </c:pt>
                <c:pt idx="480">
                  <c:v>305.87</c:v>
                </c:pt>
                <c:pt idx="481">
                  <c:v>310.33</c:v>
                </c:pt>
                <c:pt idx="482">
                  <c:v>310.81</c:v>
                </c:pt>
                <c:pt idx="483">
                  <c:v>306.58</c:v>
                </c:pt>
                <c:pt idx="484">
                  <c:v>315.14</c:v>
                </c:pt>
                <c:pt idx="485">
                  <c:v>312.95</c:v>
                </c:pt>
                <c:pt idx="486">
                  <c:v>311.41000000000003</c:v>
                </c:pt>
                <c:pt idx="487">
                  <c:v>315.61</c:v>
                </c:pt>
                <c:pt idx="488">
                  <c:v>309.3</c:v>
                </c:pt>
                <c:pt idx="489">
                  <c:v>306.91000000000003</c:v>
                </c:pt>
                <c:pt idx="490">
                  <c:v>311.31</c:v>
                </c:pt>
                <c:pt idx="491">
                  <c:v>309.43</c:v>
                </c:pt>
                <c:pt idx="492">
                  <c:v>308.08999999999997</c:v>
                </c:pt>
                <c:pt idx="493">
                  <c:v>305.97000000000003</c:v>
                </c:pt>
                <c:pt idx="494">
                  <c:v>307.05</c:v>
                </c:pt>
                <c:pt idx="495">
                  <c:v>307.42</c:v>
                </c:pt>
                <c:pt idx="496">
                  <c:v>306.11</c:v>
                </c:pt>
                <c:pt idx="497">
                  <c:v>303.99</c:v>
                </c:pt>
                <c:pt idx="498">
                  <c:v>298.86</c:v>
                </c:pt>
                <c:pt idx="499">
                  <c:v>295.89999999999998</c:v>
                </c:pt>
                <c:pt idx="500">
                  <c:v>293.52</c:v>
                </c:pt>
                <c:pt idx="501">
                  <c:v>285.52999999999997</c:v>
                </c:pt>
                <c:pt idx="502">
                  <c:v>279.99</c:v>
                </c:pt>
                <c:pt idx="503">
                  <c:v>288.14999999999998</c:v>
                </c:pt>
                <c:pt idx="504">
                  <c:v>288.48</c:v>
                </c:pt>
                <c:pt idx="505">
                  <c:v>287.38</c:v>
                </c:pt>
                <c:pt idx="506">
                  <c:v>287.98</c:v>
                </c:pt>
                <c:pt idx="507">
                  <c:v>290.2</c:v>
                </c:pt>
                <c:pt idx="508">
                  <c:v>280.8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8-4F55-A014-E0EF0B73E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58232"/>
        <c:axId val="1"/>
      </c:lineChart>
      <c:lineChart>
        <c:grouping val="standard"/>
        <c:varyColors val="0"/>
        <c:ser>
          <c:idx val="0"/>
          <c:order val="0"/>
          <c:tx>
            <c:strRef>
              <c:f>'Stock Data'!$B$1</c:f>
              <c:strCache>
                <c:ptCount val="1"/>
                <c:pt idx="0">
                  <c:v>CIN</c:v>
                </c:pt>
              </c:strCache>
            </c:strRef>
          </c:tx>
          <c:spPr>
            <a:ln w="25400">
              <a:solidFill>
                <a:srgbClr val="000080"/>
              </a:solidFill>
              <a:prstDash val="lgDash"/>
            </a:ln>
          </c:spPr>
          <c:marker>
            <c:symbol val="none"/>
          </c:marker>
          <c:cat>
            <c:numRef>
              <c:f>'Stock Data'!$A$2:$A$510</c:f>
              <c:numCache>
                <c:formatCode>m/d/yyyy</c:formatCode>
                <c:ptCount val="509"/>
                <c:pt idx="0">
                  <c:v>35856</c:v>
                </c:pt>
                <c:pt idx="1">
                  <c:v>35857</c:v>
                </c:pt>
                <c:pt idx="2">
                  <c:v>35858</c:v>
                </c:pt>
                <c:pt idx="3">
                  <c:v>35859</c:v>
                </c:pt>
                <c:pt idx="4">
                  <c:v>35860</c:v>
                </c:pt>
                <c:pt idx="5">
                  <c:v>35863</c:v>
                </c:pt>
                <c:pt idx="6">
                  <c:v>35864</c:v>
                </c:pt>
                <c:pt idx="7">
                  <c:v>35865</c:v>
                </c:pt>
                <c:pt idx="8">
                  <c:v>35866</c:v>
                </c:pt>
                <c:pt idx="9">
                  <c:v>35867</c:v>
                </c:pt>
                <c:pt idx="10">
                  <c:v>35870</c:v>
                </c:pt>
                <c:pt idx="11">
                  <c:v>35871</c:v>
                </c:pt>
                <c:pt idx="12">
                  <c:v>35872</c:v>
                </c:pt>
                <c:pt idx="13">
                  <c:v>35873</c:v>
                </c:pt>
                <c:pt idx="14">
                  <c:v>35874</c:v>
                </c:pt>
                <c:pt idx="15">
                  <c:v>35877</c:v>
                </c:pt>
                <c:pt idx="16">
                  <c:v>35878</c:v>
                </c:pt>
                <c:pt idx="17">
                  <c:v>35879</c:v>
                </c:pt>
                <c:pt idx="18">
                  <c:v>35880</c:v>
                </c:pt>
                <c:pt idx="19">
                  <c:v>35881</c:v>
                </c:pt>
                <c:pt idx="20">
                  <c:v>35884</c:v>
                </c:pt>
                <c:pt idx="21">
                  <c:v>35885</c:v>
                </c:pt>
                <c:pt idx="22">
                  <c:v>35886</c:v>
                </c:pt>
                <c:pt idx="23">
                  <c:v>35887</c:v>
                </c:pt>
                <c:pt idx="24">
                  <c:v>35888</c:v>
                </c:pt>
                <c:pt idx="25">
                  <c:v>35891</c:v>
                </c:pt>
                <c:pt idx="26">
                  <c:v>35892</c:v>
                </c:pt>
                <c:pt idx="27">
                  <c:v>35893</c:v>
                </c:pt>
                <c:pt idx="28">
                  <c:v>35894</c:v>
                </c:pt>
                <c:pt idx="29">
                  <c:v>35898</c:v>
                </c:pt>
                <c:pt idx="30">
                  <c:v>35899</c:v>
                </c:pt>
                <c:pt idx="31">
                  <c:v>35900</c:v>
                </c:pt>
                <c:pt idx="32">
                  <c:v>35901</c:v>
                </c:pt>
                <c:pt idx="33">
                  <c:v>35902</c:v>
                </c:pt>
                <c:pt idx="34">
                  <c:v>35905</c:v>
                </c:pt>
                <c:pt idx="35">
                  <c:v>35906</c:v>
                </c:pt>
                <c:pt idx="36">
                  <c:v>35907</c:v>
                </c:pt>
                <c:pt idx="37">
                  <c:v>35908</c:v>
                </c:pt>
                <c:pt idx="38">
                  <c:v>35909</c:v>
                </c:pt>
                <c:pt idx="39">
                  <c:v>35912</c:v>
                </c:pt>
                <c:pt idx="40">
                  <c:v>35913</c:v>
                </c:pt>
                <c:pt idx="41">
                  <c:v>35914</c:v>
                </c:pt>
                <c:pt idx="42">
                  <c:v>35915</c:v>
                </c:pt>
                <c:pt idx="43">
                  <c:v>35916</c:v>
                </c:pt>
                <c:pt idx="44">
                  <c:v>35919</c:v>
                </c:pt>
                <c:pt idx="45">
                  <c:v>35920</c:v>
                </c:pt>
                <c:pt idx="46">
                  <c:v>35921</c:v>
                </c:pt>
                <c:pt idx="47">
                  <c:v>35922</c:v>
                </c:pt>
                <c:pt idx="48">
                  <c:v>35923</c:v>
                </c:pt>
                <c:pt idx="49">
                  <c:v>35926</c:v>
                </c:pt>
                <c:pt idx="50">
                  <c:v>35927</c:v>
                </c:pt>
                <c:pt idx="51">
                  <c:v>35928</c:v>
                </c:pt>
                <c:pt idx="52">
                  <c:v>35929</c:v>
                </c:pt>
                <c:pt idx="53">
                  <c:v>35930</c:v>
                </c:pt>
                <c:pt idx="54">
                  <c:v>35933</c:v>
                </c:pt>
                <c:pt idx="55">
                  <c:v>35934</c:v>
                </c:pt>
                <c:pt idx="56">
                  <c:v>35935</c:v>
                </c:pt>
                <c:pt idx="57">
                  <c:v>35936</c:v>
                </c:pt>
                <c:pt idx="58">
                  <c:v>35937</c:v>
                </c:pt>
                <c:pt idx="59">
                  <c:v>35941</c:v>
                </c:pt>
                <c:pt idx="60">
                  <c:v>35942</c:v>
                </c:pt>
                <c:pt idx="61">
                  <c:v>35943</c:v>
                </c:pt>
                <c:pt idx="62">
                  <c:v>35944</c:v>
                </c:pt>
                <c:pt idx="63">
                  <c:v>35947</c:v>
                </c:pt>
                <c:pt idx="64">
                  <c:v>35948</c:v>
                </c:pt>
                <c:pt idx="65">
                  <c:v>35949</c:v>
                </c:pt>
                <c:pt idx="66">
                  <c:v>35950</c:v>
                </c:pt>
                <c:pt idx="67">
                  <c:v>35951</c:v>
                </c:pt>
                <c:pt idx="68">
                  <c:v>35954</c:v>
                </c:pt>
                <c:pt idx="69">
                  <c:v>35955</c:v>
                </c:pt>
                <c:pt idx="70">
                  <c:v>35956</c:v>
                </c:pt>
                <c:pt idx="71">
                  <c:v>35957</c:v>
                </c:pt>
                <c:pt idx="72">
                  <c:v>35958</c:v>
                </c:pt>
                <c:pt idx="73">
                  <c:v>35961</c:v>
                </c:pt>
                <c:pt idx="74">
                  <c:v>35962</c:v>
                </c:pt>
                <c:pt idx="75">
                  <c:v>35963</c:v>
                </c:pt>
                <c:pt idx="76">
                  <c:v>35964</c:v>
                </c:pt>
                <c:pt idx="77">
                  <c:v>35965</c:v>
                </c:pt>
                <c:pt idx="78">
                  <c:v>35968</c:v>
                </c:pt>
                <c:pt idx="79">
                  <c:v>35969</c:v>
                </c:pt>
                <c:pt idx="80">
                  <c:v>35970</c:v>
                </c:pt>
                <c:pt idx="81">
                  <c:v>35971</c:v>
                </c:pt>
                <c:pt idx="82">
                  <c:v>35972</c:v>
                </c:pt>
                <c:pt idx="83">
                  <c:v>35975</c:v>
                </c:pt>
                <c:pt idx="84">
                  <c:v>35976</c:v>
                </c:pt>
                <c:pt idx="85">
                  <c:v>35977</c:v>
                </c:pt>
                <c:pt idx="86">
                  <c:v>35978</c:v>
                </c:pt>
                <c:pt idx="87">
                  <c:v>35982</c:v>
                </c:pt>
                <c:pt idx="88">
                  <c:v>35983</c:v>
                </c:pt>
                <c:pt idx="89">
                  <c:v>35984</c:v>
                </c:pt>
                <c:pt idx="90">
                  <c:v>35985</c:v>
                </c:pt>
                <c:pt idx="91">
                  <c:v>35986</c:v>
                </c:pt>
                <c:pt idx="92">
                  <c:v>35989</c:v>
                </c:pt>
                <c:pt idx="93">
                  <c:v>35990</c:v>
                </c:pt>
                <c:pt idx="94">
                  <c:v>35991</c:v>
                </c:pt>
                <c:pt idx="95">
                  <c:v>35992</c:v>
                </c:pt>
                <c:pt idx="96">
                  <c:v>35993</c:v>
                </c:pt>
                <c:pt idx="97">
                  <c:v>35996</c:v>
                </c:pt>
                <c:pt idx="98">
                  <c:v>35997</c:v>
                </c:pt>
                <c:pt idx="99">
                  <c:v>35998</c:v>
                </c:pt>
                <c:pt idx="100">
                  <c:v>35999</c:v>
                </c:pt>
                <c:pt idx="101">
                  <c:v>36000</c:v>
                </c:pt>
                <c:pt idx="102">
                  <c:v>36003</c:v>
                </c:pt>
                <c:pt idx="103">
                  <c:v>36004</c:v>
                </c:pt>
                <c:pt idx="104" formatCode="d\-mmm\-yy">
                  <c:v>36005</c:v>
                </c:pt>
                <c:pt idx="105" formatCode="d\-mmm\-yy">
                  <c:v>36006</c:v>
                </c:pt>
                <c:pt idx="106" formatCode="d\-mmm\-yy">
                  <c:v>36007</c:v>
                </c:pt>
                <c:pt idx="107" formatCode="d\-mmm\-yy">
                  <c:v>36010</c:v>
                </c:pt>
                <c:pt idx="108" formatCode="d\-mmm\-yy">
                  <c:v>36011</c:v>
                </c:pt>
                <c:pt idx="109" formatCode="d\-mmm\-yy">
                  <c:v>36012</c:v>
                </c:pt>
                <c:pt idx="110" formatCode="d\-mmm\-yy">
                  <c:v>36013</c:v>
                </c:pt>
                <c:pt idx="111" formatCode="d\-mmm\-yy">
                  <c:v>36014</c:v>
                </c:pt>
                <c:pt idx="112" formatCode="d\-mmm\-yy">
                  <c:v>36017</c:v>
                </c:pt>
                <c:pt idx="113" formatCode="d\-mmm\-yy">
                  <c:v>36018</c:v>
                </c:pt>
                <c:pt idx="114" formatCode="d\-mmm\-yy">
                  <c:v>36019</c:v>
                </c:pt>
                <c:pt idx="115" formatCode="d\-mmm\-yy">
                  <c:v>36020</c:v>
                </c:pt>
                <c:pt idx="116" formatCode="d\-mmm\-yy">
                  <c:v>36021</c:v>
                </c:pt>
                <c:pt idx="117" formatCode="d\-mmm\-yy">
                  <c:v>36024</c:v>
                </c:pt>
                <c:pt idx="118" formatCode="d\-mmm\-yy">
                  <c:v>36025</c:v>
                </c:pt>
                <c:pt idx="119" formatCode="d\-mmm\-yy">
                  <c:v>36026</c:v>
                </c:pt>
                <c:pt idx="120" formatCode="d\-mmm\-yy">
                  <c:v>36027</c:v>
                </c:pt>
                <c:pt idx="121" formatCode="d\-mmm\-yy">
                  <c:v>36028</c:v>
                </c:pt>
                <c:pt idx="122" formatCode="d\-mmm\-yy">
                  <c:v>36031</c:v>
                </c:pt>
                <c:pt idx="123" formatCode="d\-mmm\-yy">
                  <c:v>36032</c:v>
                </c:pt>
                <c:pt idx="124" formatCode="d\-mmm\-yy">
                  <c:v>36033</c:v>
                </c:pt>
                <c:pt idx="125" formatCode="d\-mmm\-yy">
                  <c:v>36034</c:v>
                </c:pt>
                <c:pt idx="126" formatCode="d\-mmm\-yy">
                  <c:v>36035</c:v>
                </c:pt>
                <c:pt idx="127" formatCode="d\-mmm\-yy">
                  <c:v>36038</c:v>
                </c:pt>
                <c:pt idx="128" formatCode="d\-mmm\-yy">
                  <c:v>36039</c:v>
                </c:pt>
                <c:pt idx="129" formatCode="d\-mmm\-yy">
                  <c:v>36040</c:v>
                </c:pt>
                <c:pt idx="130" formatCode="d\-mmm\-yy">
                  <c:v>36041</c:v>
                </c:pt>
                <c:pt idx="131" formatCode="d\-mmm\-yy">
                  <c:v>36042</c:v>
                </c:pt>
                <c:pt idx="132" formatCode="d\-mmm\-yy">
                  <c:v>36046</c:v>
                </c:pt>
                <c:pt idx="133" formatCode="d\-mmm\-yy">
                  <c:v>36047</c:v>
                </c:pt>
                <c:pt idx="134" formatCode="d\-mmm\-yy">
                  <c:v>36048</c:v>
                </c:pt>
                <c:pt idx="135" formatCode="d\-mmm\-yy">
                  <c:v>36049</c:v>
                </c:pt>
                <c:pt idx="136" formatCode="d\-mmm\-yy">
                  <c:v>36052</c:v>
                </c:pt>
                <c:pt idx="137" formatCode="d\-mmm\-yy">
                  <c:v>36053</c:v>
                </c:pt>
                <c:pt idx="138" formatCode="d\-mmm\-yy">
                  <c:v>36054</c:v>
                </c:pt>
                <c:pt idx="139" formatCode="d\-mmm\-yy">
                  <c:v>36055</c:v>
                </c:pt>
                <c:pt idx="140" formatCode="d\-mmm\-yy">
                  <c:v>36056</c:v>
                </c:pt>
                <c:pt idx="141" formatCode="d\-mmm\-yy">
                  <c:v>36059</c:v>
                </c:pt>
                <c:pt idx="142" formatCode="d\-mmm\-yy">
                  <c:v>36060</c:v>
                </c:pt>
                <c:pt idx="143" formatCode="d\-mmm\-yy">
                  <c:v>36061</c:v>
                </c:pt>
                <c:pt idx="144" formatCode="d\-mmm\-yy">
                  <c:v>36062</c:v>
                </c:pt>
                <c:pt idx="145" formatCode="d\-mmm\-yy">
                  <c:v>36063</c:v>
                </c:pt>
                <c:pt idx="146" formatCode="d\-mmm\-yy">
                  <c:v>36066</c:v>
                </c:pt>
                <c:pt idx="147" formatCode="d\-mmm\-yy">
                  <c:v>36067</c:v>
                </c:pt>
                <c:pt idx="148" formatCode="d\-mmm\-yy">
                  <c:v>36068</c:v>
                </c:pt>
                <c:pt idx="149" formatCode="d\-mmm\-yy">
                  <c:v>36069</c:v>
                </c:pt>
                <c:pt idx="150" formatCode="d\-mmm\-yy">
                  <c:v>36070</c:v>
                </c:pt>
                <c:pt idx="151" formatCode="d\-mmm\-yy">
                  <c:v>36073</c:v>
                </c:pt>
                <c:pt idx="152" formatCode="d\-mmm\-yy">
                  <c:v>36074</c:v>
                </c:pt>
                <c:pt idx="153" formatCode="d\-mmm\-yy">
                  <c:v>36075</c:v>
                </c:pt>
                <c:pt idx="154" formatCode="d\-mmm\-yy">
                  <c:v>36076</c:v>
                </c:pt>
                <c:pt idx="155" formatCode="d\-mmm\-yy">
                  <c:v>36077</c:v>
                </c:pt>
                <c:pt idx="156" formatCode="d\-mmm\-yy">
                  <c:v>36080</c:v>
                </c:pt>
                <c:pt idx="157" formatCode="d\-mmm\-yy">
                  <c:v>36081</c:v>
                </c:pt>
                <c:pt idx="158" formatCode="d\-mmm\-yy">
                  <c:v>36082</c:v>
                </c:pt>
                <c:pt idx="159" formatCode="d\-mmm\-yy">
                  <c:v>36083</c:v>
                </c:pt>
                <c:pt idx="160" formatCode="d\-mmm\-yy">
                  <c:v>36084</c:v>
                </c:pt>
                <c:pt idx="161" formatCode="d\-mmm\-yy">
                  <c:v>36087</c:v>
                </c:pt>
                <c:pt idx="162" formatCode="d\-mmm\-yy">
                  <c:v>36088</c:v>
                </c:pt>
                <c:pt idx="163" formatCode="d\-mmm\-yy">
                  <c:v>36089</c:v>
                </c:pt>
                <c:pt idx="164" formatCode="d\-mmm\-yy">
                  <c:v>36090</c:v>
                </c:pt>
                <c:pt idx="165" formatCode="d\-mmm\-yy">
                  <c:v>36091</c:v>
                </c:pt>
                <c:pt idx="166" formatCode="d\-mmm\-yy">
                  <c:v>36094</c:v>
                </c:pt>
                <c:pt idx="167" formatCode="d\-mmm\-yy">
                  <c:v>36095</c:v>
                </c:pt>
                <c:pt idx="168" formatCode="d\-mmm\-yy">
                  <c:v>36096</c:v>
                </c:pt>
                <c:pt idx="169" formatCode="d\-mmm\-yy">
                  <c:v>36097</c:v>
                </c:pt>
                <c:pt idx="170" formatCode="d\-mmm\-yy">
                  <c:v>36098</c:v>
                </c:pt>
                <c:pt idx="171" formatCode="d\-mmm\-yy">
                  <c:v>36101</c:v>
                </c:pt>
                <c:pt idx="172" formatCode="d\-mmm\-yy">
                  <c:v>36102</c:v>
                </c:pt>
                <c:pt idx="173" formatCode="d\-mmm\-yy">
                  <c:v>36103</c:v>
                </c:pt>
                <c:pt idx="174" formatCode="d\-mmm\-yy">
                  <c:v>36104</c:v>
                </c:pt>
                <c:pt idx="175" formatCode="d\-mmm\-yy">
                  <c:v>36105</c:v>
                </c:pt>
                <c:pt idx="176" formatCode="d\-mmm\-yy">
                  <c:v>36108</c:v>
                </c:pt>
                <c:pt idx="177" formatCode="d\-mmm\-yy">
                  <c:v>36109</c:v>
                </c:pt>
                <c:pt idx="178" formatCode="d\-mmm\-yy">
                  <c:v>36110</c:v>
                </c:pt>
                <c:pt idx="179" formatCode="d\-mmm\-yy">
                  <c:v>36111</c:v>
                </c:pt>
                <c:pt idx="180" formatCode="d\-mmm\-yy">
                  <c:v>36112</c:v>
                </c:pt>
                <c:pt idx="181" formatCode="d\-mmm\-yy">
                  <c:v>36115</c:v>
                </c:pt>
                <c:pt idx="182" formatCode="d\-mmm\-yy">
                  <c:v>36116</c:v>
                </c:pt>
                <c:pt idx="183" formatCode="d\-mmm\-yy">
                  <c:v>36117</c:v>
                </c:pt>
                <c:pt idx="184" formatCode="d\-mmm\-yy">
                  <c:v>36118</c:v>
                </c:pt>
                <c:pt idx="185" formatCode="d\-mmm\-yy">
                  <c:v>36119</c:v>
                </c:pt>
                <c:pt idx="186" formatCode="d\-mmm\-yy">
                  <c:v>36122</c:v>
                </c:pt>
                <c:pt idx="187" formatCode="d\-mmm\-yy">
                  <c:v>36123</c:v>
                </c:pt>
                <c:pt idx="188" formatCode="d\-mmm\-yy">
                  <c:v>36124</c:v>
                </c:pt>
                <c:pt idx="189" formatCode="d\-mmm\-yy">
                  <c:v>36126</c:v>
                </c:pt>
                <c:pt idx="190" formatCode="d\-mmm\-yy">
                  <c:v>36129</c:v>
                </c:pt>
                <c:pt idx="191" formatCode="d\-mmm\-yy">
                  <c:v>36130</c:v>
                </c:pt>
                <c:pt idx="192" formatCode="d\-mmm\-yy">
                  <c:v>36131</c:v>
                </c:pt>
                <c:pt idx="193" formatCode="d\-mmm\-yy">
                  <c:v>36132</c:v>
                </c:pt>
                <c:pt idx="194" formatCode="d\-mmm\-yy">
                  <c:v>36133</c:v>
                </c:pt>
                <c:pt idx="195" formatCode="d\-mmm\-yy">
                  <c:v>36136</c:v>
                </c:pt>
                <c:pt idx="196" formatCode="d\-mmm\-yy">
                  <c:v>36137</c:v>
                </c:pt>
                <c:pt idx="197" formatCode="d\-mmm\-yy">
                  <c:v>36138</c:v>
                </c:pt>
                <c:pt idx="198" formatCode="d\-mmm\-yy">
                  <c:v>36139</c:v>
                </c:pt>
                <c:pt idx="199" formatCode="d\-mmm\-yy">
                  <c:v>36140</c:v>
                </c:pt>
                <c:pt idx="200" formatCode="d\-mmm\-yy">
                  <c:v>36143</c:v>
                </c:pt>
                <c:pt idx="201" formatCode="d\-mmm\-yy">
                  <c:v>36144</c:v>
                </c:pt>
                <c:pt idx="202" formatCode="d\-mmm\-yy">
                  <c:v>36145</c:v>
                </c:pt>
                <c:pt idx="203" formatCode="d\-mmm\-yy">
                  <c:v>36146</c:v>
                </c:pt>
                <c:pt idx="204" formatCode="d\-mmm\-yy">
                  <c:v>36147</c:v>
                </c:pt>
                <c:pt idx="205" formatCode="d\-mmm\-yy">
                  <c:v>36150</c:v>
                </c:pt>
                <c:pt idx="206" formatCode="d\-mmm\-yy">
                  <c:v>36151</c:v>
                </c:pt>
                <c:pt idx="207" formatCode="d\-mmm\-yy">
                  <c:v>36152</c:v>
                </c:pt>
                <c:pt idx="208" formatCode="d\-mmm\-yy">
                  <c:v>36153</c:v>
                </c:pt>
                <c:pt idx="209" formatCode="d\-mmm\-yy">
                  <c:v>36157</c:v>
                </c:pt>
                <c:pt idx="210" formatCode="d\-mmm\-yy">
                  <c:v>36158</c:v>
                </c:pt>
                <c:pt idx="211" formatCode="d\-mmm\-yy">
                  <c:v>36159</c:v>
                </c:pt>
                <c:pt idx="212" formatCode="d\-mmm\-yy">
                  <c:v>36160</c:v>
                </c:pt>
                <c:pt idx="213" formatCode="d\-mmm\-yy">
                  <c:v>36164</c:v>
                </c:pt>
                <c:pt idx="214" formatCode="d\-mmm\-yy">
                  <c:v>36165</c:v>
                </c:pt>
                <c:pt idx="215" formatCode="d\-mmm\-yy">
                  <c:v>36166</c:v>
                </c:pt>
                <c:pt idx="216" formatCode="d\-mmm\-yy">
                  <c:v>36167</c:v>
                </c:pt>
                <c:pt idx="217" formatCode="d\-mmm\-yy">
                  <c:v>36168</c:v>
                </c:pt>
                <c:pt idx="218" formatCode="d\-mmm\-yy">
                  <c:v>36171</c:v>
                </c:pt>
                <c:pt idx="219" formatCode="d\-mmm\-yy">
                  <c:v>36172</c:v>
                </c:pt>
                <c:pt idx="220" formatCode="d\-mmm\-yy">
                  <c:v>36173</c:v>
                </c:pt>
                <c:pt idx="221" formatCode="d\-mmm\-yy">
                  <c:v>36174</c:v>
                </c:pt>
                <c:pt idx="222" formatCode="d\-mmm\-yy">
                  <c:v>36175</c:v>
                </c:pt>
                <c:pt idx="223" formatCode="d\-mmm\-yy">
                  <c:v>36179</c:v>
                </c:pt>
                <c:pt idx="224" formatCode="d\-mmm\-yy">
                  <c:v>36180</c:v>
                </c:pt>
                <c:pt idx="225" formatCode="d\-mmm\-yy">
                  <c:v>36181</c:v>
                </c:pt>
                <c:pt idx="226" formatCode="d\-mmm\-yy">
                  <c:v>36182</c:v>
                </c:pt>
                <c:pt idx="227" formatCode="d\-mmm\-yy">
                  <c:v>36185</c:v>
                </c:pt>
                <c:pt idx="228" formatCode="d\-mmm\-yy">
                  <c:v>36186</c:v>
                </c:pt>
                <c:pt idx="229" formatCode="d\-mmm\-yy">
                  <c:v>36187</c:v>
                </c:pt>
                <c:pt idx="230" formatCode="d\-mmm\-yy">
                  <c:v>36188</c:v>
                </c:pt>
                <c:pt idx="231" formatCode="d\-mmm\-yy">
                  <c:v>36189</c:v>
                </c:pt>
                <c:pt idx="232" formatCode="d\-mmm\-yy">
                  <c:v>36192</c:v>
                </c:pt>
                <c:pt idx="233" formatCode="d\-mmm\-yy">
                  <c:v>36193</c:v>
                </c:pt>
                <c:pt idx="234" formatCode="d\-mmm\-yy">
                  <c:v>36194</c:v>
                </c:pt>
                <c:pt idx="235" formatCode="d\-mmm\-yy">
                  <c:v>36195</c:v>
                </c:pt>
                <c:pt idx="236" formatCode="d\-mmm\-yy">
                  <c:v>36196</c:v>
                </c:pt>
                <c:pt idx="237" formatCode="d\-mmm\-yy">
                  <c:v>36199</c:v>
                </c:pt>
                <c:pt idx="238" formatCode="d\-mmm\-yy">
                  <c:v>36200</c:v>
                </c:pt>
                <c:pt idx="239" formatCode="d\-mmm\-yy">
                  <c:v>36201</c:v>
                </c:pt>
                <c:pt idx="240" formatCode="d\-mmm\-yy">
                  <c:v>36202</c:v>
                </c:pt>
                <c:pt idx="241" formatCode="d\-mmm\-yy">
                  <c:v>36203</c:v>
                </c:pt>
                <c:pt idx="242" formatCode="d\-mmm\-yy">
                  <c:v>36207</c:v>
                </c:pt>
                <c:pt idx="243" formatCode="d\-mmm\-yy">
                  <c:v>36208</c:v>
                </c:pt>
                <c:pt idx="244" formatCode="d\-mmm\-yy">
                  <c:v>36209</c:v>
                </c:pt>
                <c:pt idx="245" formatCode="d\-mmm\-yy">
                  <c:v>36210</c:v>
                </c:pt>
                <c:pt idx="246" formatCode="d\-mmm\-yy">
                  <c:v>36213</c:v>
                </c:pt>
                <c:pt idx="247" formatCode="d\-mmm\-yy">
                  <c:v>36214</c:v>
                </c:pt>
                <c:pt idx="248" formatCode="d\-mmm\-yy">
                  <c:v>36215</c:v>
                </c:pt>
                <c:pt idx="249" formatCode="d\-mmm\-yy">
                  <c:v>36216</c:v>
                </c:pt>
                <c:pt idx="250" formatCode="d\-mmm\-yy">
                  <c:v>36217</c:v>
                </c:pt>
                <c:pt idx="251" formatCode="d\-mmm\-yy">
                  <c:v>36220</c:v>
                </c:pt>
                <c:pt idx="252" formatCode="d\-mmm\-yy">
                  <c:v>36221</c:v>
                </c:pt>
                <c:pt idx="253" formatCode="d\-mmm\-yy">
                  <c:v>36222</c:v>
                </c:pt>
                <c:pt idx="254" formatCode="d\-mmm\-yy">
                  <c:v>36223</c:v>
                </c:pt>
                <c:pt idx="255" formatCode="d\-mmm\-yy">
                  <c:v>36224</c:v>
                </c:pt>
                <c:pt idx="256" formatCode="d\-mmm\-yy">
                  <c:v>36227</c:v>
                </c:pt>
                <c:pt idx="257" formatCode="d\-mmm\-yy">
                  <c:v>36228</c:v>
                </c:pt>
                <c:pt idx="258" formatCode="d\-mmm\-yy">
                  <c:v>36229</c:v>
                </c:pt>
                <c:pt idx="259" formatCode="d\-mmm\-yy">
                  <c:v>36230</c:v>
                </c:pt>
                <c:pt idx="260" formatCode="d\-mmm\-yy">
                  <c:v>36231</c:v>
                </c:pt>
                <c:pt idx="261" formatCode="d\-mmm\-yy">
                  <c:v>36234</c:v>
                </c:pt>
                <c:pt idx="262" formatCode="d\-mmm\-yy">
                  <c:v>36235</c:v>
                </c:pt>
                <c:pt idx="263" formatCode="d\-mmm\-yy">
                  <c:v>36236</c:v>
                </c:pt>
                <c:pt idx="264" formatCode="d\-mmm\-yy">
                  <c:v>36237</c:v>
                </c:pt>
                <c:pt idx="265" formatCode="d\-mmm\-yy">
                  <c:v>36238</c:v>
                </c:pt>
                <c:pt idx="266" formatCode="d\-mmm\-yy">
                  <c:v>36241</c:v>
                </c:pt>
                <c:pt idx="267" formatCode="d\-mmm\-yy">
                  <c:v>36242</c:v>
                </c:pt>
                <c:pt idx="268" formatCode="d\-mmm\-yy">
                  <c:v>36243</c:v>
                </c:pt>
                <c:pt idx="269" formatCode="d\-mmm\-yy">
                  <c:v>36244</c:v>
                </c:pt>
                <c:pt idx="270" formatCode="d\-mmm\-yy">
                  <c:v>36245</c:v>
                </c:pt>
                <c:pt idx="271" formatCode="d\-mmm\-yy">
                  <c:v>36248</c:v>
                </c:pt>
                <c:pt idx="272" formatCode="d\-mmm\-yy">
                  <c:v>36249</c:v>
                </c:pt>
                <c:pt idx="273" formatCode="d\-mmm\-yy">
                  <c:v>36250</c:v>
                </c:pt>
                <c:pt idx="274" formatCode="d\-mmm\-yy">
                  <c:v>36251</c:v>
                </c:pt>
                <c:pt idx="275" formatCode="d\-mmm\-yy">
                  <c:v>36255</c:v>
                </c:pt>
                <c:pt idx="276" formatCode="d\-mmm\-yy">
                  <c:v>36256</c:v>
                </c:pt>
                <c:pt idx="277" formatCode="d\-mmm\-yy">
                  <c:v>36257</c:v>
                </c:pt>
                <c:pt idx="278" formatCode="d\-mmm\-yy">
                  <c:v>36258</c:v>
                </c:pt>
                <c:pt idx="279" formatCode="d\-mmm\-yy">
                  <c:v>36259</c:v>
                </c:pt>
                <c:pt idx="280" formatCode="d\-mmm\-yy">
                  <c:v>36262</c:v>
                </c:pt>
                <c:pt idx="281" formatCode="d\-mmm\-yy">
                  <c:v>36263</c:v>
                </c:pt>
                <c:pt idx="282" formatCode="d\-mmm\-yy">
                  <c:v>36264</c:v>
                </c:pt>
                <c:pt idx="283" formatCode="d\-mmm\-yy">
                  <c:v>36265</c:v>
                </c:pt>
                <c:pt idx="284" formatCode="d\-mmm\-yy">
                  <c:v>36266</c:v>
                </c:pt>
                <c:pt idx="285" formatCode="d\-mmm\-yy">
                  <c:v>36269</c:v>
                </c:pt>
                <c:pt idx="286" formatCode="d\-mmm\-yy">
                  <c:v>36270</c:v>
                </c:pt>
                <c:pt idx="287" formatCode="d\-mmm\-yy">
                  <c:v>36271</c:v>
                </c:pt>
                <c:pt idx="288" formatCode="d\-mmm\-yy">
                  <c:v>36272</c:v>
                </c:pt>
                <c:pt idx="289" formatCode="d\-mmm\-yy">
                  <c:v>36273</c:v>
                </c:pt>
                <c:pt idx="290" formatCode="d\-mmm\-yy">
                  <c:v>36276</c:v>
                </c:pt>
                <c:pt idx="291" formatCode="d\-mmm\-yy">
                  <c:v>36277</c:v>
                </c:pt>
                <c:pt idx="292" formatCode="d\-mmm\-yy">
                  <c:v>36278</c:v>
                </c:pt>
                <c:pt idx="293" formatCode="d\-mmm\-yy">
                  <c:v>36279</c:v>
                </c:pt>
                <c:pt idx="294" formatCode="d\-mmm\-yy">
                  <c:v>36280</c:v>
                </c:pt>
                <c:pt idx="295" formatCode="d\-mmm\-yy">
                  <c:v>36283</c:v>
                </c:pt>
                <c:pt idx="296" formatCode="d\-mmm\-yy">
                  <c:v>36284</c:v>
                </c:pt>
                <c:pt idx="297" formatCode="d\-mmm\-yy">
                  <c:v>36285</c:v>
                </c:pt>
                <c:pt idx="298" formatCode="d\-mmm\-yy">
                  <c:v>36286</c:v>
                </c:pt>
                <c:pt idx="299" formatCode="d\-mmm\-yy">
                  <c:v>36287</c:v>
                </c:pt>
                <c:pt idx="300" formatCode="d\-mmm\-yy">
                  <c:v>36290</c:v>
                </c:pt>
                <c:pt idx="301" formatCode="d\-mmm\-yy">
                  <c:v>36291</c:v>
                </c:pt>
                <c:pt idx="302" formatCode="d\-mmm\-yy">
                  <c:v>36292</c:v>
                </c:pt>
                <c:pt idx="303" formatCode="d\-mmm\-yy">
                  <c:v>36293</c:v>
                </c:pt>
                <c:pt idx="304" formatCode="d\-mmm\-yy">
                  <c:v>36294</c:v>
                </c:pt>
                <c:pt idx="305" formatCode="d\-mmm\-yy">
                  <c:v>36297</c:v>
                </c:pt>
                <c:pt idx="306" formatCode="d\-mmm\-yy">
                  <c:v>36298</c:v>
                </c:pt>
                <c:pt idx="307" formatCode="d\-mmm\-yy">
                  <c:v>36299</c:v>
                </c:pt>
                <c:pt idx="308" formatCode="d\-mmm\-yy">
                  <c:v>36300</c:v>
                </c:pt>
                <c:pt idx="309" formatCode="d\-mmm\-yy">
                  <c:v>36301</c:v>
                </c:pt>
                <c:pt idx="310" formatCode="d\-mmm\-yy">
                  <c:v>36304</c:v>
                </c:pt>
                <c:pt idx="311" formatCode="d\-mmm\-yy">
                  <c:v>36305</c:v>
                </c:pt>
                <c:pt idx="312" formatCode="d\-mmm\-yy">
                  <c:v>36306</c:v>
                </c:pt>
                <c:pt idx="313" formatCode="d\-mmm\-yy">
                  <c:v>36307</c:v>
                </c:pt>
                <c:pt idx="314" formatCode="d\-mmm\-yy">
                  <c:v>36308</c:v>
                </c:pt>
                <c:pt idx="315" formatCode="d\-mmm\-yy">
                  <c:v>36312</c:v>
                </c:pt>
                <c:pt idx="316" formatCode="d\-mmm\-yy">
                  <c:v>36313</c:v>
                </c:pt>
                <c:pt idx="317" formatCode="d\-mmm\-yy">
                  <c:v>36314</c:v>
                </c:pt>
                <c:pt idx="318" formatCode="d\-mmm\-yy">
                  <c:v>36315</c:v>
                </c:pt>
                <c:pt idx="319" formatCode="d\-mmm\-yy">
                  <c:v>36318</c:v>
                </c:pt>
                <c:pt idx="320" formatCode="d\-mmm\-yy">
                  <c:v>36319</c:v>
                </c:pt>
                <c:pt idx="321" formatCode="d\-mmm\-yy">
                  <c:v>36320</c:v>
                </c:pt>
                <c:pt idx="322" formatCode="d\-mmm\-yy">
                  <c:v>36321</c:v>
                </c:pt>
                <c:pt idx="323" formatCode="d\-mmm\-yy">
                  <c:v>36322</c:v>
                </c:pt>
                <c:pt idx="324" formatCode="d\-mmm\-yy">
                  <c:v>36325</c:v>
                </c:pt>
                <c:pt idx="325" formatCode="d\-mmm\-yy">
                  <c:v>36326</c:v>
                </c:pt>
                <c:pt idx="326" formatCode="d\-mmm\-yy">
                  <c:v>36327</c:v>
                </c:pt>
                <c:pt idx="327" formatCode="d\-mmm\-yy">
                  <c:v>36328</c:v>
                </c:pt>
                <c:pt idx="328" formatCode="d\-mmm\-yy">
                  <c:v>36329</c:v>
                </c:pt>
                <c:pt idx="329" formatCode="d\-mmm\-yy">
                  <c:v>36332</c:v>
                </c:pt>
                <c:pt idx="330" formatCode="d\-mmm\-yy">
                  <c:v>36333</c:v>
                </c:pt>
                <c:pt idx="331" formatCode="d\-mmm\-yy">
                  <c:v>36334</c:v>
                </c:pt>
                <c:pt idx="332" formatCode="d\-mmm\-yy">
                  <c:v>36335</c:v>
                </c:pt>
                <c:pt idx="333" formatCode="d\-mmm\-yy">
                  <c:v>36336</c:v>
                </c:pt>
                <c:pt idx="334" formatCode="d\-mmm\-yy">
                  <c:v>36339</c:v>
                </c:pt>
                <c:pt idx="335" formatCode="d\-mmm\-yy">
                  <c:v>36340</c:v>
                </c:pt>
                <c:pt idx="336" formatCode="d\-mmm\-yy">
                  <c:v>36341</c:v>
                </c:pt>
                <c:pt idx="337" formatCode="d\-mmm\-yy">
                  <c:v>36342</c:v>
                </c:pt>
                <c:pt idx="338" formatCode="d\-mmm\-yy">
                  <c:v>36343</c:v>
                </c:pt>
                <c:pt idx="339" formatCode="d\-mmm\-yy">
                  <c:v>36347</c:v>
                </c:pt>
                <c:pt idx="340" formatCode="d\-mmm\-yy">
                  <c:v>36348</c:v>
                </c:pt>
                <c:pt idx="341" formatCode="d\-mmm\-yy">
                  <c:v>36349</c:v>
                </c:pt>
                <c:pt idx="342" formatCode="d\-mmm\-yy">
                  <c:v>36350</c:v>
                </c:pt>
                <c:pt idx="343" formatCode="d\-mmm\-yy">
                  <c:v>36353</c:v>
                </c:pt>
                <c:pt idx="344" formatCode="d\-mmm\-yy">
                  <c:v>36354</c:v>
                </c:pt>
                <c:pt idx="345" formatCode="d\-mmm\-yy">
                  <c:v>36355</c:v>
                </c:pt>
                <c:pt idx="346" formatCode="d\-mmm\-yy">
                  <c:v>36356</c:v>
                </c:pt>
                <c:pt idx="347" formatCode="d\-mmm\-yy">
                  <c:v>36357</c:v>
                </c:pt>
                <c:pt idx="348" formatCode="d\-mmm\-yy">
                  <c:v>36360</c:v>
                </c:pt>
                <c:pt idx="349" formatCode="d\-mmm\-yy">
                  <c:v>36361</c:v>
                </c:pt>
                <c:pt idx="350" formatCode="d\-mmm\-yy">
                  <c:v>36362</c:v>
                </c:pt>
                <c:pt idx="351" formatCode="d\-mmm\-yy">
                  <c:v>36363</c:v>
                </c:pt>
                <c:pt idx="352" formatCode="d\-mmm\-yy">
                  <c:v>36364</c:v>
                </c:pt>
                <c:pt idx="353" formatCode="d\-mmm\-yy">
                  <c:v>36367</c:v>
                </c:pt>
                <c:pt idx="354" formatCode="d\-mmm\-yy">
                  <c:v>36368</c:v>
                </c:pt>
                <c:pt idx="355" formatCode="d\-mmm\-yy">
                  <c:v>36369</c:v>
                </c:pt>
                <c:pt idx="356" formatCode="d\-mmm\-yy">
                  <c:v>36370</c:v>
                </c:pt>
                <c:pt idx="357" formatCode="d\-mmm\-yy">
                  <c:v>36371</c:v>
                </c:pt>
                <c:pt idx="358" formatCode="d\-mmm\-yy">
                  <c:v>36374</c:v>
                </c:pt>
                <c:pt idx="359" formatCode="d\-mmm\-yy">
                  <c:v>36375</c:v>
                </c:pt>
                <c:pt idx="360" formatCode="d\-mmm\-yy">
                  <c:v>36376</c:v>
                </c:pt>
                <c:pt idx="361" formatCode="d\-mmm\-yy">
                  <c:v>36377</c:v>
                </c:pt>
                <c:pt idx="362" formatCode="d\-mmm\-yy">
                  <c:v>36378</c:v>
                </c:pt>
                <c:pt idx="363" formatCode="d\-mmm\-yy">
                  <c:v>36381</c:v>
                </c:pt>
                <c:pt idx="364" formatCode="d\-mmm\-yy">
                  <c:v>36382</c:v>
                </c:pt>
                <c:pt idx="365" formatCode="d\-mmm\-yy">
                  <c:v>36383</c:v>
                </c:pt>
                <c:pt idx="366" formatCode="d\-mmm\-yy">
                  <c:v>36384</c:v>
                </c:pt>
                <c:pt idx="367" formatCode="d\-mmm\-yy">
                  <c:v>36385</c:v>
                </c:pt>
                <c:pt idx="368" formatCode="d\-mmm\-yy">
                  <c:v>36388</c:v>
                </c:pt>
                <c:pt idx="369" formatCode="d\-mmm\-yy">
                  <c:v>36389</c:v>
                </c:pt>
                <c:pt idx="370" formatCode="d\-mmm\-yy">
                  <c:v>36390</c:v>
                </c:pt>
                <c:pt idx="371" formatCode="d\-mmm\-yy">
                  <c:v>36391</c:v>
                </c:pt>
                <c:pt idx="372" formatCode="d\-mmm\-yy">
                  <c:v>36392</c:v>
                </c:pt>
                <c:pt idx="373" formatCode="d\-mmm\-yy">
                  <c:v>36395</c:v>
                </c:pt>
                <c:pt idx="374" formatCode="d\-mmm\-yy">
                  <c:v>36396</c:v>
                </c:pt>
                <c:pt idx="375" formatCode="d\-mmm\-yy">
                  <c:v>36397</c:v>
                </c:pt>
                <c:pt idx="376" formatCode="d\-mmm\-yy">
                  <c:v>36398</c:v>
                </c:pt>
                <c:pt idx="377" formatCode="d\-mmm\-yy">
                  <c:v>36399</c:v>
                </c:pt>
                <c:pt idx="378" formatCode="d\-mmm\-yy">
                  <c:v>36402</c:v>
                </c:pt>
                <c:pt idx="379" formatCode="d\-mmm\-yy">
                  <c:v>36403</c:v>
                </c:pt>
                <c:pt idx="380" formatCode="d\-mmm\-yy">
                  <c:v>36404</c:v>
                </c:pt>
                <c:pt idx="381" formatCode="d\-mmm\-yy">
                  <c:v>36405</c:v>
                </c:pt>
                <c:pt idx="382" formatCode="d\-mmm\-yy">
                  <c:v>36406</c:v>
                </c:pt>
                <c:pt idx="383" formatCode="d\-mmm\-yy">
                  <c:v>36410</c:v>
                </c:pt>
                <c:pt idx="384" formatCode="d\-mmm\-yy">
                  <c:v>36411</c:v>
                </c:pt>
                <c:pt idx="385" formatCode="d\-mmm\-yy">
                  <c:v>36412</c:v>
                </c:pt>
                <c:pt idx="386" formatCode="d\-mmm\-yy">
                  <c:v>36413</c:v>
                </c:pt>
                <c:pt idx="387" formatCode="d\-mmm\-yy">
                  <c:v>36416</c:v>
                </c:pt>
                <c:pt idx="388" formatCode="d\-mmm\-yy">
                  <c:v>36417</c:v>
                </c:pt>
                <c:pt idx="389" formatCode="d\-mmm\-yy">
                  <c:v>36418</c:v>
                </c:pt>
                <c:pt idx="390" formatCode="d\-mmm\-yy">
                  <c:v>36419</c:v>
                </c:pt>
                <c:pt idx="391" formatCode="d\-mmm\-yy">
                  <c:v>36420</c:v>
                </c:pt>
                <c:pt idx="392" formatCode="d\-mmm\-yy">
                  <c:v>36423</c:v>
                </c:pt>
                <c:pt idx="393" formatCode="d\-mmm\-yy">
                  <c:v>36424</c:v>
                </c:pt>
                <c:pt idx="394" formatCode="d\-mmm\-yy">
                  <c:v>36425</c:v>
                </c:pt>
                <c:pt idx="395" formatCode="d\-mmm\-yy">
                  <c:v>36426</c:v>
                </c:pt>
                <c:pt idx="396" formatCode="d\-mmm\-yy">
                  <c:v>36427</c:v>
                </c:pt>
                <c:pt idx="397" formatCode="d\-mmm\-yy">
                  <c:v>36430</c:v>
                </c:pt>
                <c:pt idx="398" formatCode="d\-mmm\-yy">
                  <c:v>36431</c:v>
                </c:pt>
                <c:pt idx="399" formatCode="d\-mmm\-yy">
                  <c:v>36432</c:v>
                </c:pt>
                <c:pt idx="400" formatCode="d\-mmm\-yy">
                  <c:v>36433</c:v>
                </c:pt>
                <c:pt idx="401" formatCode="d\-mmm\-yy">
                  <c:v>36434</c:v>
                </c:pt>
                <c:pt idx="402" formatCode="d\-mmm\-yy">
                  <c:v>36437</c:v>
                </c:pt>
                <c:pt idx="403" formatCode="d\-mmm\-yy">
                  <c:v>36438</c:v>
                </c:pt>
                <c:pt idx="404" formatCode="d\-mmm\-yy">
                  <c:v>36439</c:v>
                </c:pt>
                <c:pt idx="405" formatCode="d\-mmm\-yy">
                  <c:v>36440</c:v>
                </c:pt>
                <c:pt idx="406" formatCode="d\-mmm\-yy">
                  <c:v>36441</c:v>
                </c:pt>
                <c:pt idx="407" formatCode="d\-mmm\-yy">
                  <c:v>36444</c:v>
                </c:pt>
                <c:pt idx="408" formatCode="d\-mmm\-yy">
                  <c:v>36445</c:v>
                </c:pt>
                <c:pt idx="409" formatCode="d\-mmm\-yy">
                  <c:v>36446</c:v>
                </c:pt>
                <c:pt idx="410" formatCode="d\-mmm\-yy">
                  <c:v>36447</c:v>
                </c:pt>
                <c:pt idx="411" formatCode="d\-mmm\-yy">
                  <c:v>36448</c:v>
                </c:pt>
                <c:pt idx="412" formatCode="d\-mmm\-yy">
                  <c:v>36451</c:v>
                </c:pt>
                <c:pt idx="413" formatCode="d\-mmm\-yy">
                  <c:v>36452</c:v>
                </c:pt>
                <c:pt idx="414" formatCode="d\-mmm\-yy">
                  <c:v>36453</c:v>
                </c:pt>
                <c:pt idx="415" formatCode="d\-mmm\-yy">
                  <c:v>36454</c:v>
                </c:pt>
                <c:pt idx="416" formatCode="d\-mmm\-yy">
                  <c:v>36455</c:v>
                </c:pt>
                <c:pt idx="417" formatCode="d\-mmm\-yy">
                  <c:v>36458</c:v>
                </c:pt>
                <c:pt idx="418" formatCode="d\-mmm\-yy">
                  <c:v>36459</c:v>
                </c:pt>
                <c:pt idx="419" formatCode="d\-mmm\-yy">
                  <c:v>36460</c:v>
                </c:pt>
                <c:pt idx="420" formatCode="d\-mmm\-yy">
                  <c:v>36461</c:v>
                </c:pt>
                <c:pt idx="421" formatCode="d\-mmm\-yy">
                  <c:v>36462</c:v>
                </c:pt>
                <c:pt idx="422" formatCode="d\-mmm\-yy">
                  <c:v>36465</c:v>
                </c:pt>
                <c:pt idx="423" formatCode="d\-mmm\-yy">
                  <c:v>36466</c:v>
                </c:pt>
                <c:pt idx="424" formatCode="d\-mmm\-yy">
                  <c:v>36467</c:v>
                </c:pt>
                <c:pt idx="425" formatCode="d\-mmm\-yy">
                  <c:v>36468</c:v>
                </c:pt>
                <c:pt idx="426" formatCode="d\-mmm\-yy">
                  <c:v>36469</c:v>
                </c:pt>
                <c:pt idx="427" formatCode="d\-mmm\-yy">
                  <c:v>36472</c:v>
                </c:pt>
                <c:pt idx="428" formatCode="d\-mmm\-yy">
                  <c:v>36473</c:v>
                </c:pt>
                <c:pt idx="429" formatCode="d\-mmm\-yy">
                  <c:v>36474</c:v>
                </c:pt>
                <c:pt idx="430" formatCode="d\-mmm\-yy">
                  <c:v>36475</c:v>
                </c:pt>
                <c:pt idx="431" formatCode="d\-mmm\-yy">
                  <c:v>36476</c:v>
                </c:pt>
                <c:pt idx="432" formatCode="d\-mmm\-yy">
                  <c:v>36479</c:v>
                </c:pt>
                <c:pt idx="433" formatCode="d\-mmm\-yy">
                  <c:v>36480</c:v>
                </c:pt>
                <c:pt idx="434" formatCode="d\-mmm\-yy">
                  <c:v>36481</c:v>
                </c:pt>
                <c:pt idx="435" formatCode="d\-mmm\-yy">
                  <c:v>36482</c:v>
                </c:pt>
                <c:pt idx="436" formatCode="d\-mmm\-yy">
                  <c:v>36483</c:v>
                </c:pt>
                <c:pt idx="437" formatCode="d\-mmm\-yy">
                  <c:v>36486</c:v>
                </c:pt>
                <c:pt idx="438" formatCode="d\-mmm\-yy">
                  <c:v>36487</c:v>
                </c:pt>
                <c:pt idx="439" formatCode="d\-mmm\-yy">
                  <c:v>36488</c:v>
                </c:pt>
                <c:pt idx="440" formatCode="d\-mmm\-yy">
                  <c:v>36490</c:v>
                </c:pt>
                <c:pt idx="441" formatCode="d\-mmm\-yy">
                  <c:v>36493</c:v>
                </c:pt>
                <c:pt idx="442" formatCode="d\-mmm\-yy">
                  <c:v>36494</c:v>
                </c:pt>
                <c:pt idx="443" formatCode="d\-mmm\-yy">
                  <c:v>36495</c:v>
                </c:pt>
                <c:pt idx="444" formatCode="d\-mmm\-yy">
                  <c:v>36496</c:v>
                </c:pt>
                <c:pt idx="445" formatCode="d\-mmm\-yy">
                  <c:v>36497</c:v>
                </c:pt>
                <c:pt idx="446" formatCode="d\-mmm\-yy">
                  <c:v>36500</c:v>
                </c:pt>
                <c:pt idx="447" formatCode="d\-mmm\-yy">
                  <c:v>36501</c:v>
                </c:pt>
                <c:pt idx="448" formatCode="d\-mmm\-yy">
                  <c:v>36502</c:v>
                </c:pt>
                <c:pt idx="449" formatCode="d\-mmm\-yy">
                  <c:v>36503</c:v>
                </c:pt>
                <c:pt idx="450" formatCode="d\-mmm\-yy">
                  <c:v>36504</c:v>
                </c:pt>
                <c:pt idx="451" formatCode="d\-mmm\-yy">
                  <c:v>36507</c:v>
                </c:pt>
                <c:pt idx="452" formatCode="d\-mmm\-yy">
                  <c:v>36508</c:v>
                </c:pt>
                <c:pt idx="453" formatCode="d\-mmm\-yy">
                  <c:v>36509</c:v>
                </c:pt>
                <c:pt idx="454" formatCode="d\-mmm\-yy">
                  <c:v>36510</c:v>
                </c:pt>
                <c:pt idx="455" formatCode="d\-mmm\-yy">
                  <c:v>36511</c:v>
                </c:pt>
                <c:pt idx="456" formatCode="d\-mmm\-yy">
                  <c:v>36514</c:v>
                </c:pt>
                <c:pt idx="457" formatCode="d\-mmm\-yy">
                  <c:v>36515</c:v>
                </c:pt>
                <c:pt idx="458" formatCode="d\-mmm\-yy">
                  <c:v>36516</c:v>
                </c:pt>
                <c:pt idx="459" formatCode="d\-mmm\-yy">
                  <c:v>36517</c:v>
                </c:pt>
                <c:pt idx="460" formatCode="d\-mmm\-yy">
                  <c:v>36521</c:v>
                </c:pt>
                <c:pt idx="461" formatCode="d\-mmm\-yy">
                  <c:v>36522</c:v>
                </c:pt>
                <c:pt idx="462" formatCode="d\-mmm\-yy">
                  <c:v>36523</c:v>
                </c:pt>
                <c:pt idx="463" formatCode="d\-mmm\-yy">
                  <c:v>36524</c:v>
                </c:pt>
                <c:pt idx="464" formatCode="d\-mmm\-yy">
                  <c:v>36525</c:v>
                </c:pt>
                <c:pt idx="465" formatCode="d\-mmm\-yy">
                  <c:v>36528</c:v>
                </c:pt>
                <c:pt idx="466" formatCode="d\-mmm\-yy">
                  <c:v>36529</c:v>
                </c:pt>
                <c:pt idx="467" formatCode="d\-mmm\-yy">
                  <c:v>36530</c:v>
                </c:pt>
                <c:pt idx="468" formatCode="d\-mmm\-yy">
                  <c:v>36531</c:v>
                </c:pt>
                <c:pt idx="469" formatCode="d\-mmm\-yy">
                  <c:v>36532</c:v>
                </c:pt>
                <c:pt idx="470" formatCode="d\-mmm\-yy">
                  <c:v>36535</c:v>
                </c:pt>
                <c:pt idx="471" formatCode="d\-mmm\-yy">
                  <c:v>36536</c:v>
                </c:pt>
                <c:pt idx="472" formatCode="d\-mmm\-yy">
                  <c:v>36537</c:v>
                </c:pt>
                <c:pt idx="473" formatCode="d\-mmm\-yy">
                  <c:v>36538</c:v>
                </c:pt>
                <c:pt idx="474" formatCode="d\-mmm\-yy">
                  <c:v>36539</c:v>
                </c:pt>
                <c:pt idx="475" formatCode="d\-mmm\-yy">
                  <c:v>36543</c:v>
                </c:pt>
                <c:pt idx="476" formatCode="d\-mmm\-yy">
                  <c:v>36544</c:v>
                </c:pt>
                <c:pt idx="477" formatCode="d\-mmm\-yy">
                  <c:v>36545</c:v>
                </c:pt>
                <c:pt idx="478" formatCode="d\-mmm\-yy">
                  <c:v>36546</c:v>
                </c:pt>
                <c:pt idx="479" formatCode="d\-mmm\-yy">
                  <c:v>36549</c:v>
                </c:pt>
                <c:pt idx="480" formatCode="d\-mmm\-yy">
                  <c:v>36550</c:v>
                </c:pt>
                <c:pt idx="481" formatCode="d\-mmm\-yy">
                  <c:v>36551</c:v>
                </c:pt>
                <c:pt idx="482" formatCode="d\-mmm\-yy">
                  <c:v>36552</c:v>
                </c:pt>
                <c:pt idx="483" formatCode="d\-mmm\-yy">
                  <c:v>36553</c:v>
                </c:pt>
                <c:pt idx="484" formatCode="d\-mmm\-yy">
                  <c:v>36556</c:v>
                </c:pt>
                <c:pt idx="485" formatCode="d\-mmm\-yy">
                  <c:v>36557</c:v>
                </c:pt>
                <c:pt idx="486" formatCode="d\-mmm\-yy">
                  <c:v>36558</c:v>
                </c:pt>
                <c:pt idx="487" formatCode="d\-mmm\-yy">
                  <c:v>36559</c:v>
                </c:pt>
                <c:pt idx="488" formatCode="d\-mmm\-yy">
                  <c:v>36560</c:v>
                </c:pt>
                <c:pt idx="489" formatCode="d\-mmm\-yy">
                  <c:v>36563</c:v>
                </c:pt>
                <c:pt idx="490" formatCode="d\-mmm\-yy">
                  <c:v>36564</c:v>
                </c:pt>
                <c:pt idx="491" formatCode="d\-mmm\-yy">
                  <c:v>36565</c:v>
                </c:pt>
                <c:pt idx="492" formatCode="d\-mmm\-yy">
                  <c:v>36566</c:v>
                </c:pt>
                <c:pt idx="493" formatCode="d\-mmm\-yy">
                  <c:v>36567</c:v>
                </c:pt>
                <c:pt idx="494" formatCode="d\-mmm\-yy">
                  <c:v>36570</c:v>
                </c:pt>
                <c:pt idx="495" formatCode="d\-mmm\-yy">
                  <c:v>36571</c:v>
                </c:pt>
                <c:pt idx="496" formatCode="d\-mmm\-yy">
                  <c:v>36572</c:v>
                </c:pt>
                <c:pt idx="497" formatCode="d\-mmm\-yy">
                  <c:v>36573</c:v>
                </c:pt>
                <c:pt idx="498" formatCode="d\-mmm\-yy">
                  <c:v>36574</c:v>
                </c:pt>
                <c:pt idx="499" formatCode="d\-mmm\-yy">
                  <c:v>36578</c:v>
                </c:pt>
                <c:pt idx="500" formatCode="d\-mmm\-yy">
                  <c:v>36579</c:v>
                </c:pt>
                <c:pt idx="501" formatCode="d\-mmm\-yy">
                  <c:v>36580</c:v>
                </c:pt>
                <c:pt idx="502" formatCode="d\-mmm\-yy">
                  <c:v>36581</c:v>
                </c:pt>
                <c:pt idx="503" formatCode="d\-mmm\-yy">
                  <c:v>36584</c:v>
                </c:pt>
                <c:pt idx="504" formatCode="d\-mmm\-yy">
                  <c:v>36585</c:v>
                </c:pt>
                <c:pt idx="505" formatCode="d\-mmm\-yy">
                  <c:v>36586</c:v>
                </c:pt>
                <c:pt idx="506" formatCode="d\-mmm\-yy">
                  <c:v>36587</c:v>
                </c:pt>
                <c:pt idx="507" formatCode="d\-mmm\-yy">
                  <c:v>36588</c:v>
                </c:pt>
                <c:pt idx="508" formatCode="d\-mmm\-yy">
                  <c:v>36591</c:v>
                </c:pt>
              </c:numCache>
            </c:numRef>
          </c:cat>
          <c:val>
            <c:numRef>
              <c:f>'Stock Data'!$B$2:$B$510</c:f>
              <c:numCache>
                <c:formatCode>_(* #,##0_);_(* \(#,##0\);_(* "-"??_);_(@_)</c:formatCode>
                <c:ptCount val="509"/>
                <c:pt idx="0">
                  <c:v>30.414000000000001</c:v>
                </c:pt>
                <c:pt idx="1">
                  <c:v>30.468499999999999</c:v>
                </c:pt>
                <c:pt idx="2">
                  <c:v>30.632000000000001</c:v>
                </c:pt>
                <c:pt idx="3">
                  <c:v>30.577500000000001</c:v>
                </c:pt>
                <c:pt idx="4">
                  <c:v>31.068100000000001</c:v>
                </c:pt>
                <c:pt idx="5">
                  <c:v>31.068100000000001</c:v>
                </c:pt>
                <c:pt idx="6">
                  <c:v>31.4496</c:v>
                </c:pt>
                <c:pt idx="7">
                  <c:v>31.504100000000001</c:v>
                </c:pt>
                <c:pt idx="8">
                  <c:v>31.0136</c:v>
                </c:pt>
                <c:pt idx="9">
                  <c:v>30.959099999999999</c:v>
                </c:pt>
                <c:pt idx="10">
                  <c:v>31.340599999999998</c:v>
                </c:pt>
                <c:pt idx="11">
                  <c:v>31.286100000000001</c:v>
                </c:pt>
                <c:pt idx="12">
                  <c:v>31.068100000000001</c:v>
                </c:pt>
                <c:pt idx="13">
                  <c:v>31.340599999999998</c:v>
                </c:pt>
                <c:pt idx="14">
                  <c:v>31.776599999999998</c:v>
                </c:pt>
                <c:pt idx="15">
                  <c:v>31.8857</c:v>
                </c:pt>
                <c:pt idx="16">
                  <c:v>32.485199999999999</c:v>
                </c:pt>
                <c:pt idx="17">
                  <c:v>32.212699999999998</c:v>
                </c:pt>
                <c:pt idx="18">
                  <c:v>31.8857</c:v>
                </c:pt>
                <c:pt idx="19">
                  <c:v>31.613099999999999</c:v>
                </c:pt>
                <c:pt idx="20">
                  <c:v>31.831099999999999</c:v>
                </c:pt>
                <c:pt idx="21">
                  <c:v>32.158200000000001</c:v>
                </c:pt>
                <c:pt idx="22">
                  <c:v>31.940200000000001</c:v>
                </c:pt>
                <c:pt idx="23">
                  <c:v>32.212699999999998</c:v>
                </c:pt>
                <c:pt idx="24">
                  <c:v>31.994700000000002</c:v>
                </c:pt>
                <c:pt idx="25">
                  <c:v>31.831099999999999</c:v>
                </c:pt>
                <c:pt idx="26">
                  <c:v>31.776599999999998</c:v>
                </c:pt>
                <c:pt idx="27">
                  <c:v>31.340599999999998</c:v>
                </c:pt>
                <c:pt idx="28">
                  <c:v>31.4496</c:v>
                </c:pt>
                <c:pt idx="29">
                  <c:v>31.340599999999998</c:v>
                </c:pt>
                <c:pt idx="30">
                  <c:v>31.613099999999999</c:v>
                </c:pt>
                <c:pt idx="31">
                  <c:v>31.6676</c:v>
                </c:pt>
                <c:pt idx="32">
                  <c:v>31.177099999999999</c:v>
                </c:pt>
                <c:pt idx="33">
                  <c:v>31.395099999999999</c:v>
                </c:pt>
                <c:pt idx="34">
                  <c:v>31.286100000000001</c:v>
                </c:pt>
                <c:pt idx="35">
                  <c:v>30.850100000000001</c:v>
                </c:pt>
                <c:pt idx="36">
                  <c:v>30.795500000000001</c:v>
                </c:pt>
                <c:pt idx="37">
                  <c:v>30.305</c:v>
                </c:pt>
                <c:pt idx="38">
                  <c:v>30.305</c:v>
                </c:pt>
                <c:pt idx="39">
                  <c:v>29.923500000000001</c:v>
                </c:pt>
                <c:pt idx="40">
                  <c:v>29.6509</c:v>
                </c:pt>
                <c:pt idx="41">
                  <c:v>30.214300000000001</c:v>
                </c:pt>
                <c:pt idx="42">
                  <c:v>30.821899999999999</c:v>
                </c:pt>
                <c:pt idx="43">
                  <c:v>30.5458</c:v>
                </c:pt>
                <c:pt idx="44">
                  <c:v>30.435300000000002</c:v>
                </c:pt>
                <c:pt idx="45">
                  <c:v>30.0486</c:v>
                </c:pt>
                <c:pt idx="46">
                  <c:v>29.551500000000001</c:v>
                </c:pt>
                <c:pt idx="47">
                  <c:v>29.496300000000002</c:v>
                </c:pt>
                <c:pt idx="48">
                  <c:v>29.551500000000001</c:v>
                </c:pt>
                <c:pt idx="49">
                  <c:v>29.440999999999999</c:v>
                </c:pt>
                <c:pt idx="50">
                  <c:v>29.496300000000002</c:v>
                </c:pt>
                <c:pt idx="51">
                  <c:v>29.275300000000001</c:v>
                </c:pt>
                <c:pt idx="52">
                  <c:v>28.999099999999999</c:v>
                </c:pt>
                <c:pt idx="53">
                  <c:v>28.999099999999999</c:v>
                </c:pt>
                <c:pt idx="54">
                  <c:v>28.722999999999999</c:v>
                </c:pt>
                <c:pt idx="55">
                  <c:v>28.612500000000001</c:v>
                </c:pt>
                <c:pt idx="56">
                  <c:v>28.833400000000001</c:v>
                </c:pt>
                <c:pt idx="57">
                  <c:v>28.722999999999999</c:v>
                </c:pt>
                <c:pt idx="58">
                  <c:v>28.557300000000001</c:v>
                </c:pt>
                <c:pt idx="59">
                  <c:v>28.115400000000001</c:v>
                </c:pt>
                <c:pt idx="60">
                  <c:v>28.004899999999999</c:v>
                </c:pt>
                <c:pt idx="61">
                  <c:v>28.281099999999999</c:v>
                </c:pt>
                <c:pt idx="62">
                  <c:v>28.557300000000001</c:v>
                </c:pt>
                <c:pt idx="63">
                  <c:v>29.772500000000001</c:v>
                </c:pt>
                <c:pt idx="64">
                  <c:v>29.661999999999999</c:v>
                </c:pt>
                <c:pt idx="65">
                  <c:v>29.717199999999998</c:v>
                </c:pt>
                <c:pt idx="66">
                  <c:v>29.661999999999999</c:v>
                </c:pt>
                <c:pt idx="67">
                  <c:v>30.269600000000001</c:v>
                </c:pt>
                <c:pt idx="68">
                  <c:v>29.882899999999999</c:v>
                </c:pt>
                <c:pt idx="69">
                  <c:v>30.103899999999999</c:v>
                </c:pt>
                <c:pt idx="70">
                  <c:v>30.821899999999999</c:v>
                </c:pt>
                <c:pt idx="71">
                  <c:v>31.042899999999999</c:v>
                </c:pt>
                <c:pt idx="72">
                  <c:v>31.429500000000001</c:v>
                </c:pt>
                <c:pt idx="73">
                  <c:v>31.319099999999999</c:v>
                </c:pt>
                <c:pt idx="74">
                  <c:v>31.54</c:v>
                </c:pt>
                <c:pt idx="75">
                  <c:v>31.208600000000001</c:v>
                </c:pt>
                <c:pt idx="76">
                  <c:v>31.208600000000001</c:v>
                </c:pt>
                <c:pt idx="77">
                  <c:v>31.2638</c:v>
                </c:pt>
                <c:pt idx="78">
                  <c:v>30.877199999999998</c:v>
                </c:pt>
                <c:pt idx="79">
                  <c:v>30.877199999999998</c:v>
                </c:pt>
                <c:pt idx="80">
                  <c:v>30.877199999999998</c:v>
                </c:pt>
                <c:pt idx="81">
                  <c:v>30.3248</c:v>
                </c:pt>
                <c:pt idx="82">
                  <c:v>30.656199999999998</c:v>
                </c:pt>
                <c:pt idx="83">
                  <c:v>31.042899999999999</c:v>
                </c:pt>
                <c:pt idx="84">
                  <c:v>30.932400000000001</c:v>
                </c:pt>
                <c:pt idx="85">
                  <c:v>31.098099999999999</c:v>
                </c:pt>
                <c:pt idx="86">
                  <c:v>30.877199999999998</c:v>
                </c:pt>
                <c:pt idx="87">
                  <c:v>29.938199999999998</c:v>
                </c:pt>
                <c:pt idx="88">
                  <c:v>29.717199999999998</c:v>
                </c:pt>
                <c:pt idx="89">
                  <c:v>29.551500000000001</c:v>
                </c:pt>
                <c:pt idx="90">
                  <c:v>29.275300000000001</c:v>
                </c:pt>
                <c:pt idx="91">
                  <c:v>28.778199999999998</c:v>
                </c:pt>
                <c:pt idx="92">
                  <c:v>28.6677</c:v>
                </c:pt>
                <c:pt idx="93">
                  <c:v>28.833400000000001</c:v>
                </c:pt>
                <c:pt idx="94">
                  <c:v>28.722999999999999</c:v>
                </c:pt>
                <c:pt idx="95">
                  <c:v>28.778199999999998</c:v>
                </c:pt>
                <c:pt idx="96">
                  <c:v>28.8887</c:v>
                </c:pt>
                <c:pt idx="97">
                  <c:v>28.833400000000001</c:v>
                </c:pt>
                <c:pt idx="98">
                  <c:v>28.557300000000001</c:v>
                </c:pt>
                <c:pt idx="99">
                  <c:v>28.778199999999998</c:v>
                </c:pt>
                <c:pt idx="100">
                  <c:v>28.281099999999999</c:v>
                </c:pt>
                <c:pt idx="101">
                  <c:v>28.281099999999999</c:v>
                </c:pt>
                <c:pt idx="102">
                  <c:v>28.281099999999999</c:v>
                </c:pt>
                <c:pt idx="103">
                  <c:v>28.391500000000001</c:v>
                </c:pt>
                <c:pt idx="104">
                  <c:v>28.2258</c:v>
                </c:pt>
                <c:pt idx="105">
                  <c:v>28.336300000000001</c:v>
                </c:pt>
                <c:pt idx="106">
                  <c:v>27.894400000000001</c:v>
                </c:pt>
                <c:pt idx="107">
                  <c:v>28.115400000000001</c:v>
                </c:pt>
                <c:pt idx="108">
                  <c:v>27.790400000000002</c:v>
                </c:pt>
                <c:pt idx="109">
                  <c:v>28.294699999999999</c:v>
                </c:pt>
                <c:pt idx="110">
                  <c:v>28.3507</c:v>
                </c:pt>
                <c:pt idx="111">
                  <c:v>28.630800000000001</c:v>
                </c:pt>
                <c:pt idx="112">
                  <c:v>28.462700000000002</c:v>
                </c:pt>
                <c:pt idx="113">
                  <c:v>28.238600000000002</c:v>
                </c:pt>
                <c:pt idx="114">
                  <c:v>28.966999999999999</c:v>
                </c:pt>
                <c:pt idx="115">
                  <c:v>28.686900000000001</c:v>
                </c:pt>
                <c:pt idx="116">
                  <c:v>28.462700000000002</c:v>
                </c:pt>
                <c:pt idx="117">
                  <c:v>29.2471</c:v>
                </c:pt>
                <c:pt idx="118">
                  <c:v>29.2471</c:v>
                </c:pt>
                <c:pt idx="119">
                  <c:v>29.583300000000001</c:v>
                </c:pt>
                <c:pt idx="120">
                  <c:v>29.5273</c:v>
                </c:pt>
                <c:pt idx="121">
                  <c:v>30.367699999999999</c:v>
                </c:pt>
                <c:pt idx="122">
                  <c:v>31.152100000000001</c:v>
                </c:pt>
                <c:pt idx="123">
                  <c:v>30.703900000000001</c:v>
                </c:pt>
                <c:pt idx="124">
                  <c:v>31.0961</c:v>
                </c:pt>
                <c:pt idx="125">
                  <c:v>30.479800000000001</c:v>
                </c:pt>
                <c:pt idx="126">
                  <c:v>31.040099999999999</c:v>
                </c:pt>
                <c:pt idx="127">
                  <c:v>31.152100000000001</c:v>
                </c:pt>
                <c:pt idx="128">
                  <c:v>30.872</c:v>
                </c:pt>
                <c:pt idx="129">
                  <c:v>30.311699999999998</c:v>
                </c:pt>
                <c:pt idx="130">
                  <c:v>30.031600000000001</c:v>
                </c:pt>
                <c:pt idx="131">
                  <c:v>29.9755</c:v>
                </c:pt>
                <c:pt idx="132">
                  <c:v>29.639299999999999</c:v>
                </c:pt>
                <c:pt idx="133">
                  <c:v>30.031600000000001</c:v>
                </c:pt>
                <c:pt idx="134">
                  <c:v>31.152100000000001</c:v>
                </c:pt>
                <c:pt idx="135">
                  <c:v>30.703900000000001</c:v>
                </c:pt>
                <c:pt idx="136">
                  <c:v>31.0961</c:v>
                </c:pt>
                <c:pt idx="137">
                  <c:v>31.488299999999999</c:v>
                </c:pt>
                <c:pt idx="138">
                  <c:v>31.6004</c:v>
                </c:pt>
                <c:pt idx="139">
                  <c:v>31.656400000000001</c:v>
                </c:pt>
                <c:pt idx="140">
                  <c:v>31.712399999999999</c:v>
                </c:pt>
                <c:pt idx="141">
                  <c:v>32.440800000000003</c:v>
                </c:pt>
                <c:pt idx="142">
                  <c:v>32.4968</c:v>
                </c:pt>
                <c:pt idx="143">
                  <c:v>32.7209</c:v>
                </c:pt>
                <c:pt idx="144">
                  <c:v>32.2727</c:v>
                </c:pt>
                <c:pt idx="145">
                  <c:v>32.104599999999998</c:v>
                </c:pt>
                <c:pt idx="146">
                  <c:v>32.552900000000001</c:v>
                </c:pt>
                <c:pt idx="147">
                  <c:v>33.337299999999999</c:v>
                </c:pt>
                <c:pt idx="148">
                  <c:v>34.2898</c:v>
                </c:pt>
                <c:pt idx="149">
                  <c:v>34.2898</c:v>
                </c:pt>
                <c:pt idx="150">
                  <c:v>34.682000000000002</c:v>
                </c:pt>
                <c:pt idx="151">
                  <c:v>34.5139</c:v>
                </c:pt>
                <c:pt idx="152">
                  <c:v>34.457799999999999</c:v>
                </c:pt>
                <c:pt idx="153">
                  <c:v>34.625900000000001</c:v>
                </c:pt>
                <c:pt idx="154">
                  <c:v>34.5139</c:v>
                </c:pt>
                <c:pt idx="155">
                  <c:v>33.001100000000001</c:v>
                </c:pt>
                <c:pt idx="156">
                  <c:v>31.264199999999999</c:v>
                </c:pt>
                <c:pt idx="157">
                  <c:v>31.992599999999999</c:v>
                </c:pt>
                <c:pt idx="158">
                  <c:v>32.832999999999998</c:v>
                </c:pt>
                <c:pt idx="159">
                  <c:v>32.777000000000001</c:v>
                </c:pt>
                <c:pt idx="160">
                  <c:v>31.5443</c:v>
                </c:pt>
                <c:pt idx="161">
                  <c:v>31.6004</c:v>
                </c:pt>
                <c:pt idx="162">
                  <c:v>31.376200000000001</c:v>
                </c:pt>
                <c:pt idx="163">
                  <c:v>31.488299999999999</c:v>
                </c:pt>
                <c:pt idx="164">
                  <c:v>32.0105</c:v>
                </c:pt>
                <c:pt idx="165">
                  <c:v>31.840199999999999</c:v>
                </c:pt>
                <c:pt idx="166">
                  <c:v>31.613199999999999</c:v>
                </c:pt>
                <c:pt idx="167">
                  <c:v>31.102399999999999</c:v>
                </c:pt>
                <c:pt idx="168">
                  <c:v>31.272600000000001</c:v>
                </c:pt>
                <c:pt idx="169">
                  <c:v>31.272600000000001</c:v>
                </c:pt>
                <c:pt idx="170">
                  <c:v>31.3294</c:v>
                </c:pt>
                <c:pt idx="171">
                  <c:v>31.953700000000001</c:v>
                </c:pt>
                <c:pt idx="172">
                  <c:v>31.840199999999999</c:v>
                </c:pt>
                <c:pt idx="173">
                  <c:v>31.7834</c:v>
                </c:pt>
                <c:pt idx="174">
                  <c:v>31.953700000000001</c:v>
                </c:pt>
                <c:pt idx="175">
                  <c:v>32.0672</c:v>
                </c:pt>
                <c:pt idx="176">
                  <c:v>31.442900000000002</c:v>
                </c:pt>
                <c:pt idx="177">
                  <c:v>31.669899999999998</c:v>
                </c:pt>
                <c:pt idx="178">
                  <c:v>32.0672</c:v>
                </c:pt>
                <c:pt idx="179">
                  <c:v>32.124000000000002</c:v>
                </c:pt>
                <c:pt idx="180">
                  <c:v>32.350999999999999</c:v>
                </c:pt>
                <c:pt idx="181">
                  <c:v>32.918599999999998</c:v>
                </c:pt>
                <c:pt idx="182">
                  <c:v>32.464500000000001</c:v>
                </c:pt>
                <c:pt idx="183">
                  <c:v>32.180700000000002</c:v>
                </c:pt>
                <c:pt idx="184">
                  <c:v>32.124000000000002</c:v>
                </c:pt>
                <c:pt idx="185">
                  <c:v>32.0672</c:v>
                </c:pt>
                <c:pt idx="186">
                  <c:v>32.237499999999997</c:v>
                </c:pt>
                <c:pt idx="187">
                  <c:v>32.0672</c:v>
                </c:pt>
                <c:pt idx="188">
                  <c:v>32.350999999999999</c:v>
                </c:pt>
                <c:pt idx="189">
                  <c:v>32.124000000000002</c:v>
                </c:pt>
                <c:pt idx="190">
                  <c:v>31.386099999999999</c:v>
                </c:pt>
                <c:pt idx="191">
                  <c:v>31.613199999999999</c:v>
                </c:pt>
                <c:pt idx="192">
                  <c:v>31.613199999999999</c:v>
                </c:pt>
                <c:pt idx="193">
                  <c:v>31.613199999999999</c:v>
                </c:pt>
                <c:pt idx="194">
                  <c:v>32.237499999999997</c:v>
                </c:pt>
                <c:pt idx="195">
                  <c:v>32.294199999999996</c:v>
                </c:pt>
                <c:pt idx="196">
                  <c:v>32.578000000000003</c:v>
                </c:pt>
                <c:pt idx="197">
                  <c:v>32.0672</c:v>
                </c:pt>
                <c:pt idx="198">
                  <c:v>31.613199999999999</c:v>
                </c:pt>
                <c:pt idx="199">
                  <c:v>31.896899999999999</c:v>
                </c:pt>
                <c:pt idx="200">
                  <c:v>31.442900000000002</c:v>
                </c:pt>
                <c:pt idx="201">
                  <c:v>31.159099999999999</c:v>
                </c:pt>
                <c:pt idx="202">
                  <c:v>31.272600000000001</c:v>
                </c:pt>
                <c:pt idx="203">
                  <c:v>31.726700000000001</c:v>
                </c:pt>
                <c:pt idx="204">
                  <c:v>31.272600000000001</c:v>
                </c:pt>
                <c:pt idx="205">
                  <c:v>31.613199999999999</c:v>
                </c:pt>
                <c:pt idx="206">
                  <c:v>30.875299999999999</c:v>
                </c:pt>
                <c:pt idx="207">
                  <c:v>31.102399999999999</c:v>
                </c:pt>
                <c:pt idx="208">
                  <c:v>30.875299999999999</c:v>
                </c:pt>
                <c:pt idx="209">
                  <c:v>30.932099999999998</c:v>
                </c:pt>
                <c:pt idx="210">
                  <c:v>30.988900000000001</c:v>
                </c:pt>
                <c:pt idx="211">
                  <c:v>30.875299999999999</c:v>
                </c:pt>
                <c:pt idx="212">
                  <c:v>31.215900000000001</c:v>
                </c:pt>
                <c:pt idx="213">
                  <c:v>31.3294</c:v>
                </c:pt>
                <c:pt idx="214">
                  <c:v>31.3294</c:v>
                </c:pt>
                <c:pt idx="215">
                  <c:v>31.215900000000001</c:v>
                </c:pt>
                <c:pt idx="216">
                  <c:v>30.932099999999998</c:v>
                </c:pt>
                <c:pt idx="217">
                  <c:v>31.0456</c:v>
                </c:pt>
                <c:pt idx="218">
                  <c:v>30.5916</c:v>
                </c:pt>
                <c:pt idx="219">
                  <c:v>30.5916</c:v>
                </c:pt>
                <c:pt idx="220">
                  <c:v>30.761800000000001</c:v>
                </c:pt>
                <c:pt idx="221">
                  <c:v>30.478000000000002</c:v>
                </c:pt>
                <c:pt idx="222">
                  <c:v>30.648299999999999</c:v>
                </c:pt>
                <c:pt idx="223">
                  <c:v>30.251000000000001</c:v>
                </c:pt>
                <c:pt idx="224">
                  <c:v>29.513200000000001</c:v>
                </c:pt>
                <c:pt idx="225">
                  <c:v>29.797000000000001</c:v>
                </c:pt>
                <c:pt idx="226">
                  <c:v>30.0808</c:v>
                </c:pt>
                <c:pt idx="227">
                  <c:v>30.024000000000001</c:v>
                </c:pt>
                <c:pt idx="228">
                  <c:v>29.8537</c:v>
                </c:pt>
                <c:pt idx="229">
                  <c:v>29.3429</c:v>
                </c:pt>
                <c:pt idx="230">
                  <c:v>29.354399999999998</c:v>
                </c:pt>
                <c:pt idx="231">
                  <c:v>28.836400000000001</c:v>
                </c:pt>
                <c:pt idx="232">
                  <c:v>28.376000000000001</c:v>
                </c:pt>
                <c:pt idx="233">
                  <c:v>28.088200000000001</c:v>
                </c:pt>
                <c:pt idx="234">
                  <c:v>28.491099999999999</c:v>
                </c:pt>
                <c:pt idx="235">
                  <c:v>28.3184</c:v>
                </c:pt>
                <c:pt idx="236">
                  <c:v>28.376000000000001</c:v>
                </c:pt>
                <c:pt idx="237">
                  <c:v>28.663699999999999</c:v>
                </c:pt>
                <c:pt idx="238">
                  <c:v>28.203299999999999</c:v>
                </c:pt>
                <c:pt idx="239">
                  <c:v>28.7789</c:v>
                </c:pt>
                <c:pt idx="240">
                  <c:v>27.972999999999999</c:v>
                </c:pt>
                <c:pt idx="241">
                  <c:v>27.167200000000001</c:v>
                </c:pt>
                <c:pt idx="242">
                  <c:v>27.857900000000001</c:v>
                </c:pt>
                <c:pt idx="243">
                  <c:v>28.145700000000001</c:v>
                </c:pt>
                <c:pt idx="244">
                  <c:v>28.433499999999999</c:v>
                </c:pt>
                <c:pt idx="245">
                  <c:v>28.145700000000001</c:v>
                </c:pt>
                <c:pt idx="246">
                  <c:v>27.685300000000002</c:v>
                </c:pt>
                <c:pt idx="247">
                  <c:v>27.5701</c:v>
                </c:pt>
                <c:pt idx="248">
                  <c:v>27.224799999999998</c:v>
                </c:pt>
                <c:pt idx="249">
                  <c:v>26.591699999999999</c:v>
                </c:pt>
                <c:pt idx="250">
                  <c:v>26.8795</c:v>
                </c:pt>
                <c:pt idx="251">
                  <c:v>27.1097</c:v>
                </c:pt>
                <c:pt idx="252">
                  <c:v>27.1097</c:v>
                </c:pt>
                <c:pt idx="253">
                  <c:v>27.3399</c:v>
                </c:pt>
                <c:pt idx="254">
                  <c:v>27.627700000000001</c:v>
                </c:pt>
                <c:pt idx="255">
                  <c:v>28.088200000000001</c:v>
                </c:pt>
                <c:pt idx="256">
                  <c:v>27.512599999999999</c:v>
                </c:pt>
                <c:pt idx="257">
                  <c:v>27.167200000000001</c:v>
                </c:pt>
                <c:pt idx="258">
                  <c:v>26.764299999999999</c:v>
                </c:pt>
                <c:pt idx="259">
                  <c:v>26.8795</c:v>
                </c:pt>
                <c:pt idx="260">
                  <c:v>27.3399</c:v>
                </c:pt>
                <c:pt idx="261">
                  <c:v>26.764299999999999</c:v>
                </c:pt>
                <c:pt idx="262">
                  <c:v>26.821899999999999</c:v>
                </c:pt>
                <c:pt idx="263">
                  <c:v>26.706800000000001</c:v>
                </c:pt>
                <c:pt idx="264">
                  <c:v>26.591699999999999</c:v>
                </c:pt>
                <c:pt idx="265">
                  <c:v>26.246300000000002</c:v>
                </c:pt>
                <c:pt idx="266">
                  <c:v>26.073599999999999</c:v>
                </c:pt>
                <c:pt idx="267">
                  <c:v>25.728300000000001</c:v>
                </c:pt>
                <c:pt idx="268">
                  <c:v>26.534099999999999</c:v>
                </c:pt>
                <c:pt idx="269">
                  <c:v>26.706800000000001</c:v>
                </c:pt>
                <c:pt idx="270">
                  <c:v>26.073599999999999</c:v>
                </c:pt>
                <c:pt idx="271">
                  <c:v>25.958500000000001</c:v>
                </c:pt>
                <c:pt idx="272">
                  <c:v>25.498100000000001</c:v>
                </c:pt>
                <c:pt idx="273">
                  <c:v>25.325399999999998</c:v>
                </c:pt>
                <c:pt idx="274">
                  <c:v>25.958500000000001</c:v>
                </c:pt>
                <c:pt idx="275">
                  <c:v>26.476500000000001</c:v>
                </c:pt>
                <c:pt idx="276">
                  <c:v>26.3614</c:v>
                </c:pt>
                <c:pt idx="277">
                  <c:v>26.3614</c:v>
                </c:pt>
                <c:pt idx="278">
                  <c:v>26.534099999999999</c:v>
                </c:pt>
                <c:pt idx="279">
                  <c:v>26.246300000000002</c:v>
                </c:pt>
                <c:pt idx="280">
                  <c:v>26.534099999999999</c:v>
                </c:pt>
                <c:pt idx="281">
                  <c:v>26.706800000000001</c:v>
                </c:pt>
                <c:pt idx="282">
                  <c:v>26.303899999999999</c:v>
                </c:pt>
                <c:pt idx="283">
                  <c:v>26.3614</c:v>
                </c:pt>
                <c:pt idx="284">
                  <c:v>26.821899999999999</c:v>
                </c:pt>
                <c:pt idx="285">
                  <c:v>27.512599999999999</c:v>
                </c:pt>
                <c:pt idx="286">
                  <c:v>28.088200000000001</c:v>
                </c:pt>
                <c:pt idx="287">
                  <c:v>28.145700000000001</c:v>
                </c:pt>
                <c:pt idx="288">
                  <c:v>27.8004</c:v>
                </c:pt>
                <c:pt idx="289">
                  <c:v>27.857900000000001</c:v>
                </c:pt>
                <c:pt idx="290">
                  <c:v>27.454999999999998</c:v>
                </c:pt>
                <c:pt idx="291">
                  <c:v>27.454999999999998</c:v>
                </c:pt>
                <c:pt idx="292">
                  <c:v>27.627700000000001</c:v>
                </c:pt>
                <c:pt idx="293">
                  <c:v>28.6328</c:v>
                </c:pt>
                <c:pt idx="294">
                  <c:v>27.873100000000001</c:v>
                </c:pt>
                <c:pt idx="295">
                  <c:v>28.515899999999998</c:v>
                </c:pt>
                <c:pt idx="296">
                  <c:v>28.2822</c:v>
                </c:pt>
                <c:pt idx="297">
                  <c:v>28.165299999999998</c:v>
                </c:pt>
                <c:pt idx="298">
                  <c:v>28.8081</c:v>
                </c:pt>
                <c:pt idx="299">
                  <c:v>28.8081</c:v>
                </c:pt>
                <c:pt idx="300">
                  <c:v>28.9834</c:v>
                </c:pt>
                <c:pt idx="301">
                  <c:v>29.041799999999999</c:v>
                </c:pt>
                <c:pt idx="302">
                  <c:v>29.450900000000001</c:v>
                </c:pt>
                <c:pt idx="303">
                  <c:v>30.853300000000001</c:v>
                </c:pt>
                <c:pt idx="304">
                  <c:v>30.502700000000001</c:v>
                </c:pt>
                <c:pt idx="305">
                  <c:v>31.028600000000001</c:v>
                </c:pt>
                <c:pt idx="306">
                  <c:v>31.203900000000001</c:v>
                </c:pt>
                <c:pt idx="307">
                  <c:v>31.6129</c:v>
                </c:pt>
                <c:pt idx="308">
                  <c:v>31.2623</c:v>
                </c:pt>
                <c:pt idx="309">
                  <c:v>31.203900000000001</c:v>
                </c:pt>
                <c:pt idx="310">
                  <c:v>31.495999999999999</c:v>
                </c:pt>
                <c:pt idx="311">
                  <c:v>31.671399999999998</c:v>
                </c:pt>
                <c:pt idx="312">
                  <c:v>31.9635</c:v>
                </c:pt>
                <c:pt idx="313">
                  <c:v>31.4376</c:v>
                </c:pt>
                <c:pt idx="314">
                  <c:v>31.905100000000001</c:v>
                </c:pt>
                <c:pt idx="315">
                  <c:v>30.9117</c:v>
                </c:pt>
                <c:pt idx="316">
                  <c:v>31.087</c:v>
                </c:pt>
                <c:pt idx="317">
                  <c:v>31.320699999999999</c:v>
                </c:pt>
                <c:pt idx="318">
                  <c:v>31.6129</c:v>
                </c:pt>
                <c:pt idx="319">
                  <c:v>31.087</c:v>
                </c:pt>
                <c:pt idx="320">
                  <c:v>31.028600000000001</c:v>
                </c:pt>
                <c:pt idx="321">
                  <c:v>31.028600000000001</c:v>
                </c:pt>
                <c:pt idx="322">
                  <c:v>30.502700000000001</c:v>
                </c:pt>
                <c:pt idx="323">
                  <c:v>30.444199999999999</c:v>
                </c:pt>
                <c:pt idx="324">
                  <c:v>30.853300000000001</c:v>
                </c:pt>
                <c:pt idx="325">
                  <c:v>31.671399999999998</c:v>
                </c:pt>
                <c:pt idx="326">
                  <c:v>31.905100000000001</c:v>
                </c:pt>
                <c:pt idx="327">
                  <c:v>31.495999999999999</c:v>
                </c:pt>
                <c:pt idx="328">
                  <c:v>31.379200000000001</c:v>
                </c:pt>
                <c:pt idx="329">
                  <c:v>30.794799999999999</c:v>
                </c:pt>
                <c:pt idx="330">
                  <c:v>31.028600000000001</c:v>
                </c:pt>
                <c:pt idx="331">
                  <c:v>31.145399999999999</c:v>
                </c:pt>
                <c:pt idx="332">
                  <c:v>31.028600000000001</c:v>
                </c:pt>
                <c:pt idx="333">
                  <c:v>30.794799999999999</c:v>
                </c:pt>
                <c:pt idx="334">
                  <c:v>30.970099999999999</c:v>
                </c:pt>
                <c:pt idx="335">
                  <c:v>30.444199999999999</c:v>
                </c:pt>
                <c:pt idx="336">
                  <c:v>29.918299999999999</c:v>
                </c:pt>
                <c:pt idx="337">
                  <c:v>29.976800000000001</c:v>
                </c:pt>
                <c:pt idx="338">
                  <c:v>30.3858</c:v>
                </c:pt>
                <c:pt idx="339">
                  <c:v>30.444199999999999</c:v>
                </c:pt>
                <c:pt idx="340">
                  <c:v>30.2105</c:v>
                </c:pt>
                <c:pt idx="341">
                  <c:v>29.742999999999999</c:v>
                </c:pt>
                <c:pt idx="342">
                  <c:v>29.918299999999999</c:v>
                </c:pt>
                <c:pt idx="343">
                  <c:v>29.567699999999999</c:v>
                </c:pt>
                <c:pt idx="344">
                  <c:v>29.626200000000001</c:v>
                </c:pt>
                <c:pt idx="345">
                  <c:v>29.567699999999999</c:v>
                </c:pt>
                <c:pt idx="346">
                  <c:v>29.392399999999999</c:v>
                </c:pt>
                <c:pt idx="347">
                  <c:v>29.1587</c:v>
                </c:pt>
                <c:pt idx="348">
                  <c:v>29.275500000000001</c:v>
                </c:pt>
                <c:pt idx="349">
                  <c:v>29.1587</c:v>
                </c:pt>
                <c:pt idx="350">
                  <c:v>29.217099999999999</c:v>
                </c:pt>
                <c:pt idx="351">
                  <c:v>29.584700000000002</c:v>
                </c:pt>
                <c:pt idx="352">
                  <c:v>29.584700000000002</c:v>
                </c:pt>
                <c:pt idx="353">
                  <c:v>29.4068</c:v>
                </c:pt>
                <c:pt idx="354">
                  <c:v>29.3475</c:v>
                </c:pt>
                <c:pt idx="355">
                  <c:v>28.7547</c:v>
                </c:pt>
                <c:pt idx="356">
                  <c:v>28.2211</c:v>
                </c:pt>
                <c:pt idx="357">
                  <c:v>28.398900000000001</c:v>
                </c:pt>
                <c:pt idx="358">
                  <c:v>28.576799999999999</c:v>
                </c:pt>
                <c:pt idx="359">
                  <c:v>28.517499999999998</c:v>
                </c:pt>
                <c:pt idx="360">
                  <c:v>26.975999999999999</c:v>
                </c:pt>
                <c:pt idx="361">
                  <c:v>27.0946</c:v>
                </c:pt>
                <c:pt idx="362">
                  <c:v>26.857500000000002</c:v>
                </c:pt>
                <c:pt idx="363">
                  <c:v>26.916699999999999</c:v>
                </c:pt>
                <c:pt idx="364">
                  <c:v>26.5017</c:v>
                </c:pt>
                <c:pt idx="365">
                  <c:v>26.916699999999999</c:v>
                </c:pt>
                <c:pt idx="366">
                  <c:v>26.205300000000001</c:v>
                </c:pt>
                <c:pt idx="367">
                  <c:v>26.264600000000002</c:v>
                </c:pt>
                <c:pt idx="368">
                  <c:v>26.442399999999999</c:v>
                </c:pt>
                <c:pt idx="369">
                  <c:v>26.5017</c:v>
                </c:pt>
                <c:pt idx="370">
                  <c:v>27.0946</c:v>
                </c:pt>
                <c:pt idx="371">
                  <c:v>28.2211</c:v>
                </c:pt>
                <c:pt idx="372">
                  <c:v>28.339700000000001</c:v>
                </c:pt>
                <c:pt idx="373">
                  <c:v>28.517499999999998</c:v>
                </c:pt>
                <c:pt idx="374">
                  <c:v>28.814</c:v>
                </c:pt>
                <c:pt idx="375">
                  <c:v>29.584700000000002</c:v>
                </c:pt>
                <c:pt idx="376">
                  <c:v>29.3475</c:v>
                </c:pt>
                <c:pt idx="377">
                  <c:v>29.525400000000001</c:v>
                </c:pt>
                <c:pt idx="378">
                  <c:v>29.110399999999998</c:v>
                </c:pt>
                <c:pt idx="379">
                  <c:v>28.814</c:v>
                </c:pt>
                <c:pt idx="380">
                  <c:v>28.576799999999999</c:v>
                </c:pt>
                <c:pt idx="381">
                  <c:v>28.398900000000001</c:v>
                </c:pt>
                <c:pt idx="382">
                  <c:v>29.051100000000002</c:v>
                </c:pt>
                <c:pt idx="383">
                  <c:v>28.102499999999999</c:v>
                </c:pt>
                <c:pt idx="384">
                  <c:v>27.924600000000002</c:v>
                </c:pt>
                <c:pt idx="385">
                  <c:v>27.924600000000002</c:v>
                </c:pt>
                <c:pt idx="386">
                  <c:v>28.458200000000001</c:v>
                </c:pt>
                <c:pt idx="387">
                  <c:v>28.7547</c:v>
                </c:pt>
                <c:pt idx="388">
                  <c:v>28.517499999999998</c:v>
                </c:pt>
                <c:pt idx="389">
                  <c:v>28.7547</c:v>
                </c:pt>
                <c:pt idx="390">
                  <c:v>28.576799999999999</c:v>
                </c:pt>
                <c:pt idx="391">
                  <c:v>28.636099999999999</c:v>
                </c:pt>
                <c:pt idx="392">
                  <c:v>27.924600000000002</c:v>
                </c:pt>
                <c:pt idx="393">
                  <c:v>27.450299999999999</c:v>
                </c:pt>
                <c:pt idx="394">
                  <c:v>27.272500000000001</c:v>
                </c:pt>
                <c:pt idx="395">
                  <c:v>26.798200000000001</c:v>
                </c:pt>
                <c:pt idx="396">
                  <c:v>26.798200000000001</c:v>
                </c:pt>
                <c:pt idx="397">
                  <c:v>26.857500000000002</c:v>
                </c:pt>
                <c:pt idx="398">
                  <c:v>26.442399999999999</c:v>
                </c:pt>
                <c:pt idx="399">
                  <c:v>26.264600000000002</c:v>
                </c:pt>
                <c:pt idx="400">
                  <c:v>26.857500000000002</c:v>
                </c:pt>
                <c:pt idx="401">
                  <c:v>27.331800000000001</c:v>
                </c:pt>
                <c:pt idx="402">
                  <c:v>27.7468</c:v>
                </c:pt>
                <c:pt idx="403">
                  <c:v>27.331800000000001</c:v>
                </c:pt>
                <c:pt idx="404">
                  <c:v>27.272500000000001</c:v>
                </c:pt>
                <c:pt idx="405">
                  <c:v>26.561</c:v>
                </c:pt>
                <c:pt idx="406">
                  <c:v>26.6203</c:v>
                </c:pt>
                <c:pt idx="407">
                  <c:v>26.442399999999999</c:v>
                </c:pt>
                <c:pt idx="408">
                  <c:v>26.442399999999999</c:v>
                </c:pt>
                <c:pt idx="409">
                  <c:v>26.6203</c:v>
                </c:pt>
                <c:pt idx="410">
                  <c:v>26.916699999999999</c:v>
                </c:pt>
                <c:pt idx="411">
                  <c:v>26.561</c:v>
                </c:pt>
                <c:pt idx="412">
                  <c:v>26.383099999999999</c:v>
                </c:pt>
                <c:pt idx="413">
                  <c:v>26.323899999999998</c:v>
                </c:pt>
                <c:pt idx="414">
                  <c:v>26.561</c:v>
                </c:pt>
                <c:pt idx="415">
                  <c:v>26.679600000000001</c:v>
                </c:pt>
                <c:pt idx="416">
                  <c:v>26.6203</c:v>
                </c:pt>
                <c:pt idx="417">
                  <c:v>26.916699999999999</c:v>
                </c:pt>
                <c:pt idx="418">
                  <c:v>27.035299999999999</c:v>
                </c:pt>
                <c:pt idx="419">
                  <c:v>27.983899999999998</c:v>
                </c:pt>
                <c:pt idx="420">
                  <c:v>27.875599999999999</c:v>
                </c:pt>
                <c:pt idx="421">
                  <c:v>27.2133</c:v>
                </c:pt>
                <c:pt idx="422">
                  <c:v>27.153099999999998</c:v>
                </c:pt>
                <c:pt idx="423">
                  <c:v>27.0929</c:v>
                </c:pt>
                <c:pt idx="424">
                  <c:v>26.852</c:v>
                </c:pt>
                <c:pt idx="425">
                  <c:v>26.0092</c:v>
                </c:pt>
                <c:pt idx="426">
                  <c:v>26.1296</c:v>
                </c:pt>
                <c:pt idx="427">
                  <c:v>26.3704</c:v>
                </c:pt>
                <c:pt idx="428">
                  <c:v>26.852</c:v>
                </c:pt>
                <c:pt idx="429">
                  <c:v>26.671399999999998</c:v>
                </c:pt>
                <c:pt idx="430">
                  <c:v>26.310199999999998</c:v>
                </c:pt>
                <c:pt idx="431">
                  <c:v>26.3704</c:v>
                </c:pt>
                <c:pt idx="432">
                  <c:v>25.8887</c:v>
                </c:pt>
                <c:pt idx="433">
                  <c:v>25.8887</c:v>
                </c:pt>
                <c:pt idx="434">
                  <c:v>25.7683</c:v>
                </c:pt>
                <c:pt idx="435">
                  <c:v>25.467300000000002</c:v>
                </c:pt>
                <c:pt idx="436">
                  <c:v>25.4071</c:v>
                </c:pt>
                <c:pt idx="437">
                  <c:v>25.0459</c:v>
                </c:pt>
                <c:pt idx="438">
                  <c:v>24.504000000000001</c:v>
                </c:pt>
                <c:pt idx="439">
                  <c:v>24.504000000000001</c:v>
                </c:pt>
                <c:pt idx="440">
                  <c:v>24.383600000000001</c:v>
                </c:pt>
                <c:pt idx="441">
                  <c:v>23.901900000000001</c:v>
                </c:pt>
                <c:pt idx="442">
                  <c:v>24.383600000000001</c:v>
                </c:pt>
                <c:pt idx="443">
                  <c:v>24.4438</c:v>
                </c:pt>
                <c:pt idx="444">
                  <c:v>24.202999999999999</c:v>
                </c:pt>
                <c:pt idx="445">
                  <c:v>24.202999999999999</c:v>
                </c:pt>
                <c:pt idx="446">
                  <c:v>23.9621</c:v>
                </c:pt>
                <c:pt idx="447">
                  <c:v>23.781500000000001</c:v>
                </c:pt>
                <c:pt idx="448">
                  <c:v>23.480499999999999</c:v>
                </c:pt>
                <c:pt idx="449">
                  <c:v>23.119199999999999</c:v>
                </c:pt>
                <c:pt idx="450">
                  <c:v>22.878399999999999</c:v>
                </c:pt>
                <c:pt idx="451">
                  <c:v>22.878399999999999</c:v>
                </c:pt>
                <c:pt idx="452">
                  <c:v>23.179500000000001</c:v>
                </c:pt>
                <c:pt idx="453">
                  <c:v>23.239699999999999</c:v>
                </c:pt>
                <c:pt idx="454">
                  <c:v>23.239699999999999</c:v>
                </c:pt>
                <c:pt idx="455">
                  <c:v>23.239699999999999</c:v>
                </c:pt>
                <c:pt idx="456">
                  <c:v>23.239699999999999</c:v>
                </c:pt>
                <c:pt idx="457">
                  <c:v>23.299900000000001</c:v>
                </c:pt>
                <c:pt idx="458">
                  <c:v>23.239699999999999</c:v>
                </c:pt>
                <c:pt idx="459">
                  <c:v>23.299900000000001</c:v>
                </c:pt>
                <c:pt idx="460">
                  <c:v>23.239699999999999</c:v>
                </c:pt>
                <c:pt idx="461">
                  <c:v>23.239699999999999</c:v>
                </c:pt>
                <c:pt idx="462">
                  <c:v>23.299900000000001</c:v>
                </c:pt>
                <c:pt idx="463">
                  <c:v>23.119199999999999</c:v>
                </c:pt>
                <c:pt idx="464">
                  <c:v>23.059000000000001</c:v>
                </c:pt>
                <c:pt idx="465">
                  <c:v>22.637599999999999</c:v>
                </c:pt>
                <c:pt idx="466">
                  <c:v>22.757999999999999</c:v>
                </c:pt>
                <c:pt idx="467">
                  <c:v>23.661100000000001</c:v>
                </c:pt>
                <c:pt idx="468">
                  <c:v>23.661100000000001</c:v>
                </c:pt>
                <c:pt idx="469">
                  <c:v>23.841699999999999</c:v>
                </c:pt>
                <c:pt idx="470">
                  <c:v>23.841699999999999</c:v>
                </c:pt>
                <c:pt idx="471">
                  <c:v>23.721299999999999</c:v>
                </c:pt>
                <c:pt idx="472">
                  <c:v>23.721299999999999</c:v>
                </c:pt>
                <c:pt idx="473">
                  <c:v>23.540700000000001</c:v>
                </c:pt>
                <c:pt idx="474">
                  <c:v>23.239699999999999</c:v>
                </c:pt>
                <c:pt idx="475">
                  <c:v>23.239699999999999</c:v>
                </c:pt>
                <c:pt idx="476">
                  <c:v>23.540700000000001</c:v>
                </c:pt>
                <c:pt idx="477">
                  <c:v>23.661100000000001</c:v>
                </c:pt>
                <c:pt idx="478">
                  <c:v>23.841699999999999</c:v>
                </c:pt>
                <c:pt idx="479">
                  <c:v>24.082599999999999</c:v>
                </c:pt>
                <c:pt idx="480">
                  <c:v>23.901900000000001</c:v>
                </c:pt>
                <c:pt idx="481">
                  <c:v>24.022300000000001</c:v>
                </c:pt>
                <c:pt idx="482">
                  <c:v>24.125</c:v>
                </c:pt>
                <c:pt idx="483">
                  <c:v>23.5625</c:v>
                </c:pt>
                <c:pt idx="484">
                  <c:v>24.875</c:v>
                </c:pt>
                <c:pt idx="485">
                  <c:v>25</c:v>
                </c:pt>
                <c:pt idx="486">
                  <c:v>25</c:v>
                </c:pt>
                <c:pt idx="487">
                  <c:v>25.4375</c:v>
                </c:pt>
                <c:pt idx="488">
                  <c:v>24.8125</c:v>
                </c:pt>
                <c:pt idx="489">
                  <c:v>24.5</c:v>
                </c:pt>
                <c:pt idx="490">
                  <c:v>24.8125</c:v>
                </c:pt>
                <c:pt idx="491">
                  <c:v>24.5625</c:v>
                </c:pt>
                <c:pt idx="492">
                  <c:v>24.3125</c:v>
                </c:pt>
                <c:pt idx="493">
                  <c:v>24.25</c:v>
                </c:pt>
                <c:pt idx="494">
                  <c:v>23.9375</c:v>
                </c:pt>
                <c:pt idx="495">
                  <c:v>23.8125</c:v>
                </c:pt>
                <c:pt idx="496">
                  <c:v>23.9375</c:v>
                </c:pt>
                <c:pt idx="497">
                  <c:v>23.5</c:v>
                </c:pt>
                <c:pt idx="498">
                  <c:v>22.9375</c:v>
                </c:pt>
                <c:pt idx="499">
                  <c:v>22.625</c:v>
                </c:pt>
                <c:pt idx="500">
                  <c:v>22.375</c:v>
                </c:pt>
                <c:pt idx="501">
                  <c:v>21.3125</c:v>
                </c:pt>
                <c:pt idx="502">
                  <c:v>21</c:v>
                </c:pt>
                <c:pt idx="503">
                  <c:v>21.375</c:v>
                </c:pt>
                <c:pt idx="504">
                  <c:v>21.375</c:v>
                </c:pt>
                <c:pt idx="505">
                  <c:v>21.0625</c:v>
                </c:pt>
                <c:pt idx="506">
                  <c:v>21.0625</c:v>
                </c:pt>
                <c:pt idx="507">
                  <c:v>21.4375</c:v>
                </c:pt>
                <c:pt idx="508">
                  <c:v>20.875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C8-4F55-A014-E0EF0B73E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9125823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345"/>
          <c:min val="260"/>
        </c:scaling>
        <c:delete val="0"/>
        <c:axPos val="l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DJ Utility Index</a:t>
                </a:r>
              </a:p>
            </c:rich>
          </c:tx>
          <c:layout>
            <c:manualLayout>
              <c:xMode val="edge"/>
              <c:yMode val="edge"/>
              <c:x val="1.971329614922181E-2"/>
              <c:y val="0.1654678438709864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258232"/>
        <c:crosses val="autoZero"/>
        <c:crossBetween val="between"/>
        <c:majorUnit val="20"/>
        <c:minorUnit val="5"/>
      </c:valAx>
      <c:dateAx>
        <c:axId val="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  <c:min val="20"/>
        </c:scaling>
        <c:delete val="0"/>
        <c:axPos val="r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CIN Stock Price, $/share</a:t>
                </a:r>
              </a:p>
            </c:rich>
          </c:tx>
          <c:layout>
            <c:manualLayout>
              <c:xMode val="edge"/>
              <c:yMode val="edge"/>
              <c:x val="0.89605891587371878"/>
              <c:y val="0.1474822086676183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37992898033045674"/>
          <c:y val="0.37769833927072988"/>
          <c:w val="0.28673885307959002"/>
          <c:h val="0.1546764627489655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BREAKDOWN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3D-4DB7-A7C7-3D5C417A1407}"/>
            </c:ext>
          </c:extLst>
        </c:ser>
        <c:ser>
          <c:idx val="1"/>
          <c:order val="1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3D-4DB7-A7C7-3D5C417A1407}"/>
            </c:ext>
          </c:extLst>
        </c:ser>
        <c:ser>
          <c:idx val="2"/>
          <c:order val="2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3D-4DB7-A7C7-3D5C417A1407}"/>
            </c:ext>
          </c:extLst>
        </c:ser>
        <c:ser>
          <c:idx val="3"/>
          <c:order val="3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3D-4DB7-A7C7-3D5C417A1407}"/>
            </c:ext>
          </c:extLst>
        </c:ser>
        <c:ser>
          <c:idx val="4"/>
          <c:order val="4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[3]export1!$A$3</c:f>
              <c:strCache>
                <c:ptCount val="1"/>
                <c:pt idx="0">
                  <c:v>Plant Name</c:v>
                </c:pt>
              </c:strCache>
            </c:strRef>
          </c:cat>
          <c:val>
            <c:numRef>
              <c:f>[3]export1!$A$8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3D-4DB7-A7C7-3D5C417A1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90842416"/>
        <c:axId val="1"/>
      </c:barChart>
      <c:catAx>
        <c:axId val="19084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8424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4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GENERATION BREAKDOWN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[3]export1!$B$4</c:f>
              <c:numCache>
                <c:formatCode>General</c:formatCode>
                <c:ptCount val="1"/>
                <c:pt idx="0">
                  <c:v>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7-4826-9F7A-C936F0B1F469}"/>
            </c:ext>
          </c:extLst>
        </c:ser>
        <c:ser>
          <c:idx val="1"/>
          <c:order val="1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[3]export1!$B$5</c:f>
              <c:numCache>
                <c:formatCode>General</c:formatCode>
                <c:ptCount val="1"/>
                <c:pt idx="0">
                  <c:v>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7-4826-9F7A-C936F0B1F469}"/>
            </c:ext>
          </c:extLst>
        </c:ser>
        <c:ser>
          <c:idx val="2"/>
          <c:order val="2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[3]export1!$B$6</c:f>
              <c:numCache>
                <c:formatCode>General</c:formatCode>
                <c:ptCount val="1"/>
                <c:pt idx="0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E7-4826-9F7A-C936F0B1F469}"/>
            </c:ext>
          </c:extLst>
        </c:ser>
        <c:ser>
          <c:idx val="3"/>
          <c:order val="3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[3]export1!$B$7</c:f>
              <c:numCache>
                <c:formatCode>General</c:formatCode>
                <c:ptCount val="1"/>
                <c:pt idx="0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E7-4826-9F7A-C936F0B1F469}"/>
            </c:ext>
          </c:extLst>
        </c:ser>
        <c:ser>
          <c:idx val="4"/>
          <c:order val="4"/>
          <c:tx>
            <c:strRef>
              <c:f>[3]export1!#REF!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[3]export1!$B$3</c:f>
              <c:strCache>
                <c:ptCount val="1"/>
                <c:pt idx="0">
                  <c:v>Dem MW</c:v>
                </c:pt>
              </c:strCache>
            </c:strRef>
          </c:cat>
          <c:val>
            <c:numRef>
              <c:f>[3]export1!$B$8</c:f>
              <c:numCache>
                <c:formatCode>General</c:formatCode>
                <c:ptCount val="1"/>
                <c:pt idx="0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E7-4826-9F7A-C936F0B1F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191047056"/>
        <c:axId val="1"/>
      </c:barChart>
      <c:catAx>
        <c:axId val="19104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04705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vs. Generation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percentStacked"/>
        <c:varyColors val="0"/>
        <c:ser>
          <c:idx val="1"/>
          <c:order val="0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DE-4935-80F0-040DA0A105CB}"/>
            </c:ext>
          </c:extLst>
        </c:ser>
        <c:ser>
          <c:idx val="2"/>
          <c:order val="1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DE-4935-80F0-040DA0A105CB}"/>
            </c:ext>
          </c:extLst>
        </c:ser>
        <c:ser>
          <c:idx val="3"/>
          <c:order val="2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DE-4935-80F0-040DA0A105CB}"/>
            </c:ext>
          </c:extLst>
        </c:ser>
        <c:ser>
          <c:idx val="4"/>
          <c:order val="3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DE-4935-80F0-040DA0A105CB}"/>
            </c:ext>
          </c:extLst>
        </c:ser>
        <c:ser>
          <c:idx val="5"/>
          <c:order val="4"/>
          <c:tx>
            <c:strRef>
              <c:f>'[2]Business Seg Breakup'!#REF!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('[2]Business Seg Breakup'!#REF!,'[2]Business Seg Breakup'!#REF!)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cat>
          <c:val>
            <c:numRef>
              <c:f>'[2]Business Seg Breakup'!#REF!</c:f>
              <c:numCache>
                <c:formatCode>_(* #,##0_);_(* \(#,##0\);_(* "-"_);_(@_)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DE-4935-80F0-040DA0A10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191149000"/>
        <c:axId val="1"/>
      </c:barChart>
      <c:catAx>
        <c:axId val="191149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1490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2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EBIT Contributions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Electric Ops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[1]projection!$E$58:$F$58</c:f>
              <c:numCache>
                <c:formatCode>General</c:formatCode>
                <c:ptCount val="2"/>
                <c:pt idx="0">
                  <c:v>1282</c:v>
                </c:pt>
                <c:pt idx="1">
                  <c:v>1513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0-4348-99D6-827983FB9ACB}"/>
            </c:ext>
          </c:extLst>
        </c:ser>
        <c:ser>
          <c:idx val="1"/>
          <c:order val="1"/>
          <c:tx>
            <c:v>Gas trans</c:v>
          </c:tx>
          <c:spPr>
            <a:solidFill>
              <a:srgbClr val="80206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[1]projection!$E$59:$F$59</c:f>
              <c:numCache>
                <c:formatCode>General</c:formatCode>
                <c:ptCount val="2"/>
                <c:pt idx="0">
                  <c:v>624</c:v>
                </c:pt>
                <c:pt idx="1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0-4348-99D6-827983FB9ACB}"/>
            </c:ext>
          </c:extLst>
        </c:ser>
        <c:ser>
          <c:idx val="2"/>
          <c:order val="2"/>
          <c:tx>
            <c:strRef>
              <c:f>[1]projection!$A$60</c:f>
              <c:strCache>
                <c:ptCount val="1"/>
                <c:pt idx="0">
                  <c:v>Field Services</c:v>
                </c:pt>
              </c:strCache>
            </c:strRef>
          </c:tx>
          <c:spPr>
            <a:solidFill>
              <a:srgbClr val="FFFF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[1]projection!$E$60:$F$60</c:f>
              <c:numCache>
                <c:formatCode>General</c:formatCode>
                <c:ptCount val="2"/>
                <c:pt idx="0">
                  <c:v>157</c:v>
                </c:pt>
                <c:pt idx="1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F0-4348-99D6-827983FB9ACB}"/>
            </c:ext>
          </c:extLst>
        </c:ser>
        <c:ser>
          <c:idx val="3"/>
          <c:order val="3"/>
          <c:tx>
            <c:v>Trd and Mktg</c:v>
          </c:tx>
          <c:spPr>
            <a:solidFill>
              <a:srgbClr val="A0E0E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[1]projection!$E$61:$F$61</c:f>
              <c:numCache>
                <c:formatCode>General</c:formatCode>
                <c:ptCount val="2"/>
                <c:pt idx="0">
                  <c:v>44</c:v>
                </c:pt>
                <c:pt idx="1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F0-4348-99D6-827983FB9ACB}"/>
            </c:ext>
          </c:extLst>
        </c:ser>
        <c:ser>
          <c:idx val="4"/>
          <c:order val="4"/>
          <c:tx>
            <c:v>Global Asset</c:v>
          </c:tx>
          <c:spPr>
            <a:solidFill>
              <a:srgbClr val="6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[1]projection!$E$62:$F$62</c:f>
              <c:numCache>
                <c:formatCode>General</c:formatCode>
                <c:ptCount val="2"/>
                <c:pt idx="0">
                  <c:v>5</c:v>
                </c:pt>
                <c:pt idx="1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F0-4348-99D6-827983FB9ACB}"/>
            </c:ext>
          </c:extLst>
        </c:ser>
        <c:ser>
          <c:idx val="5"/>
          <c:order val="5"/>
          <c:tx>
            <c:v>Oth. Energy Svs.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[1]projection!$E$63:$F$63</c:f>
              <c:numCache>
                <c:formatCode>General</c:formatCode>
                <c:ptCount val="2"/>
                <c:pt idx="0">
                  <c:v>18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F0-4348-99D6-827983FB9ACB}"/>
            </c:ext>
          </c:extLst>
        </c:ser>
        <c:ser>
          <c:idx val="6"/>
          <c:order val="6"/>
          <c:tx>
            <c:v>Real Estate</c:v>
          </c:tx>
          <c:spPr>
            <a:solidFill>
              <a:srgbClr val="0080C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[1]projection!$E$64:$F$64</c:f>
              <c:numCache>
                <c:formatCode>General</c:formatCode>
                <c:ptCount val="2"/>
                <c:pt idx="0">
                  <c:v>98</c:v>
                </c:pt>
                <c:pt idx="1">
                  <c:v>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F0-4348-99D6-827983FB9ACB}"/>
            </c:ext>
          </c:extLst>
        </c:ser>
        <c:ser>
          <c:idx val="7"/>
          <c:order val="7"/>
          <c:tx>
            <c:strRef>
              <c:f>[1]projection!$A$65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0C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([1]projection!$E$2,[1]projection!$F$2)</c:f>
              <c:strCache>
                <c:ptCount val="2"/>
                <c:pt idx="0">
                  <c:v>12/31/97</c:v>
                </c:pt>
                <c:pt idx="1">
                  <c:v>12/31/98</c:v>
                </c:pt>
              </c:strCache>
            </c:strRef>
          </c:cat>
          <c:val>
            <c:numRef>
              <c:f>[1]projection!$E$65:$F$65</c:f>
              <c:numCache>
                <c:formatCode>General</c:formatCode>
                <c:ptCount val="2"/>
                <c:pt idx="0">
                  <c:v>-120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5F0-4348-99D6-827983FB9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0122432"/>
        <c:axId val="1"/>
      </c:barChart>
      <c:catAx>
        <c:axId val="19012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1224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5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7.emf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68580</xdr:rowOff>
    </xdr:from>
    <xdr:to>
      <xdr:col>5</xdr:col>
      <xdr:colOff>381000</xdr:colOff>
      <xdr:row>15</xdr:row>
      <xdr:rowOff>7620</xdr:rowOff>
    </xdr:to>
    <xdr:graphicFrame macro="">
      <xdr:nvGraphicFramePr>
        <xdr:cNvPr id="2457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160020</xdr:rowOff>
        </xdr:from>
        <xdr:to>
          <xdr:col>12</xdr:col>
          <xdr:colOff>525780</xdr:colOff>
          <xdr:row>58</xdr:row>
          <xdr:rowOff>38100</xdr:rowOff>
        </xdr:to>
        <xdr:sp macro="" textlink="">
          <xdr:nvSpPr>
            <xdr:cNvPr id="17410" name="Object 2" hidden="1">
              <a:extLst>
                <a:ext uri="{63B3BB69-23CF-44E3-9099-C40C66FF867C}">
                  <a14:compatExt spid="_x0000_s17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129540</xdr:rowOff>
        </xdr:from>
        <xdr:to>
          <xdr:col>15</xdr:col>
          <xdr:colOff>518160</xdr:colOff>
          <xdr:row>43</xdr:row>
          <xdr:rowOff>45720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45720</xdr:rowOff>
        </xdr:from>
        <xdr:to>
          <xdr:col>20</xdr:col>
          <xdr:colOff>601980</xdr:colOff>
          <xdr:row>50</xdr:row>
          <xdr:rowOff>144780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</xdr:colOff>
          <xdr:row>47</xdr:row>
          <xdr:rowOff>76200</xdr:rowOff>
        </xdr:from>
        <xdr:to>
          <xdr:col>20</xdr:col>
          <xdr:colOff>571500</xdr:colOff>
          <xdr:row>70</xdr:row>
          <xdr:rowOff>76200</xdr:rowOff>
        </xdr:to>
        <xdr:sp macro="" textlink="">
          <xdr:nvSpPr>
            <xdr:cNvPr id="25602" name="Object 2" hidden="1">
              <a:extLst>
                <a:ext uri="{63B3BB69-23CF-44E3-9099-C40C66FF867C}">
                  <a14:compatExt spid="_x0000_s256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99060</xdr:rowOff>
        </xdr:from>
        <xdr:to>
          <xdr:col>20</xdr:col>
          <xdr:colOff>563880</xdr:colOff>
          <xdr:row>107</xdr:row>
          <xdr:rowOff>160020</xdr:rowOff>
        </xdr:to>
        <xdr:sp macro="" textlink="">
          <xdr:nvSpPr>
            <xdr:cNvPr id="25603" name="Object 3" hidden="1">
              <a:extLst>
                <a:ext uri="{63B3BB69-23CF-44E3-9099-C40C66FF867C}">
                  <a14:compatExt spid="_x0000_s256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91440</xdr:rowOff>
        </xdr:from>
        <xdr:to>
          <xdr:col>20</xdr:col>
          <xdr:colOff>563880</xdr:colOff>
          <xdr:row>159</xdr:row>
          <xdr:rowOff>30480</xdr:rowOff>
        </xdr:to>
        <xdr:sp macro="" textlink="">
          <xdr:nvSpPr>
            <xdr:cNvPr id="25604" name="Object 4" hidden="1">
              <a:extLst>
                <a:ext uri="{63B3BB69-23CF-44E3-9099-C40C66FF867C}">
                  <a14:compatExt spid="_x0000_s256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17</xdr:row>
      <xdr:rowOff>0</xdr:rowOff>
    </xdr:from>
    <xdr:to>
      <xdr:col>1</xdr:col>
      <xdr:colOff>0</xdr:colOff>
      <xdr:row>17</xdr:row>
      <xdr:rowOff>0</xdr:rowOff>
    </xdr:to>
    <xdr:graphicFrame macro="">
      <xdr:nvGraphicFramePr>
        <xdr:cNvPr id="1945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6</xdr:col>
      <xdr:colOff>198120</xdr:colOff>
      <xdr:row>17</xdr:row>
      <xdr:rowOff>0</xdr:rowOff>
    </xdr:to>
    <xdr:graphicFrame macro="">
      <xdr:nvGraphicFramePr>
        <xdr:cNvPr id="1945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3</xdr:col>
      <xdr:colOff>304800</xdr:colOff>
      <xdr:row>17</xdr:row>
      <xdr:rowOff>0</xdr:rowOff>
    </xdr:to>
    <xdr:graphicFrame macro="">
      <xdr:nvGraphicFramePr>
        <xdr:cNvPr id="1945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1744980</xdr:colOff>
      <xdr:row>17</xdr:row>
      <xdr:rowOff>0</xdr:rowOff>
    </xdr:from>
    <xdr:to>
      <xdr:col>1</xdr:col>
      <xdr:colOff>0</xdr:colOff>
      <xdr:row>17</xdr:row>
      <xdr:rowOff>0</xdr:rowOff>
    </xdr:to>
    <xdr:graphicFrame macro="">
      <xdr:nvGraphicFramePr>
        <xdr:cNvPr id="1946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1866900</xdr:colOff>
      <xdr:row>17</xdr:row>
      <xdr:rowOff>7620</xdr:rowOff>
    </xdr:from>
    <xdr:to>
      <xdr:col>6</xdr:col>
      <xdr:colOff>198120</xdr:colOff>
      <xdr:row>26</xdr:row>
      <xdr:rowOff>22860</xdr:rowOff>
    </xdr:to>
    <xdr:pic>
      <xdr:nvPicPr>
        <xdr:cNvPr id="1948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2903220"/>
          <a:ext cx="4572000" cy="15925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0.29528</cdr:x>
      <cdr:y>0.38149</cdr:y>
    </cdr:from>
    <cdr:to>
      <cdr:x>0.36737</cdr:x>
      <cdr:y>0.52588</cdr:y>
    </cdr:to>
    <cdr:sp macro="" textlink="">
      <cdr:nvSpPr>
        <cdr:cNvPr id="2048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714" y="279434"/>
          <a:ext cx="53285" cy="1067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0.27346</cdr:x>
      <cdr:y>0.35582</cdr:y>
    </cdr:from>
    <cdr:to>
      <cdr:x>0.84056</cdr:x>
      <cdr:y>0.60332</cdr:y>
    </cdr:to>
    <cdr:sp macro="" textlink="[1]projection!$E$66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199586" y="260460"/>
          <a:ext cx="419163" cy="182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fld id="{27E58958-88A3-41F4-8ADB-6EF7BC2E0A39}" type="TxLink"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​</a:t>
          </a:fld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0.33742</cdr:x>
      <cdr:y>0.34277</cdr:y>
    </cdr:from>
    <cdr:to>
      <cdr:x>0.40951</cdr:x>
      <cdr:y>0.48716</cdr:y>
    </cdr:to>
    <cdr:sp macro="" textlink="">
      <cdr:nvSpPr>
        <cdr:cNvPr id="2048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46863" y="250815"/>
          <a:ext cx="53284" cy="1067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0.33742</cdr:x>
      <cdr:y>0.34277</cdr:y>
    </cdr:from>
    <cdr:to>
      <cdr:x>0.90452</cdr:x>
      <cdr:y>0.59027</cdr:y>
    </cdr:to>
    <cdr:sp macro="" textlink="[1]projection!$F$66">
      <cdr:nvSpPr>
        <cdr:cNvPr id="20484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246863" y="250815"/>
          <a:ext cx="419162" cy="1829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fld id="{5412B4FA-39B5-4C67-BE49-269CE9BC3A5A}" type="TxLink"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​</a:t>
          </a:fld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dev/Corpdev/Novotny/SUNKING/DUK/DUK%20MODE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Arrow%20Valuation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ew%20data/SUNKING/txu/asset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dev/Corpdev/Novotny/SUNKING/models/new%20lgee%20mode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2"/>
      <sheetName val="CORP TRD CMP"/>
      <sheetName val="segment trading"/>
      <sheetName val="Breakup Analysis"/>
      <sheetName val="projection"/>
      <sheetName val="PLANTS"/>
      <sheetName val="tax"/>
      <sheetName val="PPE"/>
      <sheetName val="comps compilation"/>
      <sheetName val="Trading Comps"/>
      <sheetName val="Segment EBIT"/>
      <sheetName val="global assets"/>
      <sheetName val="slide"/>
      <sheetName val="joint venture"/>
      <sheetName val="recent events"/>
      <sheetName val="acretion-dilution"/>
    </sheetNames>
    <sheetDataSet>
      <sheetData sheetId="0"/>
      <sheetData sheetId="1"/>
      <sheetData sheetId="2"/>
      <sheetData sheetId="3"/>
      <sheetData sheetId="4">
        <row r="2">
          <cell r="E2" t="str">
            <v>12/31/97</v>
          </cell>
          <cell r="F2" t="str">
            <v>12/31/98</v>
          </cell>
        </row>
        <row r="58">
          <cell r="E58">
            <v>1282</v>
          </cell>
          <cell r="F58">
            <v>1513</v>
          </cell>
        </row>
        <row r="59">
          <cell r="E59">
            <v>624</v>
          </cell>
          <cell r="F59">
            <v>702</v>
          </cell>
        </row>
        <row r="60">
          <cell r="A60" t="str">
            <v>Field Services</v>
          </cell>
          <cell r="E60">
            <v>157</v>
          </cell>
          <cell r="F60">
            <v>76</v>
          </cell>
        </row>
        <row r="61">
          <cell r="E61">
            <v>44</v>
          </cell>
          <cell r="F61">
            <v>122</v>
          </cell>
        </row>
        <row r="62">
          <cell r="E62">
            <v>5</v>
          </cell>
          <cell r="F62">
            <v>80</v>
          </cell>
        </row>
        <row r="63">
          <cell r="E63">
            <v>18</v>
          </cell>
          <cell r="F63">
            <v>10</v>
          </cell>
        </row>
        <row r="64">
          <cell r="E64">
            <v>98</v>
          </cell>
          <cell r="F64">
            <v>142</v>
          </cell>
        </row>
        <row r="65">
          <cell r="A65" t="str">
            <v>Other</v>
          </cell>
          <cell r="E65">
            <v>-120</v>
          </cell>
          <cell r="F65">
            <v>2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Seg Breakup"/>
      <sheetName val="Cover"/>
      <sheetName val="Stock &amp; Div Chart"/>
      <sheetName val="Asset Summary"/>
      <sheetName val="Segment Valuation Compco"/>
      <sheetName val="Segment Valuation Compacq-Slide"/>
      <sheetName val="Financials Slide"/>
      <sheetName val="Valuation Slide"/>
      <sheetName val="Sanders Breakup Data"/>
      <sheetName val="Compco Valuation"/>
      <sheetName val="CompCo Data"/>
      <sheetName val="EPG Data"/>
      <sheetName val=" Holders"/>
      <sheetName val="Accretion Dilution"/>
      <sheetName val="CIBC data"/>
      <sheetName val="Comparable table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ort1"/>
    </sheetNames>
    <sheetDataSet>
      <sheetData sheetId="0">
        <row r="3">
          <cell r="A3" t="str">
            <v>Plant Name</v>
          </cell>
          <cell r="B3" t="str">
            <v>Dem MW</v>
          </cell>
        </row>
        <row r="4">
          <cell r="A4" t="str">
            <v>Lake Creek (TX)</v>
          </cell>
          <cell r="B4">
            <v>323</v>
          </cell>
        </row>
        <row r="5">
          <cell r="A5" t="str">
            <v>Mountain Creek</v>
          </cell>
          <cell r="B5">
            <v>893</v>
          </cell>
        </row>
        <row r="6">
          <cell r="A6" t="str">
            <v>North Main</v>
          </cell>
          <cell r="B6">
            <v>80</v>
          </cell>
        </row>
        <row r="7">
          <cell r="A7" t="str">
            <v>Parkdale</v>
          </cell>
          <cell r="B7">
            <v>327</v>
          </cell>
        </row>
        <row r="8">
          <cell r="A8" t="str">
            <v>River Crest</v>
          </cell>
          <cell r="B8">
            <v>110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Overview"/>
      <sheetName val="Projects"/>
      <sheetName val="Deal Points"/>
      <sheetName val="Comp trd sum"/>
      <sheetName val="corp trns sum"/>
      <sheetName val="trading sum"/>
      <sheetName val="trading Comps"/>
      <sheetName val="transaction sum"/>
      <sheetName val="transaction comps"/>
      <sheetName val="Summary"/>
      <sheetName val="DIVESTITURE COMPS"/>
      <sheetName val="DCF of Generation"/>
      <sheetName val="KU"/>
      <sheetName val="Corp Ballance sht"/>
      <sheetName val="tax"/>
      <sheetName val="LG&amp;E Gas"/>
      <sheetName val="IPP&amp;WKE"/>
      <sheetName val="Proj"/>
      <sheetName val="LG&amp;E Electric"/>
      <sheetName val="new comps"/>
      <sheetName val="Comps"/>
      <sheetName val="PP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3.vml"/><Relationship Id="rId7" Type="http://schemas.openxmlformats.org/officeDocument/2006/relationships/image" Target="../media/image4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1.bin"/><Relationship Id="rId6" Type="http://schemas.openxmlformats.org/officeDocument/2006/relationships/oleObject" Target="../embeddings/oleObject4.bin"/><Relationship Id="rId11" Type="http://schemas.openxmlformats.org/officeDocument/2006/relationships/image" Target="../media/image6.emf"/><Relationship Id="rId5" Type="http://schemas.openxmlformats.org/officeDocument/2006/relationships/image" Target="../media/image3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5.emf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view="pageBreakPreview" zoomScaleNormal="75" workbookViewId="0">
      <selection activeCell="K19" sqref="K19"/>
    </sheetView>
  </sheetViews>
  <sheetFormatPr defaultColWidth="9.109375" defaultRowHeight="13.2" x14ac:dyDescent="0.25"/>
  <cols>
    <col min="1" max="1" width="9.109375" style="613"/>
    <col min="2" max="2" width="20" style="613" customWidth="1"/>
    <col min="3" max="4" width="9.33203125" style="613" bestFit="1" customWidth="1"/>
    <col min="5" max="5" width="8.6640625" style="613" bestFit="1" customWidth="1"/>
    <col min="6" max="7" width="9.109375" style="613"/>
    <col min="8" max="8" width="20.109375" style="613" customWidth="1"/>
    <col min="9" max="9" width="9.109375" style="613"/>
    <col min="10" max="10" width="5" style="613" customWidth="1"/>
    <col min="11" max="11" width="9.109375" style="613"/>
    <col min="12" max="12" width="1.6640625" style="613" customWidth="1"/>
    <col min="13" max="13" width="9.109375" style="613"/>
    <col min="14" max="14" width="14.109375" style="613" customWidth="1"/>
    <col min="15" max="15" width="9.109375" style="613"/>
    <col min="16" max="16" width="1.44140625" style="613" customWidth="1"/>
    <col min="17" max="17" width="8.33203125" style="613" bestFit="1" customWidth="1"/>
    <col min="18" max="16384" width="9.109375" style="613"/>
  </cols>
  <sheetData>
    <row r="1" spans="1:17" ht="17.399999999999999" x14ac:dyDescent="0.3">
      <c r="A1" s="875" t="s">
        <v>649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  <c r="L1" s="594"/>
    </row>
    <row r="2" spans="1:17" x14ac:dyDescent="0.25">
      <c r="B2" s="594"/>
      <c r="C2" s="594"/>
      <c r="D2" s="594"/>
      <c r="E2" s="594"/>
      <c r="F2" s="594"/>
      <c r="G2" s="618" t="s">
        <v>713</v>
      </c>
      <c r="H2" s="594"/>
      <c r="I2" s="594"/>
      <c r="J2" s="594"/>
      <c r="K2" s="594"/>
      <c r="L2" s="594"/>
      <c r="O2" s="596" t="s">
        <v>616</v>
      </c>
      <c r="P2" s="596"/>
      <c r="Q2" s="596" t="s">
        <v>617</v>
      </c>
    </row>
    <row r="3" spans="1:17" x14ac:dyDescent="0.25">
      <c r="A3" s="594"/>
      <c r="B3" s="594"/>
      <c r="C3" s="594"/>
      <c r="D3" s="594"/>
      <c r="E3" s="594"/>
      <c r="F3" s="594"/>
      <c r="G3" s="594"/>
      <c r="H3" s="596"/>
      <c r="I3" s="614" t="s">
        <v>43</v>
      </c>
      <c r="J3" s="707" t="s">
        <v>712</v>
      </c>
      <c r="K3" s="614" t="s">
        <v>53</v>
      </c>
      <c r="L3" s="596"/>
      <c r="O3" s="594" t="s">
        <v>583</v>
      </c>
      <c r="P3" s="594"/>
      <c r="Q3" s="594" t="s">
        <v>600</v>
      </c>
    </row>
    <row r="4" spans="1:17" x14ac:dyDescent="0.25">
      <c r="A4" s="594"/>
      <c r="B4" s="594"/>
      <c r="C4" s="594"/>
      <c r="D4" s="594"/>
      <c r="E4" s="594"/>
      <c r="F4" s="594"/>
      <c r="G4" s="594"/>
      <c r="H4" s="594"/>
      <c r="I4" s="705" t="s">
        <v>674</v>
      </c>
      <c r="J4" s="708" t="s">
        <v>2</v>
      </c>
      <c r="K4" s="705" t="s">
        <v>675</v>
      </c>
      <c r="L4" s="594"/>
      <c r="O4" s="594" t="s">
        <v>584</v>
      </c>
      <c r="P4" s="594"/>
      <c r="Q4" s="594" t="s">
        <v>601</v>
      </c>
    </row>
    <row r="5" spans="1:17" x14ac:dyDescent="0.25">
      <c r="A5" s="594"/>
      <c r="B5" s="594"/>
      <c r="C5" s="594"/>
      <c r="D5" s="594"/>
      <c r="E5" s="594"/>
      <c r="F5" s="594"/>
      <c r="G5" s="594" t="s">
        <v>631</v>
      </c>
      <c r="H5" s="594"/>
      <c r="I5" s="616">
        <v>9.9201789999999992</v>
      </c>
      <c r="J5" s="706">
        <f t="shared" ref="J5:J14" si="0">I5/$D$26</f>
        <v>6.2294682441003217E-2</v>
      </c>
      <c r="K5" s="709">
        <v>243.0443855</v>
      </c>
      <c r="L5" s="617"/>
      <c r="O5" s="594" t="s">
        <v>585</v>
      </c>
      <c r="P5" s="594"/>
      <c r="Q5" s="594" t="s">
        <v>602</v>
      </c>
    </row>
    <row r="6" spans="1:17" x14ac:dyDescent="0.25">
      <c r="A6" s="594"/>
      <c r="B6" s="594"/>
      <c r="C6" s="594"/>
      <c r="D6" s="594"/>
      <c r="E6" s="594"/>
      <c r="F6" s="594"/>
      <c r="G6" s="594" t="s">
        <v>624</v>
      </c>
      <c r="H6" s="594"/>
      <c r="I6" s="616">
        <v>7.4064209999999999</v>
      </c>
      <c r="J6" s="706">
        <f t="shared" si="0"/>
        <v>4.6509306356203609E-2</v>
      </c>
      <c r="K6" s="616">
        <v>181.4573145</v>
      </c>
      <c r="L6" s="617"/>
      <c r="O6" s="594" t="s">
        <v>586</v>
      </c>
      <c r="P6" s="594"/>
      <c r="Q6" s="594" t="s">
        <v>603</v>
      </c>
    </row>
    <row r="7" spans="1:17" x14ac:dyDescent="0.25">
      <c r="A7" s="594"/>
      <c r="B7" s="594"/>
      <c r="C7" s="594"/>
      <c r="D7" s="594"/>
      <c r="E7" s="594"/>
      <c r="F7" s="594"/>
      <c r="G7" s="594" t="s">
        <v>625</v>
      </c>
      <c r="H7" s="594"/>
      <c r="I7" s="616">
        <v>6.3252050000000004</v>
      </c>
      <c r="J7" s="706">
        <f t="shared" si="0"/>
        <v>3.9719710385190211E-2</v>
      </c>
      <c r="K7" s="616">
        <v>154.9675225</v>
      </c>
      <c r="L7" s="617"/>
      <c r="O7" s="594" t="s">
        <v>599</v>
      </c>
      <c r="P7" s="594"/>
      <c r="Q7" s="594" t="s">
        <v>604</v>
      </c>
    </row>
    <row r="8" spans="1:17" x14ac:dyDescent="0.25">
      <c r="A8" s="594"/>
      <c r="B8" s="594"/>
      <c r="C8" s="594"/>
      <c r="D8" s="594"/>
      <c r="E8" s="594"/>
      <c r="F8" s="594"/>
      <c r="G8" s="594" t="s">
        <v>626</v>
      </c>
      <c r="H8" s="594"/>
      <c r="I8" s="616">
        <v>5.0629749999999998</v>
      </c>
      <c r="J8" s="706">
        <f t="shared" si="0"/>
        <v>3.1793420242894638E-2</v>
      </c>
      <c r="K8" s="616">
        <v>124.04288750000001</v>
      </c>
      <c r="L8" s="617"/>
      <c r="O8" s="594" t="s">
        <v>587</v>
      </c>
      <c r="P8" s="594"/>
      <c r="Q8" s="594" t="s">
        <v>621</v>
      </c>
    </row>
    <row r="9" spans="1:17" x14ac:dyDescent="0.25">
      <c r="A9" s="594"/>
      <c r="B9" s="594"/>
      <c r="C9" s="594"/>
      <c r="D9" s="594"/>
      <c r="E9" s="594"/>
      <c r="F9" s="594"/>
      <c r="G9" s="594" t="s">
        <v>627</v>
      </c>
      <c r="H9" s="594"/>
      <c r="I9" s="616">
        <v>4.3960610000000004</v>
      </c>
      <c r="J9" s="706">
        <f t="shared" si="0"/>
        <v>2.7605472036974242E-2</v>
      </c>
      <c r="K9" s="616">
        <v>107.70349450000001</v>
      </c>
      <c r="L9" s="617"/>
      <c r="O9" s="594" t="s">
        <v>588</v>
      </c>
      <c r="P9" s="594"/>
      <c r="Q9" s="594" t="s">
        <v>605</v>
      </c>
    </row>
    <row r="10" spans="1:17" x14ac:dyDescent="0.25">
      <c r="A10" s="594"/>
      <c r="B10" s="594"/>
      <c r="C10" s="594"/>
      <c r="D10" s="594"/>
      <c r="E10" s="594"/>
      <c r="F10" s="594"/>
      <c r="G10" s="594" t="s">
        <v>633</v>
      </c>
      <c r="H10" s="594"/>
      <c r="I10" s="616">
        <v>3.4996</v>
      </c>
      <c r="J10" s="706">
        <f t="shared" si="0"/>
        <v>2.197606219308491E-2</v>
      </c>
      <c r="K10" s="616">
        <v>85.740200000000002</v>
      </c>
      <c r="L10" s="617"/>
      <c r="O10" s="594" t="s">
        <v>589</v>
      </c>
      <c r="P10" s="594"/>
      <c r="Q10" s="594" t="s">
        <v>606</v>
      </c>
    </row>
    <row r="11" spans="1:17" x14ac:dyDescent="0.25">
      <c r="A11" s="594"/>
      <c r="B11" s="594"/>
      <c r="C11" s="594"/>
      <c r="D11" s="594"/>
      <c r="E11" s="594"/>
      <c r="F11" s="594"/>
      <c r="G11" s="594" t="s">
        <v>628</v>
      </c>
      <c r="H11" s="594"/>
      <c r="I11" s="616">
        <v>3.4750000000000001</v>
      </c>
      <c r="J11" s="706">
        <f t="shared" si="0"/>
        <v>2.1821584215616089E-2</v>
      </c>
      <c r="K11" s="616">
        <v>85.137500000000003</v>
      </c>
      <c r="L11" s="617"/>
      <c r="O11" s="594" t="s">
        <v>590</v>
      </c>
      <c r="P11" s="594"/>
      <c r="Q11" s="594" t="s">
        <v>607</v>
      </c>
    </row>
    <row r="12" spans="1:17" x14ac:dyDescent="0.25">
      <c r="A12" s="594"/>
      <c r="B12" s="594"/>
      <c r="C12" s="594"/>
      <c r="D12" s="594"/>
      <c r="E12" s="594"/>
      <c r="F12" s="594"/>
      <c r="G12" s="594" t="s">
        <v>632</v>
      </c>
      <c r="H12" s="594"/>
      <c r="I12" s="616">
        <v>3.3990779999999998</v>
      </c>
      <c r="J12" s="706">
        <f t="shared" si="0"/>
        <v>2.1344824987754793E-2</v>
      </c>
      <c r="K12" s="616">
        <v>83.277411000000001</v>
      </c>
      <c r="L12" s="617"/>
      <c r="O12" s="594" t="s">
        <v>591</v>
      </c>
      <c r="P12" s="594"/>
      <c r="Q12" s="594" t="s">
        <v>608</v>
      </c>
    </row>
    <row r="13" spans="1:17" x14ac:dyDescent="0.25">
      <c r="A13" s="594"/>
      <c r="B13" s="594"/>
      <c r="C13" s="594"/>
      <c r="D13" s="594"/>
      <c r="E13" s="594"/>
      <c r="F13" s="594"/>
      <c r="G13" s="594" t="s">
        <v>629</v>
      </c>
      <c r="H13" s="594"/>
      <c r="I13" s="616">
        <v>3.3477190000000001</v>
      </c>
      <c r="J13" s="706">
        <f t="shared" si="0"/>
        <v>2.1022311392436859E-2</v>
      </c>
      <c r="K13" s="616">
        <v>82.019115499999998</v>
      </c>
      <c r="L13" s="617"/>
      <c r="O13" s="594" t="s">
        <v>592</v>
      </c>
      <c r="P13" s="594"/>
      <c r="Q13" s="594" t="s">
        <v>607</v>
      </c>
    </row>
    <row r="14" spans="1:17" x14ac:dyDescent="0.25">
      <c r="A14" s="594"/>
      <c r="B14" s="594"/>
      <c r="C14" s="594"/>
      <c r="D14" s="594"/>
      <c r="E14" s="594"/>
      <c r="F14" s="594"/>
      <c r="G14" s="594" t="s">
        <v>630</v>
      </c>
      <c r="H14" s="594"/>
      <c r="I14" s="616">
        <v>3.1719750000000002</v>
      </c>
      <c r="J14" s="706">
        <f t="shared" si="0"/>
        <v>1.9918710674051467E-2</v>
      </c>
      <c r="K14" s="616">
        <v>77.713387499999996</v>
      </c>
      <c r="L14" s="617"/>
      <c r="O14" s="594" t="s">
        <v>593</v>
      </c>
      <c r="P14" s="594"/>
      <c r="Q14" s="594" t="s">
        <v>609</v>
      </c>
    </row>
    <row r="15" spans="1:17" x14ac:dyDescent="0.25">
      <c r="A15" s="594"/>
      <c r="B15" s="594"/>
      <c r="C15" s="594"/>
      <c r="D15" s="594"/>
      <c r="E15" s="594"/>
      <c r="F15" s="594"/>
      <c r="G15" s="594"/>
      <c r="H15" s="594"/>
      <c r="I15" s="594"/>
      <c r="J15" s="594"/>
      <c r="K15" s="594"/>
      <c r="L15" s="594"/>
      <c r="O15" s="594" t="s">
        <v>594</v>
      </c>
      <c r="P15" s="594"/>
      <c r="Q15" s="594" t="s">
        <v>610</v>
      </c>
    </row>
    <row r="16" spans="1:17" x14ac:dyDescent="0.25">
      <c r="A16" s="594"/>
      <c r="B16" s="594"/>
      <c r="C16" s="594"/>
      <c r="D16" s="594"/>
      <c r="E16" s="594"/>
      <c r="F16" s="594"/>
      <c r="G16" s="594"/>
      <c r="H16" s="594"/>
      <c r="I16" s="594"/>
      <c r="J16" s="594"/>
      <c r="K16" s="594"/>
      <c r="L16" s="594"/>
      <c r="O16" s="594" t="s">
        <v>595</v>
      </c>
      <c r="P16" s="594"/>
      <c r="Q16" s="594" t="s">
        <v>611</v>
      </c>
    </row>
    <row r="17" spans="1:17" x14ac:dyDescent="0.25">
      <c r="A17" s="618" t="s">
        <v>634</v>
      </c>
      <c r="B17" s="594"/>
      <c r="C17" s="594"/>
      <c r="D17" s="594"/>
      <c r="E17" s="594"/>
      <c r="F17" s="594"/>
      <c r="G17" s="618" t="s">
        <v>636</v>
      </c>
      <c r="H17" s="619"/>
      <c r="I17" s="619"/>
      <c r="J17" s="619"/>
      <c r="K17" s="594"/>
      <c r="L17" s="594"/>
      <c r="O17" s="594" t="s">
        <v>596</v>
      </c>
      <c r="P17" s="594"/>
      <c r="Q17" s="594" t="s">
        <v>612</v>
      </c>
    </row>
    <row r="18" spans="1:17" x14ac:dyDescent="0.25">
      <c r="A18" s="594"/>
      <c r="B18" s="594"/>
      <c r="C18" s="594"/>
      <c r="D18" s="594"/>
      <c r="E18" s="594"/>
      <c r="F18" s="619"/>
      <c r="G18" s="619"/>
      <c r="H18" s="619"/>
      <c r="I18" s="619"/>
      <c r="J18" s="619"/>
      <c r="L18" s="619"/>
      <c r="O18" s="594" t="s">
        <v>597</v>
      </c>
      <c r="P18" s="594"/>
      <c r="Q18" s="594" t="s">
        <v>613</v>
      </c>
    </row>
    <row r="19" spans="1:17" x14ac:dyDescent="0.25">
      <c r="A19" s="620" t="s">
        <v>635</v>
      </c>
      <c r="B19" s="594"/>
      <c r="C19" s="705">
        <v>1998</v>
      </c>
      <c r="D19" s="705">
        <v>1999</v>
      </c>
      <c r="E19" s="705" t="s">
        <v>673</v>
      </c>
      <c r="F19" s="619"/>
      <c r="G19" s="594" t="s">
        <v>867</v>
      </c>
      <c r="H19" s="594"/>
      <c r="I19" s="594"/>
      <c r="J19" s="594"/>
      <c r="K19" s="621">
        <v>21.44</v>
      </c>
      <c r="L19" s="619"/>
      <c r="O19" s="594" t="s">
        <v>598</v>
      </c>
      <c r="P19" s="594"/>
      <c r="Q19" s="594" t="s">
        <v>614</v>
      </c>
    </row>
    <row r="20" spans="1:17" x14ac:dyDescent="0.25">
      <c r="A20" s="594" t="s">
        <v>279</v>
      </c>
      <c r="B20" s="594"/>
      <c r="C20" s="773">
        <f>+'Corp I-S&amp;B-S'!E8</f>
        <v>5876.2939999999999</v>
      </c>
      <c r="D20" s="773">
        <f>+'Corp I-S&amp;B-S'!I8</f>
        <v>5937.8879999999999</v>
      </c>
      <c r="E20" s="773">
        <f>+'Corp I-S&amp;B-S'!J8</f>
        <v>5750.4000000000005</v>
      </c>
      <c r="F20" s="619"/>
      <c r="G20" s="594" t="s">
        <v>637</v>
      </c>
      <c r="H20" s="594"/>
      <c r="I20" s="594"/>
      <c r="J20" s="594"/>
      <c r="K20" s="612" t="s">
        <v>775</v>
      </c>
      <c r="L20" s="619"/>
    </row>
    <row r="21" spans="1:17" x14ac:dyDescent="0.25">
      <c r="A21" s="594" t="s">
        <v>24</v>
      </c>
      <c r="B21" s="594"/>
      <c r="C21" s="623">
        <f>+'Corp I-S&amp;B-S'!E44</f>
        <v>971.94400000000019</v>
      </c>
      <c r="D21" s="623">
        <f>+'Corp I-S&amp;B-S'!I44</f>
        <v>1047.059</v>
      </c>
      <c r="E21" s="623">
        <f>+'Corp I-S&amp;B-S'!J44</f>
        <v>1226.8630000000005</v>
      </c>
      <c r="F21" s="619"/>
      <c r="G21" s="594" t="s">
        <v>639</v>
      </c>
      <c r="H21" s="594"/>
      <c r="I21" s="594"/>
      <c r="J21" s="594"/>
      <c r="K21" s="621">
        <f>+'Corp I-S&amp;B-S'!N56/'Corp I-S&amp;B-S'!H41</f>
        <v>16.567869836605002</v>
      </c>
      <c r="L21" s="619"/>
    </row>
    <row r="22" spans="1:17" x14ac:dyDescent="0.25">
      <c r="A22" s="594" t="s">
        <v>23</v>
      </c>
      <c r="B22" s="594"/>
      <c r="C22" s="623">
        <f>+'Corp I-S&amp;B-S'!E16</f>
        <v>566.42900000000009</v>
      </c>
      <c r="D22" s="623">
        <f>+'Corp I-S&amp;B-S'!I16</f>
        <v>693.30699999999979</v>
      </c>
      <c r="E22" s="623">
        <f>+'Corp I-S&amp;B-S'!J16</f>
        <v>867.98300000000108</v>
      </c>
      <c r="F22" s="619"/>
      <c r="G22" s="594" t="s">
        <v>640</v>
      </c>
      <c r="H22" s="594"/>
      <c r="I22" s="594"/>
      <c r="J22" s="594"/>
      <c r="K22" s="624">
        <v>4.1000000000000002E-2</v>
      </c>
      <c r="L22" s="619"/>
    </row>
    <row r="23" spans="1:17" x14ac:dyDescent="0.25">
      <c r="A23" s="594" t="s">
        <v>638</v>
      </c>
      <c r="B23" s="594"/>
      <c r="C23" s="625">
        <f>+'Corp I-S&amp;B-S'!E19</f>
        <v>243.58699999999999</v>
      </c>
      <c r="D23" s="625">
        <f>+'Corp I-S&amp;B-S'!I19</f>
        <v>235</v>
      </c>
      <c r="E23" s="625">
        <f>+'Corp I-S&amp;B-S'!J19</f>
        <v>235</v>
      </c>
      <c r="F23" s="619"/>
      <c r="G23" s="594" t="s">
        <v>642</v>
      </c>
      <c r="H23" s="594"/>
      <c r="I23" s="594"/>
      <c r="J23" s="594"/>
      <c r="K23" s="624">
        <f>1.8/K19</f>
        <v>8.3955223880597007E-2</v>
      </c>
      <c r="L23" s="619"/>
    </row>
    <row r="24" spans="1:17" x14ac:dyDescent="0.25">
      <c r="A24" s="594" t="s">
        <v>104</v>
      </c>
      <c r="B24" s="594"/>
      <c r="C24" s="625">
        <f>+'Corp I-S&amp;B-S'!E25</f>
        <v>260.96800000000013</v>
      </c>
      <c r="D24" s="625">
        <f>+'Corp I-S&amp;B-S'!I25</f>
        <v>403.64100000000002</v>
      </c>
      <c r="E24" s="625">
        <f>+'Corp I-S&amp;B-S'!J25</f>
        <v>414.37212000000068</v>
      </c>
      <c r="F24" s="619"/>
      <c r="G24" s="594" t="s">
        <v>482</v>
      </c>
      <c r="H24" s="594"/>
      <c r="I24" s="594"/>
      <c r="J24" s="594"/>
      <c r="K24" s="622">
        <f>+'Corp I-S&amp;B-S'!I38*'Corp I-S&amp;B-S'!D54</f>
        <v>3405.2182499999999</v>
      </c>
      <c r="L24" s="619"/>
    </row>
    <row r="25" spans="1:17" x14ac:dyDescent="0.25">
      <c r="A25" s="594" t="s">
        <v>641</v>
      </c>
      <c r="B25" s="594"/>
      <c r="C25" s="774">
        <f>+'Corp I-S&amp;B-S'!E38</f>
        <v>158.238</v>
      </c>
      <c r="D25" s="774">
        <f>+'Corp I-S&amp;B-S'!I38</f>
        <v>158.84399999999999</v>
      </c>
      <c r="E25" s="774">
        <f>+'Corp I-S&amp;B-S'!J38</f>
        <v>158.84399999999999</v>
      </c>
      <c r="F25" s="619"/>
      <c r="G25" s="594" t="s">
        <v>645</v>
      </c>
      <c r="H25" s="594"/>
      <c r="I25" s="594"/>
      <c r="J25" s="594"/>
      <c r="K25" s="622">
        <f>+'Corp I-S&amp;B-S'!C71</f>
        <v>3549.5990000000002</v>
      </c>
      <c r="L25" s="619"/>
    </row>
    <row r="26" spans="1:17" x14ac:dyDescent="0.25">
      <c r="A26" s="594" t="s">
        <v>643</v>
      </c>
      <c r="B26" s="594"/>
      <c r="C26" s="774">
        <f>+'Corp I-S&amp;B-S'!E41</f>
        <v>159.238</v>
      </c>
      <c r="D26" s="774">
        <f>+'Corp I-S&amp;B-S'!I41</f>
        <v>159.24600000000001</v>
      </c>
      <c r="E26" s="774">
        <f>+'Corp I-S&amp;B-S'!J41</f>
        <v>159.24600000000001</v>
      </c>
      <c r="F26" s="626"/>
      <c r="G26" s="619" t="s">
        <v>647</v>
      </c>
      <c r="H26" s="594"/>
      <c r="I26" s="594"/>
      <c r="J26" s="594"/>
      <c r="K26" s="627">
        <f>+'Valuation Slide'!E18</f>
        <v>8.2385758120020114</v>
      </c>
      <c r="L26" s="594"/>
    </row>
    <row r="27" spans="1:17" x14ac:dyDescent="0.25">
      <c r="A27" s="594" t="s">
        <v>644</v>
      </c>
      <c r="B27" s="594"/>
      <c r="C27" s="621">
        <f>+'Corp I-S&amp;B-S'!E32</f>
        <v>1.9651916733022419</v>
      </c>
      <c r="D27" s="621">
        <f>+'Corp I-S&amp;B-S'!I32</f>
        <v>2.5411158117398203</v>
      </c>
      <c r="E27" s="621">
        <f>+'Corp I-S&amp;B-S'!J32</f>
        <v>2.6086734154264604</v>
      </c>
      <c r="F27" s="626"/>
      <c r="G27" s="619" t="s">
        <v>648</v>
      </c>
      <c r="H27" s="594"/>
      <c r="I27" s="594"/>
      <c r="J27" s="594"/>
      <c r="K27" s="627">
        <f>+'Valuation Slide'!E25</f>
        <v>5.6758049798551244</v>
      </c>
      <c r="L27" s="594"/>
    </row>
    <row r="28" spans="1:17" x14ac:dyDescent="0.25">
      <c r="A28" s="594" t="s">
        <v>646</v>
      </c>
      <c r="B28" s="594"/>
      <c r="C28" s="621">
        <f>+'Corp I-S&amp;B-S'!E33</f>
        <v>1.9528504502694088</v>
      </c>
      <c r="D28" s="621">
        <f>+'Corp I-S&amp;B-S'!I33</f>
        <v>2.5347010285972646</v>
      </c>
      <c r="E28" s="621">
        <f>+'Corp I-S&amp;B-S'!J33</f>
        <v>2.6020880901247168</v>
      </c>
      <c r="F28" s="594"/>
      <c r="G28" s="619"/>
      <c r="H28" s="619"/>
      <c r="I28" s="619"/>
      <c r="J28" s="619"/>
      <c r="L28" s="594"/>
    </row>
    <row r="29" spans="1:17" x14ac:dyDescent="0.25">
      <c r="A29" s="620"/>
      <c r="B29" s="620"/>
      <c r="C29" s="594"/>
      <c r="D29" s="594"/>
      <c r="E29" s="594"/>
      <c r="F29" s="594"/>
      <c r="G29" s="619"/>
      <c r="H29" s="594"/>
      <c r="I29" s="594"/>
      <c r="J29" s="594"/>
      <c r="K29" s="594"/>
      <c r="L29" s="594"/>
    </row>
    <row r="30" spans="1:17" x14ac:dyDescent="0.25">
      <c r="A30" s="594"/>
      <c r="B30" s="594"/>
      <c r="C30" s="594"/>
      <c r="D30" s="594"/>
      <c r="E30" s="594"/>
      <c r="F30" s="628"/>
      <c r="G30" s="628"/>
      <c r="H30" s="628"/>
      <c r="I30" s="628"/>
      <c r="J30" s="628"/>
      <c r="K30" s="628"/>
      <c r="L30" s="628"/>
    </row>
    <row r="31" spans="1:17" x14ac:dyDescent="0.25">
      <c r="A31" s="628"/>
      <c r="B31" s="628"/>
      <c r="C31" s="628"/>
      <c r="D31" s="628"/>
      <c r="E31" s="628"/>
      <c r="F31" s="628"/>
      <c r="G31" s="628"/>
      <c r="H31" s="628"/>
      <c r="I31" s="628"/>
      <c r="J31" s="628"/>
      <c r="K31" s="628"/>
      <c r="L31" s="628"/>
    </row>
    <row r="32" spans="1:17" x14ac:dyDescent="0.25">
      <c r="A32" s="628"/>
      <c r="B32" s="628"/>
      <c r="C32" s="628"/>
      <c r="D32" s="628"/>
      <c r="E32" s="628"/>
      <c r="F32" s="628"/>
      <c r="G32" s="628"/>
      <c r="H32" s="628"/>
      <c r="I32" s="628"/>
      <c r="J32" s="628"/>
      <c r="K32" s="628"/>
      <c r="L32" s="628"/>
    </row>
    <row r="33" spans="1:5" x14ac:dyDescent="0.25">
      <c r="A33" s="628"/>
      <c r="B33" s="628"/>
      <c r="C33" s="628"/>
      <c r="D33" s="628"/>
      <c r="E33" s="628"/>
    </row>
  </sheetData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N60"/>
  <sheetViews>
    <sheetView zoomScale="70" zoomScaleNormal="100" workbookViewId="0">
      <selection activeCell="A9" sqref="A9"/>
    </sheetView>
  </sheetViews>
  <sheetFormatPr defaultColWidth="9.109375" defaultRowHeight="13.2" x14ac:dyDescent="0.25"/>
  <cols>
    <col min="1" max="1" width="5.6640625" style="5" customWidth="1"/>
    <col min="2" max="2" width="40.33203125" style="5" bestFit="1" customWidth="1"/>
    <col min="3" max="3" width="16.6640625" style="5" customWidth="1"/>
    <col min="4" max="4" width="21.109375" style="5" customWidth="1"/>
    <col min="5" max="5" width="22.5546875" style="5" customWidth="1"/>
    <col min="6" max="6" width="20.109375" style="5" bestFit="1" customWidth="1"/>
    <col min="7" max="7" width="17.6640625" style="5" bestFit="1" customWidth="1"/>
    <col min="8" max="8" width="15.6640625" style="5" customWidth="1"/>
    <col min="9" max="9" width="20.5546875" style="5" bestFit="1" customWidth="1"/>
    <col min="10" max="10" width="17.6640625" style="5" bestFit="1" customWidth="1"/>
    <col min="11" max="11" width="19.33203125" style="5" bestFit="1" customWidth="1"/>
    <col min="12" max="12" width="12.5546875" style="5" bestFit="1" customWidth="1"/>
    <col min="13" max="13" width="17.6640625" style="5" bestFit="1" customWidth="1"/>
    <col min="14" max="16384" width="9.109375" style="5"/>
  </cols>
  <sheetData>
    <row r="1" spans="1:14" x14ac:dyDescent="0.25">
      <c r="A1" s="1" t="s">
        <v>253</v>
      </c>
    </row>
    <row r="2" spans="1:14" x14ac:dyDescent="0.25">
      <c r="C2" s="219" t="s">
        <v>261</v>
      </c>
      <c r="D2" s="219" t="s">
        <v>551</v>
      </c>
      <c r="E2" s="220" t="s">
        <v>828</v>
      </c>
      <c r="F2" s="220" t="s">
        <v>552</v>
      </c>
      <c r="G2" s="220" t="s">
        <v>842</v>
      </c>
      <c r="H2" s="219" t="s">
        <v>553</v>
      </c>
      <c r="I2" s="220" t="s">
        <v>263</v>
      </c>
      <c r="J2" s="220" t="s">
        <v>554</v>
      </c>
      <c r="K2" s="220" t="s">
        <v>767</v>
      </c>
      <c r="L2" s="308" t="s">
        <v>765</v>
      </c>
      <c r="M2" s="308" t="s">
        <v>766</v>
      </c>
    </row>
    <row r="3" spans="1:14" x14ac:dyDescent="0.25">
      <c r="B3" s="5" t="s">
        <v>839</v>
      </c>
      <c r="C3" s="221">
        <v>1174.818</v>
      </c>
      <c r="D3" s="221">
        <v>720.16800000000001</v>
      </c>
      <c r="E3" s="222">
        <f>+($D$3/$D$7)*E7</f>
        <v>435.5416526721512</v>
      </c>
      <c r="F3" s="222">
        <f>+($D$3/$D$7)*F7</f>
        <v>209.38353676170937</v>
      </c>
      <c r="G3" s="222">
        <f>+(D3/D7)*G7</f>
        <v>75.242810566139354</v>
      </c>
      <c r="H3" s="221">
        <v>460.74799999999999</v>
      </c>
      <c r="I3" s="222">
        <f>+($H$3/$H$7)*I7</f>
        <v>227.74550807112334</v>
      </c>
      <c r="J3" s="222">
        <f>+($H$3/$H$7)*J7</f>
        <v>233.00249192887668</v>
      </c>
      <c r="K3" s="222">
        <f>+I3+E3</f>
        <v>663.28716074327451</v>
      </c>
    </row>
    <row r="4" spans="1:14" x14ac:dyDescent="0.25">
      <c r="B4" s="5" t="s">
        <v>254</v>
      </c>
      <c r="C4" s="217">
        <f t="shared" ref="C4:K4" si="0">98/284</f>
        <v>0.34507042253521125</v>
      </c>
      <c r="D4" s="217">
        <f t="shared" si="0"/>
        <v>0.34507042253521125</v>
      </c>
      <c r="E4" s="217">
        <f t="shared" si="0"/>
        <v>0.34507042253521125</v>
      </c>
      <c r="F4" s="217">
        <f t="shared" si="0"/>
        <v>0.34507042253521125</v>
      </c>
      <c r="G4" s="217">
        <f t="shared" si="0"/>
        <v>0.34507042253521125</v>
      </c>
      <c r="H4" s="217">
        <f t="shared" si="0"/>
        <v>0.34507042253521125</v>
      </c>
      <c r="I4" s="217">
        <f t="shared" si="0"/>
        <v>0.34507042253521125</v>
      </c>
      <c r="J4" s="217">
        <f t="shared" si="0"/>
        <v>0.34507042253521125</v>
      </c>
      <c r="K4" s="217">
        <f t="shared" si="0"/>
        <v>0.34507042253521125</v>
      </c>
    </row>
    <row r="5" spans="1:14" x14ac:dyDescent="0.25">
      <c r="B5" s="5" t="s">
        <v>255</v>
      </c>
      <c r="C5" s="129">
        <f t="shared" ref="C5:J5" si="1">C3/C4</f>
        <v>3404.5746122448982</v>
      </c>
      <c r="D5" s="129">
        <f t="shared" si="1"/>
        <v>2087.0174693877552</v>
      </c>
      <c r="E5" s="129">
        <f t="shared" si="1"/>
        <v>1262.1819322335812</v>
      </c>
      <c r="F5" s="129">
        <f t="shared" si="1"/>
        <v>606.78494326862722</v>
      </c>
      <c r="G5" s="129">
        <f t="shared" si="1"/>
        <v>218.0505938855467</v>
      </c>
      <c r="H5" s="129">
        <f t="shared" si="1"/>
        <v>1335.2288979591838</v>
      </c>
      <c r="I5" s="129">
        <f t="shared" si="1"/>
        <v>659.99718665509215</v>
      </c>
      <c r="J5" s="129">
        <f t="shared" si="1"/>
        <v>675.23171130409162</v>
      </c>
      <c r="K5" s="222">
        <f>+I5+E5</f>
        <v>1922.1791188886732</v>
      </c>
    </row>
    <row r="6" spans="1:14" x14ac:dyDescent="0.25">
      <c r="K6" s="222">
        <f>+I6+E6</f>
        <v>0</v>
      </c>
      <c r="L6" s="882"/>
      <c r="M6" s="882"/>
    </row>
    <row r="7" spans="1:14" x14ac:dyDescent="0.25">
      <c r="B7" s="5" t="s">
        <v>256</v>
      </c>
      <c r="C7" s="221">
        <v>6168.4179999999997</v>
      </c>
      <c r="D7" s="221">
        <v>3609.5970000000002</v>
      </c>
      <c r="E7" s="222">
        <f>+D7-F7-G7</f>
        <v>2183.0043029688059</v>
      </c>
      <c r="F7" s="222">
        <f>+'Tax Basis'!F28</f>
        <v>1049.4637169999999</v>
      </c>
      <c r="G7" s="419">
        <f>+'Tax Basis'!F29</f>
        <v>377.12898003119403</v>
      </c>
      <c r="H7" s="221">
        <v>2558.8209999999999</v>
      </c>
      <c r="I7" s="222">
        <f>+H7-J7</f>
        <v>1264.8128449999997</v>
      </c>
      <c r="J7" s="419">
        <f>+'Tax Basis'!F30</f>
        <v>1294.0081550000002</v>
      </c>
      <c r="K7" s="222">
        <f>+I7+E7</f>
        <v>3447.8171479688053</v>
      </c>
      <c r="L7" s="882">
        <f>+K7*L$11</f>
        <v>3270.6035888299725</v>
      </c>
      <c r="M7" s="882">
        <f>+L7*M$11</f>
        <v>168.10500024638867</v>
      </c>
    </row>
    <row r="8" spans="1:14" ht="15" x14ac:dyDescent="0.4">
      <c r="B8" s="5" t="s">
        <v>255</v>
      </c>
      <c r="C8" s="190">
        <f t="shared" ref="C8:J8" si="2">C5</f>
        <v>3404.5746122448982</v>
      </c>
      <c r="D8" s="190">
        <f t="shared" si="2"/>
        <v>2087.0174693877552</v>
      </c>
      <c r="E8" s="190">
        <f t="shared" si="2"/>
        <v>1262.1819322335812</v>
      </c>
      <c r="F8" s="190">
        <f t="shared" si="2"/>
        <v>606.78494326862722</v>
      </c>
      <c r="G8" s="190">
        <f t="shared" si="2"/>
        <v>218.0505938855467</v>
      </c>
      <c r="H8" s="190">
        <f t="shared" si="2"/>
        <v>1335.2288979591838</v>
      </c>
      <c r="I8" s="190">
        <f t="shared" si="2"/>
        <v>659.99718665509215</v>
      </c>
      <c r="J8" s="190">
        <f t="shared" si="2"/>
        <v>675.23171130409162</v>
      </c>
      <c r="K8" s="190">
        <f>+I8+E8</f>
        <v>1922.1791188886732</v>
      </c>
      <c r="L8" s="882"/>
      <c r="M8" s="882"/>
    </row>
    <row r="9" spans="1:14" x14ac:dyDescent="0.25">
      <c r="B9" s="323" t="s">
        <v>253</v>
      </c>
      <c r="C9" s="322">
        <f t="shared" ref="C9:J9" si="3">C7-C8</f>
        <v>2763.8433877551015</v>
      </c>
      <c r="D9" s="322">
        <f t="shared" si="3"/>
        <v>1522.579530612245</v>
      </c>
      <c r="E9" s="322">
        <f t="shared" si="3"/>
        <v>920.82237073522469</v>
      </c>
      <c r="F9" s="322">
        <f t="shared" si="3"/>
        <v>442.67877373137264</v>
      </c>
      <c r="G9" s="322">
        <f t="shared" si="3"/>
        <v>159.07838614564733</v>
      </c>
      <c r="H9" s="322">
        <f t="shared" si="3"/>
        <v>1223.5921020408161</v>
      </c>
      <c r="I9" s="322">
        <f t="shared" si="3"/>
        <v>604.81565834490755</v>
      </c>
      <c r="J9" s="322">
        <f t="shared" si="3"/>
        <v>618.7764436959086</v>
      </c>
      <c r="K9" s="222">
        <f>+I9+E9</f>
        <v>1525.6380290801321</v>
      </c>
      <c r="L9" s="882">
        <f>+K9*L$11</f>
        <v>1447.222111562545</v>
      </c>
      <c r="M9" s="882">
        <f>+L9*M$11</f>
        <v>74.385435841777991</v>
      </c>
    </row>
    <row r="10" spans="1:14" x14ac:dyDescent="0.25">
      <c r="C10" s="129"/>
      <c r="D10" s="129"/>
      <c r="E10" s="129"/>
      <c r="F10" s="129"/>
      <c r="G10" s="129"/>
      <c r="H10" s="129"/>
      <c r="I10" s="129"/>
      <c r="J10" s="129"/>
      <c r="K10" s="129"/>
    </row>
    <row r="11" spans="1:14" x14ac:dyDescent="0.25">
      <c r="B11" s="5" t="s">
        <v>264</v>
      </c>
      <c r="C11" s="420">
        <v>10312.504000000001</v>
      </c>
      <c r="D11" s="224">
        <f>5837.628+431.897</f>
        <v>6269.5249999999996</v>
      </c>
      <c r="E11" s="225">
        <v>2966.7539999999999</v>
      </c>
      <c r="F11" s="223"/>
      <c r="G11" s="223"/>
      <c r="H11" s="224">
        <v>4474.8760000000002</v>
      </c>
      <c r="I11" s="172">
        <v>2228.6309999999999</v>
      </c>
      <c r="J11" s="223"/>
      <c r="K11" s="223"/>
      <c r="L11" s="338">
        <f>+'Sum of Parts-Slide'!J30/('Sum of Parts-Slide'!J30+'Sum of Parts-Slide'!J36)</f>
        <v>0.94860123042104083</v>
      </c>
      <c r="M11" s="338">
        <f>1-L11</f>
        <v>5.1398769578959169E-2</v>
      </c>
      <c r="N11" s="218">
        <v>1</v>
      </c>
    </row>
    <row r="12" spans="1:14" x14ac:dyDescent="0.25">
      <c r="B12" s="5" t="s">
        <v>265</v>
      </c>
      <c r="C12" s="172">
        <v>4206.192</v>
      </c>
      <c r="D12" s="129">
        <f>2246.188+152</f>
        <v>2398.1880000000001</v>
      </c>
      <c r="E12" s="172">
        <f>E11/C11*C12</f>
        <v>1210.0588703546684</v>
      </c>
      <c r="F12" s="129"/>
      <c r="G12" s="129"/>
      <c r="H12" s="129">
        <v>1960</v>
      </c>
      <c r="I12" s="172">
        <f>I11/C11*C12</f>
        <v>908.99842396686563</v>
      </c>
      <c r="J12" s="129"/>
      <c r="K12" s="129"/>
    </row>
    <row r="13" spans="1:14" x14ac:dyDescent="0.25">
      <c r="C13" s="172"/>
      <c r="D13" s="129"/>
      <c r="E13" s="172"/>
      <c r="F13" s="129"/>
      <c r="G13" s="129"/>
      <c r="H13" s="129"/>
      <c r="I13" s="172"/>
      <c r="J13" s="129"/>
      <c r="K13" s="129"/>
    </row>
    <row r="14" spans="1:14" x14ac:dyDescent="0.25">
      <c r="B14" s="1" t="s">
        <v>227</v>
      </c>
      <c r="C14"/>
      <c r="D14"/>
      <c r="E14" s="421"/>
      <c r="F14" s="205"/>
      <c r="H14" s="226"/>
    </row>
    <row r="15" spans="1:14" x14ac:dyDescent="0.25">
      <c r="B15" t="s">
        <v>228</v>
      </c>
      <c r="C15"/>
      <c r="D15"/>
      <c r="E15" s="421"/>
      <c r="F15"/>
    </row>
    <row r="16" spans="1:14" x14ac:dyDescent="0.25">
      <c r="C16"/>
      <c r="D16"/>
      <c r="E16" s="421"/>
      <c r="F16"/>
    </row>
    <row r="17" spans="2:6" x14ac:dyDescent="0.25">
      <c r="B17" s="3" t="s">
        <v>229</v>
      </c>
      <c r="C17"/>
      <c r="D17" s="203" t="s">
        <v>222</v>
      </c>
      <c r="E17" s="203" t="s">
        <v>223</v>
      </c>
      <c r="F17" s="203" t="s">
        <v>470</v>
      </c>
    </row>
    <row r="18" spans="2:6" x14ac:dyDescent="0.25">
      <c r="B18" s="1" t="s">
        <v>180</v>
      </c>
      <c r="C18" t="s">
        <v>182</v>
      </c>
      <c r="D18" s="172">
        <v>419.41539399999999</v>
      </c>
      <c r="E18" s="172">
        <v>1105.5495920000001</v>
      </c>
      <c r="F18" s="840">
        <f>E18+D18</f>
        <v>1524.964986</v>
      </c>
    </row>
    <row r="19" spans="2:6" x14ac:dyDescent="0.25">
      <c r="B19" s="1"/>
      <c r="C19" t="s">
        <v>183</v>
      </c>
      <c r="D19" s="172">
        <v>0</v>
      </c>
      <c r="E19" s="172">
        <v>548.00226099999998</v>
      </c>
      <c r="F19" s="840">
        <f>E19+D19</f>
        <v>548.00226099999998</v>
      </c>
    </row>
    <row r="20" spans="2:6" x14ac:dyDescent="0.25">
      <c r="B20" s="1" t="s">
        <v>177</v>
      </c>
      <c r="C20" t="s">
        <v>182</v>
      </c>
      <c r="D20" s="172">
        <v>625.82928500000003</v>
      </c>
      <c r="E20" s="172">
        <v>1385.6222580000001</v>
      </c>
      <c r="F20" s="840">
        <f>E20+D20</f>
        <v>2011.4515430000001</v>
      </c>
    </row>
    <row r="21" spans="2:6" x14ac:dyDescent="0.25">
      <c r="B21" s="1"/>
      <c r="C21"/>
      <c r="D21" s="172"/>
      <c r="E21" s="172"/>
      <c r="F21" s="840">
        <f>SUM(F18:F20)</f>
        <v>4084.4187900000002</v>
      </c>
    </row>
    <row r="22" spans="2:6" x14ac:dyDescent="0.25">
      <c r="B22" s="3" t="s">
        <v>230</v>
      </c>
      <c r="C22"/>
      <c r="D22" s="172"/>
      <c r="E22" s="172"/>
      <c r="F22" s="422"/>
    </row>
    <row r="23" spans="2:6" x14ac:dyDescent="0.25">
      <c r="B23" s="1" t="s">
        <v>180</v>
      </c>
      <c r="C23" t="s">
        <v>182</v>
      </c>
      <c r="D23" s="172">
        <v>141.35101700000001</v>
      </c>
      <c r="E23" s="172">
        <v>334.15025200000002</v>
      </c>
      <c r="F23" s="840">
        <f>E23+D23</f>
        <v>475.50126900000004</v>
      </c>
    </row>
    <row r="24" spans="2:6" x14ac:dyDescent="0.25">
      <c r="B24" s="1"/>
      <c r="C24" t="s">
        <v>183</v>
      </c>
      <c r="D24" s="172"/>
      <c r="E24" s="172"/>
      <c r="F24" s="840">
        <f>(F23/F18)*F19</f>
        <v>170.87328096880594</v>
      </c>
    </row>
    <row r="25" spans="2:6" x14ac:dyDescent="0.25">
      <c r="B25" s="1" t="s">
        <v>177</v>
      </c>
      <c r="C25" t="s">
        <v>182</v>
      </c>
      <c r="D25" s="172">
        <v>250.720035</v>
      </c>
      <c r="E25" s="172">
        <v>466.72335299999997</v>
      </c>
      <c r="F25" s="840">
        <f>E25+D25</f>
        <v>717.44338799999991</v>
      </c>
    </row>
    <row r="26" spans="2:6" x14ac:dyDescent="0.25">
      <c r="B26" s="1"/>
      <c r="C26"/>
      <c r="D26" s="172"/>
      <c r="E26" s="172"/>
      <c r="F26" s="840">
        <f>F25+F23</f>
        <v>1192.944657</v>
      </c>
    </row>
    <row r="27" spans="2:6" x14ac:dyDescent="0.25">
      <c r="B27" s="3" t="s">
        <v>547</v>
      </c>
      <c r="C27"/>
      <c r="D27" s="841">
        <f>D20+D18-D23-D25</f>
        <v>653.1736269999999</v>
      </c>
      <c r="E27" s="129">
        <f>E20+E18-E23-E25</f>
        <v>1690.2982450000004</v>
      </c>
      <c r="F27" s="422"/>
    </row>
    <row r="28" spans="2:6" x14ac:dyDescent="0.25">
      <c r="B28" s="1" t="s">
        <v>180</v>
      </c>
      <c r="C28" t="s">
        <v>182</v>
      </c>
      <c r="D28" s="841">
        <f t="shared" ref="D28:F30" si="4">+D18-D23</f>
        <v>278.06437699999998</v>
      </c>
      <c r="E28" s="841">
        <f t="shared" si="4"/>
        <v>771.39934000000005</v>
      </c>
      <c r="F28" s="841">
        <f t="shared" si="4"/>
        <v>1049.4637169999999</v>
      </c>
    </row>
    <row r="29" spans="2:6" x14ac:dyDescent="0.25">
      <c r="B29" s="1"/>
      <c r="C29" t="s">
        <v>183</v>
      </c>
      <c r="D29" s="841">
        <f t="shared" si="4"/>
        <v>0</v>
      </c>
      <c r="E29" s="841">
        <f t="shared" si="4"/>
        <v>548.00226099999998</v>
      </c>
      <c r="F29" s="841">
        <f t="shared" si="4"/>
        <v>377.12898003119403</v>
      </c>
    </row>
    <row r="30" spans="2:6" x14ac:dyDescent="0.25">
      <c r="B30" s="1" t="s">
        <v>177</v>
      </c>
      <c r="C30" t="s">
        <v>182</v>
      </c>
      <c r="D30" s="841">
        <f t="shared" si="4"/>
        <v>375.10925000000003</v>
      </c>
      <c r="E30" s="841">
        <f t="shared" si="4"/>
        <v>918.89890500000013</v>
      </c>
      <c r="F30" s="841">
        <f t="shared" si="4"/>
        <v>1294.0081550000002</v>
      </c>
    </row>
    <row r="31" spans="2:6" x14ac:dyDescent="0.25">
      <c r="B31" s="5" t="s">
        <v>555</v>
      </c>
    </row>
    <row r="33" spans="2:6" x14ac:dyDescent="0.25">
      <c r="B33" s="1" t="s">
        <v>556</v>
      </c>
      <c r="C33"/>
      <c r="D33"/>
      <c r="E33" s="421"/>
      <c r="F33"/>
    </row>
    <row r="34" spans="2:6" x14ac:dyDescent="0.25">
      <c r="B34"/>
      <c r="C34"/>
      <c r="D34"/>
      <c r="E34" s="421"/>
      <c r="F34"/>
    </row>
    <row r="35" spans="2:6" x14ac:dyDescent="0.25">
      <c r="B35" s="1" t="s">
        <v>180</v>
      </c>
      <c r="C35" s="1" t="s">
        <v>181</v>
      </c>
      <c r="D35" t="s">
        <v>182</v>
      </c>
      <c r="E35" s="421">
        <v>4806.9579999999996</v>
      </c>
      <c r="F35" s="423">
        <f>E35/E37</f>
        <v>0.85943724694474266</v>
      </c>
    </row>
    <row r="36" spans="2:6" ht="15" x14ac:dyDescent="0.4">
      <c r="B36"/>
      <c r="C36"/>
      <c r="D36" t="s">
        <v>183</v>
      </c>
      <c r="E36" s="190">
        <v>786.18799999999999</v>
      </c>
      <c r="F36" s="423">
        <f>E36/E37</f>
        <v>0.14056275305525728</v>
      </c>
    </row>
    <row r="37" spans="2:6" x14ac:dyDescent="0.25">
      <c r="B37"/>
      <c r="C37"/>
      <c r="D37"/>
      <c r="E37" s="421">
        <f>SUM(E35:E36)</f>
        <v>5593.1459999999997</v>
      </c>
      <c r="F37"/>
    </row>
    <row r="38" spans="2:6" x14ac:dyDescent="0.25">
      <c r="B38"/>
      <c r="C38"/>
      <c r="D38"/>
      <c r="E38" s="421"/>
      <c r="F38"/>
    </row>
    <row r="39" spans="2:6" ht="15" x14ac:dyDescent="0.4">
      <c r="B39"/>
      <c r="C39" s="1" t="s">
        <v>184</v>
      </c>
      <c r="D39" t="s">
        <v>185</v>
      </c>
      <c r="E39" s="190">
        <v>3755.6930000000002</v>
      </c>
      <c r="F39"/>
    </row>
    <row r="40" spans="2:6" x14ac:dyDescent="0.25">
      <c r="B40"/>
      <c r="C40"/>
      <c r="D40" t="s">
        <v>182</v>
      </c>
      <c r="E40" s="191">
        <f>E39*F35</f>
        <v>3227.7824522896417</v>
      </c>
      <c r="F40"/>
    </row>
    <row r="41" spans="2:6" x14ac:dyDescent="0.25">
      <c r="B41"/>
      <c r="C41"/>
      <c r="D41" t="s">
        <v>183</v>
      </c>
      <c r="E41" s="191">
        <f>E39*F36</f>
        <v>527.9105477103584</v>
      </c>
      <c r="F41"/>
    </row>
    <row r="42" spans="2:6" x14ac:dyDescent="0.25">
      <c r="B42"/>
      <c r="C42"/>
      <c r="D42"/>
      <c r="E42" s="421"/>
      <c r="F42"/>
    </row>
    <row r="43" spans="2:6" x14ac:dyDescent="0.25">
      <c r="B43"/>
      <c r="C43"/>
      <c r="D43"/>
      <c r="E43" s="421"/>
      <c r="F43"/>
    </row>
    <row r="44" spans="2:6" x14ac:dyDescent="0.25">
      <c r="B44" s="1" t="s">
        <v>177</v>
      </c>
      <c r="C44" s="1" t="s">
        <v>184</v>
      </c>
      <c r="D44" t="s">
        <v>185</v>
      </c>
      <c r="E44" s="191">
        <v>2614.5349999999999</v>
      </c>
      <c r="F44"/>
    </row>
    <row r="45" spans="2:6" x14ac:dyDescent="0.25">
      <c r="B45"/>
      <c r="C45"/>
      <c r="D45"/>
      <c r="E45" s="421"/>
      <c r="F45"/>
    </row>
    <row r="46" spans="2:6" x14ac:dyDescent="0.25">
      <c r="B46" s="852" t="s">
        <v>831</v>
      </c>
      <c r="C46" s="842"/>
      <c r="D46" s="843"/>
    </row>
    <row r="47" spans="2:6" x14ac:dyDescent="0.25">
      <c r="B47" s="844" t="s">
        <v>538</v>
      </c>
      <c r="C47" s="853" t="s">
        <v>837</v>
      </c>
      <c r="D47" s="854" t="s">
        <v>838</v>
      </c>
    </row>
    <row r="48" spans="2:6" x14ac:dyDescent="0.25">
      <c r="B48" s="844" t="s">
        <v>832</v>
      </c>
      <c r="C48" s="846">
        <v>4875.6329999999998</v>
      </c>
      <c r="D48" s="847">
        <f>C48+C48/($C$48+$C$49)*$C$50</f>
        <v>5037.4030893485333</v>
      </c>
    </row>
    <row r="49" spans="2:4" x14ac:dyDescent="0.25">
      <c r="B49" s="844" t="s">
        <v>833</v>
      </c>
      <c r="C49" s="846">
        <v>824.42700000000002</v>
      </c>
      <c r="D49" s="847">
        <f>C49+C49/($C$48+$C$49)*$C$50</f>
        <v>851.7809106514668</v>
      </c>
    </row>
    <row r="50" spans="2:4" x14ac:dyDescent="0.25">
      <c r="B50" s="844" t="s">
        <v>834</v>
      </c>
      <c r="C50" s="846">
        <v>189.124</v>
      </c>
      <c r="D50" s="848"/>
    </row>
    <row r="51" spans="2:4" x14ac:dyDescent="0.25">
      <c r="B51" s="844" t="s">
        <v>835</v>
      </c>
      <c r="C51" s="846">
        <v>-2279.587</v>
      </c>
      <c r="D51" s="847">
        <v>-2279.587</v>
      </c>
    </row>
    <row r="52" spans="2:4" x14ac:dyDescent="0.25">
      <c r="B52" s="844" t="s">
        <v>836</v>
      </c>
      <c r="C52" s="846">
        <f>SUM(C48:C51)</f>
        <v>3609.5969999999993</v>
      </c>
      <c r="D52" s="847">
        <f>SUM(D48:D51)</f>
        <v>3609.5970000000002</v>
      </c>
    </row>
    <row r="53" spans="2:4" x14ac:dyDescent="0.25">
      <c r="B53" s="844"/>
      <c r="C53" s="846"/>
      <c r="D53" s="847"/>
    </row>
    <row r="54" spans="2:4" x14ac:dyDescent="0.25">
      <c r="B54" s="844" t="s">
        <v>177</v>
      </c>
      <c r="C54" s="84" t="s">
        <v>837</v>
      </c>
      <c r="D54" s="845"/>
    </row>
    <row r="55" spans="2:4" x14ac:dyDescent="0.25">
      <c r="B55" s="844" t="s">
        <v>832</v>
      </c>
      <c r="C55" s="846">
        <v>4539.1109999999999</v>
      </c>
      <c r="D55" s="847"/>
    </row>
    <row r="56" spans="2:4" x14ac:dyDescent="0.25">
      <c r="B56" s="844" t="s">
        <v>835</v>
      </c>
      <c r="C56" s="846">
        <v>-1980.29</v>
      </c>
      <c r="D56" s="847"/>
    </row>
    <row r="57" spans="2:4" x14ac:dyDescent="0.25">
      <c r="B57" s="844" t="s">
        <v>836</v>
      </c>
      <c r="C57" s="846">
        <f>SUM(C55:C56)</f>
        <v>2558.8209999999999</v>
      </c>
      <c r="D57" s="847"/>
    </row>
    <row r="58" spans="2:4" x14ac:dyDescent="0.25">
      <c r="B58" s="849"/>
      <c r="C58" s="850"/>
      <c r="D58" s="851"/>
    </row>
    <row r="60" spans="2:4" x14ac:dyDescent="0.25">
      <c r="B60" s="844" t="s">
        <v>840</v>
      </c>
      <c r="C60" s="840">
        <f>C52+C57</f>
        <v>6168.4179999999997</v>
      </c>
      <c r="D60" s="840">
        <f>D52+C57</f>
        <v>6168.4179999999997</v>
      </c>
    </row>
  </sheetData>
  <pageMargins left="0.75" right="0.75" top="1" bottom="1" header="0.5" footer="0.5"/>
  <pageSetup scale="48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57"/>
  <sheetViews>
    <sheetView tabSelected="1" view="pageBreakPreview" zoomScale="75" zoomScaleNormal="75" zoomScaleSheetLayoutView="75" workbookViewId="0">
      <selection activeCell="M41" sqref="M41"/>
    </sheetView>
  </sheetViews>
  <sheetFormatPr defaultColWidth="9.109375" defaultRowHeight="13.2" x14ac:dyDescent="0.25"/>
  <cols>
    <col min="1" max="1" width="2.5546875" style="613" customWidth="1"/>
    <col min="2" max="2" width="20" style="613" customWidth="1"/>
    <col min="3" max="3" width="12.88671875" style="613" customWidth="1"/>
    <col min="4" max="4" width="9.109375" style="613"/>
    <col min="5" max="5" width="4.6640625" style="613" customWidth="1"/>
    <col min="6" max="6" width="5.5546875" style="613" customWidth="1"/>
    <col min="7" max="7" width="4.109375" style="613" customWidth="1"/>
    <col min="8" max="8" width="7.44140625" style="613" customWidth="1"/>
    <col min="9" max="9" width="6" style="613" customWidth="1"/>
    <col min="10" max="10" width="11.88671875" style="613" customWidth="1"/>
    <col min="11" max="11" width="7.5546875" style="613" customWidth="1"/>
    <col min="12" max="12" width="14.5546875" style="613" customWidth="1"/>
    <col min="13" max="13" width="13.6640625" style="613" bestFit="1" customWidth="1"/>
    <col min="14" max="14" width="9.88671875" style="613" customWidth="1"/>
    <col min="15" max="15" width="11.109375" style="613" bestFit="1" customWidth="1"/>
    <col min="16" max="16384" width="9.109375" style="613"/>
  </cols>
  <sheetData>
    <row r="1" spans="1:22" ht="17.399999999999999" x14ac:dyDescent="0.3">
      <c r="A1" s="593" t="s">
        <v>651</v>
      </c>
      <c r="B1" s="595"/>
      <c r="C1" s="595"/>
      <c r="D1" s="595"/>
      <c r="E1" s="594"/>
      <c r="F1" s="594"/>
      <c r="G1" s="594"/>
      <c r="H1" s="594"/>
      <c r="I1" s="594"/>
      <c r="J1" s="594"/>
      <c r="K1" s="594"/>
      <c r="L1" s="594"/>
      <c r="M1" s="594"/>
      <c r="N1" s="594"/>
      <c r="O1" s="594"/>
    </row>
    <row r="2" spans="1:22" x14ac:dyDescent="0.25">
      <c r="A2" s="595" t="s">
        <v>17</v>
      </c>
      <c r="B2" s="595"/>
      <c r="C2" s="595"/>
      <c r="D2" s="595"/>
      <c r="E2" s="594"/>
      <c r="F2" s="594"/>
      <c r="G2" s="594"/>
      <c r="H2" s="594"/>
      <c r="I2" s="594"/>
      <c r="J2" s="594"/>
      <c r="K2" s="594"/>
      <c r="L2" s="594"/>
      <c r="M2" s="594"/>
      <c r="N2" s="594"/>
      <c r="O2" s="594"/>
    </row>
    <row r="3" spans="1:22" ht="15.6" x14ac:dyDescent="0.3">
      <c r="A3" s="666"/>
      <c r="B3" s="667"/>
      <c r="C3" s="667"/>
      <c r="D3" s="667"/>
      <c r="E3" s="667"/>
      <c r="F3" s="595"/>
      <c r="G3" s="595"/>
      <c r="H3" s="595"/>
      <c r="I3" s="595"/>
      <c r="J3" s="668"/>
      <c r="K3" s="594"/>
      <c r="L3" s="594"/>
      <c r="M3" s="594"/>
      <c r="N3" s="594"/>
      <c r="O3" s="594"/>
    </row>
    <row r="4" spans="1:22" ht="15.6" x14ac:dyDescent="0.3">
      <c r="A4" s="787"/>
      <c r="B4" s="595"/>
      <c r="C4" s="788"/>
      <c r="D4" s="788"/>
      <c r="E4" s="788"/>
      <c r="F4" s="788"/>
      <c r="G4" s="788"/>
      <c r="H4" s="789"/>
      <c r="I4" s="789"/>
      <c r="J4" s="940" t="s">
        <v>799</v>
      </c>
      <c r="K4" s="940"/>
      <c r="L4" s="940"/>
      <c r="M4" s="940" t="s">
        <v>800</v>
      </c>
      <c r="N4" s="940"/>
      <c r="O4" s="940"/>
    </row>
    <row r="5" spans="1:22" ht="20.25" customHeight="1" thickBot="1" x14ac:dyDescent="0.35">
      <c r="A5" s="669" t="s">
        <v>826</v>
      </c>
      <c r="B5" s="670"/>
      <c r="C5" s="670"/>
      <c r="D5" s="790" t="s">
        <v>801</v>
      </c>
      <c r="E5" s="670"/>
      <c r="F5" s="939" t="s">
        <v>126</v>
      </c>
      <c r="G5" s="939"/>
      <c r="H5" s="939"/>
      <c r="I5" s="939" t="s">
        <v>802</v>
      </c>
      <c r="J5" s="939"/>
      <c r="K5" s="939"/>
      <c r="L5" s="939"/>
      <c r="M5" s="939" t="s">
        <v>128</v>
      </c>
      <c r="N5" s="939"/>
      <c r="O5" s="939"/>
    </row>
    <row r="6" spans="1:22" ht="12" customHeight="1" x14ac:dyDescent="0.3">
      <c r="A6" s="595"/>
      <c r="B6" s="668"/>
      <c r="C6" s="668"/>
      <c r="D6" s="855"/>
      <c r="E6" s="668"/>
      <c r="F6" s="668"/>
      <c r="G6" s="668"/>
      <c r="H6" s="668"/>
      <c r="I6" s="668"/>
      <c r="J6" s="668"/>
      <c r="K6" s="668"/>
      <c r="L6" s="668"/>
      <c r="M6" s="668"/>
      <c r="N6" s="668"/>
      <c r="O6" s="668"/>
    </row>
    <row r="7" spans="1:22" x14ac:dyDescent="0.25">
      <c r="A7" s="594"/>
      <c r="B7" s="618" t="s">
        <v>820</v>
      </c>
      <c r="C7" s="594"/>
      <c r="D7" s="681"/>
      <c r="E7" s="594"/>
      <c r="F7" s="594"/>
      <c r="G7" s="594"/>
      <c r="H7" s="594"/>
      <c r="I7" s="594"/>
      <c r="J7" s="676"/>
      <c r="K7" s="675"/>
      <c r="L7" s="676"/>
      <c r="M7" s="799"/>
      <c r="N7" s="673"/>
      <c r="O7" s="673"/>
    </row>
    <row r="8" spans="1:22" x14ac:dyDescent="0.25">
      <c r="A8" s="594"/>
      <c r="B8" s="712" t="s">
        <v>818</v>
      </c>
      <c r="C8" s="594"/>
      <c r="D8" s="700">
        <f>'Net PPE'!D12</f>
        <v>2592.2440000000001</v>
      </c>
      <c r="E8" s="594"/>
      <c r="F8" s="682">
        <v>1</v>
      </c>
      <c r="G8" s="671" t="s">
        <v>119</v>
      </c>
      <c r="H8" s="682">
        <v>1.2</v>
      </c>
      <c r="I8" s="594"/>
      <c r="J8" s="674">
        <f>+D8*F8</f>
        <v>2592.2440000000001</v>
      </c>
      <c r="K8" s="594" t="s">
        <v>119</v>
      </c>
      <c r="L8" s="674">
        <f>+D8*H8</f>
        <v>3110.6928000000003</v>
      </c>
      <c r="M8" s="799"/>
      <c r="N8" s="673"/>
      <c r="O8" s="673"/>
    </row>
    <row r="9" spans="1:22" ht="15.6" x14ac:dyDescent="0.25">
      <c r="A9" s="594"/>
      <c r="B9" s="712" t="s">
        <v>830</v>
      </c>
      <c r="C9" s="594"/>
      <c r="D9" s="885">
        <v>1047.5999999999999</v>
      </c>
      <c r="E9" s="594"/>
      <c r="F9" s="876">
        <v>1.5</v>
      </c>
      <c r="G9" s="671" t="s">
        <v>119</v>
      </c>
      <c r="H9" s="876">
        <v>1.75</v>
      </c>
      <c r="I9" s="594"/>
      <c r="J9" s="674">
        <f>+D9*F9</f>
        <v>1571.3999999999999</v>
      </c>
      <c r="K9" s="594" t="s">
        <v>119</v>
      </c>
      <c r="L9" s="674">
        <f>+D9*H9</f>
        <v>1833.2999999999997</v>
      </c>
    </row>
    <row r="10" spans="1:22" x14ac:dyDescent="0.25">
      <c r="A10" s="594"/>
      <c r="B10" s="712" t="s">
        <v>888</v>
      </c>
      <c r="C10" s="594"/>
      <c r="D10" s="885">
        <v>134.9</v>
      </c>
      <c r="E10" s="594"/>
      <c r="F10" s="682">
        <v>12</v>
      </c>
      <c r="G10" s="688" t="s">
        <v>119</v>
      </c>
      <c r="H10" s="682">
        <v>14</v>
      </c>
      <c r="I10" s="594"/>
      <c r="J10" s="674">
        <f>+D10*F10</f>
        <v>1618.8000000000002</v>
      </c>
      <c r="K10" s="594" t="s">
        <v>119</v>
      </c>
      <c r="L10" s="674">
        <f>+D10*H10</f>
        <v>1888.6000000000001</v>
      </c>
      <c r="M10" s="794"/>
      <c r="N10" s="795"/>
      <c r="O10" s="794"/>
    </row>
    <row r="11" spans="1:22" x14ac:dyDescent="0.25">
      <c r="A11" s="594"/>
      <c r="B11" s="712" t="s">
        <v>889</v>
      </c>
      <c r="C11" s="594"/>
      <c r="D11" s="885">
        <v>351.2</v>
      </c>
      <c r="E11" s="594"/>
      <c r="F11" s="682">
        <v>7</v>
      </c>
      <c r="G11" s="688" t="s">
        <v>119</v>
      </c>
      <c r="H11" s="682">
        <v>8</v>
      </c>
      <c r="I11" s="594"/>
      <c r="J11" s="674">
        <f>+D11*F11</f>
        <v>2458.4</v>
      </c>
      <c r="K11" s="594" t="s">
        <v>119</v>
      </c>
      <c r="L11" s="674">
        <f>+D11*H11</f>
        <v>2809.6</v>
      </c>
      <c r="M11" s="794">
        <v>1400</v>
      </c>
      <c r="N11" s="795" t="s">
        <v>119</v>
      </c>
      <c r="O11" s="794">
        <v>1550</v>
      </c>
    </row>
    <row r="12" spans="1:22" ht="9.75" customHeight="1" thickBot="1" x14ac:dyDescent="0.35">
      <c r="A12" s="595"/>
      <c r="B12" s="668"/>
      <c r="C12" s="668"/>
      <c r="D12" s="855"/>
      <c r="E12" s="668"/>
      <c r="F12" s="668"/>
      <c r="G12" s="668"/>
      <c r="H12" s="668"/>
      <c r="I12" s="668"/>
      <c r="J12" s="668"/>
      <c r="K12" s="668"/>
      <c r="L12" s="668"/>
      <c r="M12" s="668"/>
      <c r="N12" s="668"/>
      <c r="O12" s="668"/>
      <c r="Q12" s="859"/>
      <c r="R12" s="859"/>
      <c r="S12" s="859"/>
      <c r="T12" s="859"/>
      <c r="U12" s="859"/>
      <c r="V12" s="859"/>
    </row>
    <row r="13" spans="1:22" ht="15.6" x14ac:dyDescent="0.3">
      <c r="A13" s="595"/>
      <c r="B13" s="887" t="s">
        <v>891</v>
      </c>
      <c r="C13" s="668"/>
      <c r="D13" s="855"/>
      <c r="E13" s="668"/>
      <c r="F13" s="668"/>
      <c r="G13" s="668"/>
      <c r="H13" s="668"/>
      <c r="I13" s="668"/>
      <c r="J13" s="668"/>
      <c r="K13" s="668"/>
      <c r="L13" s="668"/>
      <c r="M13" s="668"/>
      <c r="N13" s="668"/>
      <c r="O13" s="668"/>
      <c r="Q13" s="869" t="s">
        <v>538</v>
      </c>
      <c r="R13" s="856"/>
      <c r="S13" s="856"/>
      <c r="T13" s="856"/>
      <c r="U13" s="856"/>
      <c r="V13" s="857"/>
    </row>
    <row r="14" spans="1:22" ht="15.6" x14ac:dyDescent="0.3">
      <c r="A14" s="595"/>
      <c r="B14" s="712" t="s">
        <v>818</v>
      </c>
      <c r="C14" s="668"/>
      <c r="D14" s="700">
        <f>'Net PPE'!D7</f>
        <v>3252.2</v>
      </c>
      <c r="E14" s="594"/>
      <c r="F14" s="682">
        <v>1</v>
      </c>
      <c r="G14" s="671" t="s">
        <v>119</v>
      </c>
      <c r="H14" s="682">
        <v>1.2</v>
      </c>
      <c r="I14" s="594"/>
      <c r="J14" s="674">
        <f>+D14*F14</f>
        <v>3252.2</v>
      </c>
      <c r="K14" s="594" t="s">
        <v>119</v>
      </c>
      <c r="L14" s="674">
        <f>+D14*H14</f>
        <v>3902.6399999999994</v>
      </c>
      <c r="M14" s="799"/>
      <c r="N14" s="673"/>
      <c r="O14" s="673"/>
      <c r="Q14" s="858">
        <v>3609.5970000000002</v>
      </c>
      <c r="R14" s="859" t="s">
        <v>843</v>
      </c>
      <c r="S14" s="859"/>
      <c r="T14" s="859"/>
      <c r="U14" s="859"/>
      <c r="V14" s="860"/>
    </row>
    <row r="15" spans="1:22" ht="14.25" customHeight="1" x14ac:dyDescent="0.3">
      <c r="A15" s="595"/>
      <c r="B15" s="712" t="s">
        <v>830</v>
      </c>
      <c r="C15" s="668"/>
      <c r="D15" s="885">
        <v>1687.1</v>
      </c>
      <c r="E15" s="594"/>
      <c r="F15" s="876">
        <v>1.5</v>
      </c>
      <c r="G15" s="671" t="s">
        <v>119</v>
      </c>
      <c r="H15" s="876">
        <v>1.75</v>
      </c>
      <c r="I15" s="594"/>
      <c r="J15" s="674">
        <f>+D15*F15</f>
        <v>2530.6499999999996</v>
      </c>
      <c r="K15" s="594" t="s">
        <v>119</v>
      </c>
      <c r="L15" s="674">
        <f>+D15*H15</f>
        <v>2952.4249999999997</v>
      </c>
      <c r="Q15" s="861"/>
      <c r="R15" s="859"/>
      <c r="S15" s="859"/>
      <c r="T15" s="859"/>
      <c r="U15" s="859"/>
      <c r="V15" s="860"/>
    </row>
    <row r="16" spans="1:22" ht="15.6" x14ac:dyDescent="0.3">
      <c r="A16" s="595"/>
      <c r="B16" s="712" t="s">
        <v>888</v>
      </c>
      <c r="C16" s="668"/>
      <c r="D16" s="885">
        <v>287.29599999999999</v>
      </c>
      <c r="E16" s="594"/>
      <c r="F16" s="682">
        <v>12</v>
      </c>
      <c r="G16" s="688" t="s">
        <v>119</v>
      </c>
      <c r="H16" s="682">
        <v>14</v>
      </c>
      <c r="I16" s="594"/>
      <c r="J16" s="674">
        <f>+D16*F16</f>
        <v>3447.5519999999997</v>
      </c>
      <c r="K16" s="594" t="s">
        <v>119</v>
      </c>
      <c r="L16" s="674">
        <f>+D16*H16</f>
        <v>4022.1439999999998</v>
      </c>
      <c r="M16" s="794"/>
      <c r="N16" s="795"/>
      <c r="O16" s="794"/>
      <c r="Q16" s="861">
        <f>Q17*Q14</f>
        <v>1515.5049939265659</v>
      </c>
      <c r="R16" s="859" t="s">
        <v>827</v>
      </c>
      <c r="S16" s="859"/>
      <c r="T16" s="859"/>
      <c r="U16" s="859"/>
      <c r="V16" s="860"/>
    </row>
    <row r="17" spans="1:22" x14ac:dyDescent="0.25">
      <c r="A17" s="594"/>
      <c r="B17" s="712" t="s">
        <v>889</v>
      </c>
      <c r="C17" s="594"/>
      <c r="D17" s="885">
        <v>811.2</v>
      </c>
      <c r="E17" s="594"/>
      <c r="F17" s="682">
        <v>7</v>
      </c>
      <c r="G17" s="688" t="s">
        <v>119</v>
      </c>
      <c r="H17" s="682">
        <v>8</v>
      </c>
      <c r="I17" s="594"/>
      <c r="J17" s="674">
        <f>+D17*F17</f>
        <v>5678.4000000000005</v>
      </c>
      <c r="K17" s="594" t="s">
        <v>119</v>
      </c>
      <c r="L17" s="674">
        <f>+D17*H17</f>
        <v>6489.6</v>
      </c>
      <c r="M17" s="794">
        <v>4500</v>
      </c>
      <c r="N17" s="795" t="s">
        <v>119</v>
      </c>
      <c r="O17" s="794">
        <v>5500</v>
      </c>
      <c r="Q17" s="862">
        <f>Q19/Q20</f>
        <v>0.41985434770877911</v>
      </c>
      <c r="R17" s="859"/>
      <c r="S17" s="859"/>
      <c r="T17" s="859"/>
      <c r="U17" s="859"/>
      <c r="V17" s="860"/>
    </row>
    <row r="18" spans="1:22" ht="15" customHeight="1" x14ac:dyDescent="0.3">
      <c r="A18" s="594"/>
      <c r="B18" s="668"/>
      <c r="C18" s="594"/>
      <c r="D18" s="594"/>
      <c r="E18" s="594"/>
      <c r="F18" s="594"/>
      <c r="G18" s="594"/>
      <c r="H18" s="594"/>
      <c r="I18" s="594"/>
      <c r="J18" s="594"/>
      <c r="K18" s="594"/>
      <c r="L18" s="594"/>
      <c r="M18" s="594"/>
      <c r="N18" s="594"/>
      <c r="O18" s="594"/>
      <c r="Q18" s="865"/>
      <c r="R18" s="859"/>
      <c r="S18" s="859"/>
      <c r="T18" s="859"/>
      <c r="U18" s="859"/>
      <c r="V18" s="860"/>
    </row>
    <row r="19" spans="1:22" ht="18" customHeight="1" x14ac:dyDescent="0.3">
      <c r="A19" s="595"/>
      <c r="B19" s="887" t="s">
        <v>890</v>
      </c>
      <c r="C19" s="668"/>
      <c r="D19" s="594"/>
      <c r="E19" s="594"/>
      <c r="F19" s="594"/>
      <c r="G19" s="594"/>
      <c r="H19" s="594"/>
      <c r="I19" s="594"/>
      <c r="J19" s="594"/>
      <c r="K19" s="594"/>
      <c r="L19" s="594"/>
      <c r="M19" s="594"/>
      <c r="N19" s="594"/>
      <c r="O19" s="594"/>
      <c r="Q19" s="858">
        <v>1525</v>
      </c>
      <c r="R19" s="859" t="s">
        <v>844</v>
      </c>
      <c r="S19" s="859"/>
      <c r="T19" s="859"/>
      <c r="U19" s="859"/>
      <c r="V19" s="860"/>
    </row>
    <row r="20" spans="1:22" ht="13.8" thickBot="1" x14ac:dyDescent="0.3">
      <c r="A20" s="594"/>
      <c r="B20" s="886" t="s">
        <v>823</v>
      </c>
      <c r="C20" s="594"/>
      <c r="D20" s="594"/>
      <c r="E20" s="594"/>
      <c r="F20" s="594"/>
      <c r="G20" s="594"/>
      <c r="H20" s="594"/>
      <c r="I20" s="594"/>
      <c r="J20" s="594"/>
      <c r="K20" s="594"/>
      <c r="L20" s="594"/>
      <c r="M20" s="594"/>
      <c r="N20" s="594"/>
      <c r="O20" s="594"/>
      <c r="Q20" s="866">
        <v>3632.212</v>
      </c>
      <c r="R20" s="867" t="s">
        <v>845</v>
      </c>
      <c r="S20" s="867"/>
      <c r="T20" s="867"/>
      <c r="U20" s="867"/>
      <c r="V20" s="868"/>
    </row>
    <row r="21" spans="1:22" x14ac:dyDescent="0.25">
      <c r="A21" s="594"/>
      <c r="B21" s="712" t="s">
        <v>819</v>
      </c>
      <c r="C21" s="594"/>
      <c r="D21" s="700">
        <f>+'Segment Fin Proj'!P112</f>
        <v>101.72876486385822</v>
      </c>
      <c r="E21" s="594"/>
      <c r="F21" s="682">
        <v>7.5</v>
      </c>
      <c r="G21" s="671"/>
      <c r="H21" s="682">
        <v>9</v>
      </c>
      <c r="I21" s="594"/>
      <c r="J21" s="674">
        <f>+D21*F21</f>
        <v>762.96573647893661</v>
      </c>
      <c r="K21" s="594" t="s">
        <v>119</v>
      </c>
      <c r="L21" s="674">
        <f>+D21*H21</f>
        <v>915.55888377472399</v>
      </c>
      <c r="M21" s="799">
        <v>750</v>
      </c>
      <c r="N21" s="796" t="s">
        <v>119</v>
      </c>
      <c r="O21" s="889">
        <v>900</v>
      </c>
    </row>
    <row r="22" spans="1:22" ht="15.6" x14ac:dyDescent="0.3">
      <c r="A22" s="595"/>
      <c r="B22" s="668"/>
      <c r="C22" s="668"/>
      <c r="D22" s="855"/>
      <c r="E22" s="668"/>
      <c r="F22" s="668"/>
      <c r="G22" s="668"/>
      <c r="H22" s="668"/>
      <c r="I22" s="668"/>
      <c r="J22" s="668"/>
      <c r="K22" s="668"/>
      <c r="L22" s="668"/>
      <c r="M22" s="890"/>
      <c r="N22" s="890"/>
      <c r="O22" s="890"/>
    </row>
    <row r="23" spans="1:22" ht="15.6" x14ac:dyDescent="0.3">
      <c r="A23" s="619"/>
      <c r="B23" s="886" t="s">
        <v>821</v>
      </c>
      <c r="C23" s="668"/>
      <c r="D23" s="594"/>
      <c r="E23" s="594"/>
      <c r="F23" s="594"/>
      <c r="G23" s="594"/>
      <c r="H23" s="594"/>
      <c r="I23" s="594"/>
      <c r="J23" s="672"/>
      <c r="K23" s="671"/>
      <c r="L23" s="672"/>
      <c r="M23" s="798"/>
      <c r="N23" s="673"/>
      <c r="O23" s="673"/>
    </row>
    <row r="24" spans="1:22" ht="15.6" x14ac:dyDescent="0.25">
      <c r="A24" s="594"/>
      <c r="B24" s="712" t="s">
        <v>825</v>
      </c>
      <c r="C24" s="594"/>
      <c r="D24" s="700">
        <f>Q16</f>
        <v>1515.5049939265659</v>
      </c>
      <c r="E24" s="594"/>
      <c r="F24" s="682">
        <v>1.1000000000000001</v>
      </c>
      <c r="G24" s="671" t="s">
        <v>119</v>
      </c>
      <c r="H24" s="682">
        <v>1.2</v>
      </c>
      <c r="I24" s="594"/>
      <c r="J24" s="674">
        <f>+D24*F24</f>
        <v>1667.0554933192227</v>
      </c>
      <c r="K24" s="594" t="s">
        <v>119</v>
      </c>
      <c r="L24" s="674">
        <f>+D24*H24</f>
        <v>1818.605992711879</v>
      </c>
      <c r="M24" s="799">
        <v>1600</v>
      </c>
      <c r="N24" s="796" t="s">
        <v>119</v>
      </c>
      <c r="O24" s="889">
        <v>1800</v>
      </c>
    </row>
    <row r="25" spans="1:22" ht="15.6" x14ac:dyDescent="0.3">
      <c r="A25" s="594"/>
      <c r="B25" s="668"/>
      <c r="C25" s="594"/>
      <c r="D25" s="594"/>
      <c r="E25" s="594"/>
      <c r="F25" s="594"/>
      <c r="G25" s="594"/>
      <c r="H25" s="594"/>
      <c r="I25" s="594"/>
      <c r="J25" s="594"/>
      <c r="K25" s="594"/>
      <c r="L25" s="594"/>
      <c r="M25" s="594"/>
      <c r="N25" s="594"/>
      <c r="O25" s="594"/>
    </row>
    <row r="26" spans="1:22" x14ac:dyDescent="0.25">
      <c r="A26" s="594"/>
      <c r="B26" s="886" t="s">
        <v>822</v>
      </c>
      <c r="C26" s="594"/>
      <c r="D26" s="594"/>
      <c r="E26" s="594"/>
      <c r="F26" s="594"/>
      <c r="G26" s="594"/>
      <c r="H26" s="594"/>
      <c r="I26" s="594"/>
      <c r="J26" s="594"/>
      <c r="K26" s="594"/>
      <c r="L26" s="594"/>
      <c r="M26" s="594"/>
      <c r="N26" s="594"/>
      <c r="O26" s="594"/>
    </row>
    <row r="27" spans="1:22" x14ac:dyDescent="0.25">
      <c r="A27" s="594"/>
      <c r="B27" s="809" t="s">
        <v>805</v>
      </c>
      <c r="C27" s="594"/>
      <c r="D27" s="594"/>
      <c r="E27" s="594"/>
      <c r="F27" s="594"/>
      <c r="G27" s="594"/>
      <c r="H27" s="594"/>
      <c r="I27" s="594"/>
      <c r="J27" s="594"/>
      <c r="K27" s="594"/>
      <c r="L27" s="594"/>
      <c r="M27" s="594"/>
      <c r="N27" s="594"/>
      <c r="O27" s="594"/>
    </row>
    <row r="28" spans="1:22" x14ac:dyDescent="0.25">
      <c r="A28" s="594"/>
      <c r="B28" s="712" t="s">
        <v>718</v>
      </c>
      <c r="C28" s="594"/>
      <c r="D28" s="608">
        <f>'New Powerdat Asset info'!M21</f>
        <v>9458.41</v>
      </c>
      <c r="E28" s="594"/>
      <c r="F28" s="701">
        <v>600</v>
      </c>
      <c r="G28" s="671" t="s">
        <v>119</v>
      </c>
      <c r="H28" s="701">
        <v>800</v>
      </c>
      <c r="I28" s="594"/>
      <c r="J28" s="674">
        <f>+D28*F28/1000</f>
        <v>5675.0460000000003</v>
      </c>
      <c r="K28" s="594"/>
      <c r="L28" s="674">
        <f>+D28*H28/1000</f>
        <v>7566.7280000000001</v>
      </c>
      <c r="M28" s="594"/>
      <c r="N28" s="675"/>
      <c r="O28" s="594"/>
    </row>
    <row r="29" spans="1:22" ht="15" x14ac:dyDescent="0.4">
      <c r="A29" s="594"/>
      <c r="B29" s="712" t="s">
        <v>720</v>
      </c>
      <c r="C29" s="594"/>
      <c r="D29" s="818">
        <f>+'New Powerdat Asset info'!M40</f>
        <v>45</v>
      </c>
      <c r="E29" s="594"/>
      <c r="F29" s="673">
        <v>150</v>
      </c>
      <c r="G29" s="671" t="s">
        <v>119</v>
      </c>
      <c r="H29" s="673">
        <v>250</v>
      </c>
      <c r="I29" s="594"/>
      <c r="J29" s="800">
        <f>+D29*F29/1000</f>
        <v>6.75</v>
      </c>
      <c r="K29" s="801">
        <f>+AVERAGE(J29,L29)</f>
        <v>9</v>
      </c>
      <c r="L29" s="800">
        <f>+D29*H29/1000</f>
        <v>11.25</v>
      </c>
      <c r="M29" s="594"/>
      <c r="N29" s="594"/>
      <c r="O29" s="594"/>
    </row>
    <row r="30" spans="1:22" x14ac:dyDescent="0.25">
      <c r="A30" s="594"/>
      <c r="B30" s="712" t="s">
        <v>829</v>
      </c>
      <c r="C30" s="594"/>
      <c r="D30" s="608">
        <f>+SUM(D28:D29)</f>
        <v>9503.41</v>
      </c>
      <c r="E30" s="594"/>
      <c r="F30" s="673"/>
      <c r="G30" s="673"/>
      <c r="H30" s="673"/>
      <c r="I30" s="594"/>
      <c r="J30" s="674">
        <f>+SUM(J29+J28)</f>
        <v>5681.7960000000003</v>
      </c>
      <c r="K30" s="675"/>
      <c r="L30" s="674">
        <f>+SUM(L29+L28)</f>
        <v>7577.9780000000001</v>
      </c>
      <c r="M30" s="799">
        <v>5600</v>
      </c>
      <c r="N30" s="796" t="s">
        <v>119</v>
      </c>
      <c r="O30" s="889">
        <v>7500</v>
      </c>
    </row>
    <row r="31" spans="1:22" x14ac:dyDescent="0.25">
      <c r="A31" s="594"/>
      <c r="B31" s="614"/>
      <c r="C31" s="594"/>
      <c r="D31" s="696"/>
      <c r="E31" s="596"/>
      <c r="F31" s="678"/>
      <c r="G31" s="678"/>
      <c r="H31" s="678"/>
      <c r="I31" s="594"/>
      <c r="J31" s="679"/>
      <c r="K31" s="702"/>
      <c r="L31" s="594"/>
      <c r="M31" s="891"/>
      <c r="N31" s="796"/>
      <c r="O31" s="889"/>
    </row>
    <row r="32" spans="1:22" x14ac:dyDescent="0.25">
      <c r="A32" s="594"/>
      <c r="B32" s="810" t="s">
        <v>806</v>
      </c>
      <c r="C32" s="594"/>
      <c r="D32" s="696"/>
      <c r="E32" s="596"/>
      <c r="F32" s="678"/>
      <c r="G32" s="678"/>
      <c r="H32" s="678"/>
      <c r="I32" s="596"/>
      <c r="J32" s="677"/>
      <c r="K32" s="680"/>
      <c r="L32" s="677"/>
      <c r="M32" s="798"/>
      <c r="N32" s="673"/>
      <c r="O32" s="673"/>
    </row>
    <row r="33" spans="1:15" x14ac:dyDescent="0.25">
      <c r="A33" s="594"/>
      <c r="B33" s="712" t="s">
        <v>718</v>
      </c>
      <c r="C33" s="594"/>
      <c r="D33" s="608"/>
      <c r="E33" s="594"/>
      <c r="F33" s="701">
        <v>600</v>
      </c>
      <c r="G33" s="671" t="s">
        <v>119</v>
      </c>
      <c r="H33" s="701">
        <v>800</v>
      </c>
      <c r="I33" s="594"/>
      <c r="J33" s="674">
        <f>+D33*F33/1000</f>
        <v>0</v>
      </c>
      <c r="K33" s="675"/>
      <c r="L33" s="674">
        <f>+D33*H33/1000</f>
        <v>0</v>
      </c>
      <c r="M33" s="673"/>
      <c r="N33" s="673"/>
      <c r="O33" s="673"/>
    </row>
    <row r="34" spans="1:15" ht="9.75" customHeight="1" x14ac:dyDescent="0.25">
      <c r="A34" s="594"/>
      <c r="B34" s="712" t="s">
        <v>719</v>
      </c>
      <c r="C34" s="594"/>
      <c r="D34" s="608">
        <f>'New Powerdat Asset info'!M38</f>
        <v>1713.14</v>
      </c>
      <c r="E34" s="594"/>
      <c r="F34" s="673">
        <v>150</v>
      </c>
      <c r="G34" s="671" t="s">
        <v>119</v>
      </c>
      <c r="H34" s="673">
        <v>250</v>
      </c>
      <c r="I34" s="594"/>
      <c r="J34" s="676">
        <f>+D34*F34/1000</f>
        <v>256.971</v>
      </c>
      <c r="K34" s="675"/>
      <c r="L34" s="676">
        <f>+D34*H34/1000</f>
        <v>428.28500000000003</v>
      </c>
      <c r="M34" s="673"/>
      <c r="N34" s="673"/>
      <c r="O34" s="673"/>
    </row>
    <row r="35" spans="1:15" ht="15" x14ac:dyDescent="0.4">
      <c r="A35" s="594"/>
      <c r="B35" s="712" t="s">
        <v>965</v>
      </c>
      <c r="C35" s="594"/>
      <c r="D35" s="608">
        <f>+'New Powerdat Asset info'!M52</f>
        <v>72.7</v>
      </c>
      <c r="E35" s="594"/>
      <c r="F35" s="673">
        <v>700</v>
      </c>
      <c r="G35" s="671" t="s">
        <v>119</v>
      </c>
      <c r="H35" s="673">
        <v>800</v>
      </c>
      <c r="I35" s="594"/>
      <c r="J35" s="802">
        <f>+D35*F35/1000</f>
        <v>50.89</v>
      </c>
      <c r="K35" s="801"/>
      <c r="L35" s="803">
        <f>+D35*H35/1000</f>
        <v>58.16</v>
      </c>
      <c r="M35" s="673"/>
      <c r="N35" s="673"/>
      <c r="O35" s="673"/>
    </row>
    <row r="36" spans="1:15" ht="9.75" customHeight="1" x14ac:dyDescent="0.25">
      <c r="A36" s="594"/>
      <c r="B36" s="712" t="s">
        <v>829</v>
      </c>
      <c r="C36" s="594"/>
      <c r="D36" s="608">
        <f>+SUM(D33:D35)</f>
        <v>1785.8400000000001</v>
      </c>
      <c r="E36" s="594"/>
      <c r="F36" s="594"/>
      <c r="G36" s="594"/>
      <c r="H36" s="594"/>
      <c r="I36" s="594"/>
      <c r="J36" s="674">
        <f>+SUM(J33:J35)</f>
        <v>307.86099999999999</v>
      </c>
      <c r="K36" s="675"/>
      <c r="L36" s="674">
        <f>+SUM(L33:L35)</f>
        <v>486.44500000000005</v>
      </c>
      <c r="M36" s="889">
        <v>300</v>
      </c>
      <c r="N36" s="796" t="s">
        <v>119</v>
      </c>
      <c r="O36" s="889">
        <v>500</v>
      </c>
    </row>
    <row r="37" spans="1:15" ht="9.75" customHeight="1" x14ac:dyDescent="0.25">
      <c r="A37" s="594"/>
      <c r="B37" s="712"/>
      <c r="C37" s="594"/>
      <c r="D37" s="608"/>
      <c r="E37" s="594"/>
      <c r="F37" s="594"/>
      <c r="G37" s="594"/>
      <c r="H37" s="594"/>
      <c r="I37" s="594"/>
      <c r="J37" s="674"/>
      <c r="K37" s="675"/>
      <c r="L37" s="674"/>
      <c r="M37" s="797"/>
      <c r="N37" s="795"/>
      <c r="O37" s="797"/>
    </row>
    <row r="38" spans="1:15" ht="9.75" customHeight="1" x14ac:dyDescent="0.25">
      <c r="A38" s="594"/>
      <c r="B38" s="888" t="s">
        <v>893</v>
      </c>
      <c r="C38" s="594"/>
      <c r="D38" s="608"/>
      <c r="E38" s="594"/>
      <c r="F38" s="594"/>
      <c r="G38" s="594"/>
      <c r="H38" s="594"/>
      <c r="I38" s="594"/>
      <c r="J38" s="674"/>
      <c r="K38" s="675"/>
      <c r="L38" s="674"/>
      <c r="M38" s="797">
        <f>SUM(M21:M36)</f>
        <v>8250</v>
      </c>
      <c r="N38" s="795" t="s">
        <v>119</v>
      </c>
      <c r="O38" s="797">
        <f>SUM(O21:O36)</f>
        <v>10700</v>
      </c>
    </row>
    <row r="39" spans="1:15" ht="15.6" x14ac:dyDescent="0.25">
      <c r="A39" s="594"/>
      <c r="B39" s="594"/>
      <c r="C39" s="594"/>
      <c r="D39" s="689"/>
      <c r="E39" s="594"/>
      <c r="F39" s="793"/>
      <c r="G39" s="594"/>
      <c r="H39" s="594"/>
      <c r="I39" s="684"/>
      <c r="J39" s="636"/>
      <c r="K39" s="685"/>
      <c r="L39" s="636"/>
      <c r="M39" s="636"/>
      <c r="N39" s="806"/>
      <c r="O39" s="686"/>
    </row>
    <row r="40" spans="1:15" ht="15.6" x14ac:dyDescent="0.25">
      <c r="A40" s="594"/>
      <c r="B40" s="887" t="s">
        <v>892</v>
      </c>
      <c r="C40" s="594"/>
      <c r="D40" s="689"/>
      <c r="E40" s="594"/>
      <c r="F40" s="793"/>
      <c r="G40" s="594"/>
      <c r="H40" s="594"/>
      <c r="I40" s="684"/>
      <c r="J40" s="636"/>
      <c r="K40" s="685"/>
      <c r="L40" s="636"/>
      <c r="M40" s="797">
        <v>6500</v>
      </c>
      <c r="N40" s="795" t="s">
        <v>119</v>
      </c>
      <c r="O40" s="797">
        <v>7500</v>
      </c>
    </row>
    <row r="41" spans="1:15" ht="15.6" x14ac:dyDescent="0.25">
      <c r="A41" s="594"/>
      <c r="B41" s="594"/>
      <c r="C41" s="594"/>
      <c r="D41" s="689"/>
      <c r="E41" s="594"/>
      <c r="F41" s="793"/>
      <c r="G41" s="594"/>
      <c r="H41" s="594"/>
      <c r="I41" s="684"/>
      <c r="J41" s="636"/>
      <c r="K41" s="685"/>
      <c r="L41" s="636"/>
      <c r="M41" s="636"/>
      <c r="N41" s="806"/>
      <c r="O41" s="686"/>
    </row>
    <row r="42" spans="1:15" ht="13.8" thickBot="1" x14ac:dyDescent="0.3">
      <c r="A42" s="594"/>
      <c r="B42" s="791" t="s">
        <v>490</v>
      </c>
      <c r="C42" s="594"/>
      <c r="D42" s="687"/>
      <c r="E42" s="687"/>
      <c r="F42" s="687"/>
      <c r="G42" s="594"/>
      <c r="H42" s="594"/>
      <c r="I42" s="615"/>
      <c r="J42" s="615"/>
      <c r="K42" s="615"/>
      <c r="L42" s="615"/>
      <c r="M42" s="792">
        <f>M40+M11</f>
        <v>7900</v>
      </c>
      <c r="N42" s="680" t="s">
        <v>119</v>
      </c>
      <c r="O42" s="792">
        <f>O40+O11</f>
        <v>9050</v>
      </c>
    </row>
    <row r="43" spans="1:15" ht="9.75" customHeight="1" thickTop="1" x14ac:dyDescent="0.25">
      <c r="A43" s="594"/>
      <c r="B43" s="804"/>
      <c r="C43" s="594"/>
      <c r="D43" s="687"/>
      <c r="E43" s="687"/>
      <c r="F43" s="687"/>
      <c r="G43" s="594"/>
      <c r="H43" s="594"/>
      <c r="I43" s="615"/>
      <c r="J43" s="615"/>
      <c r="K43" s="615"/>
      <c r="L43" s="615"/>
      <c r="M43" s="805"/>
      <c r="N43" s="680"/>
      <c r="O43" s="805"/>
    </row>
    <row r="44" spans="1:15" ht="15.6" x14ac:dyDescent="0.25">
      <c r="A44" s="594"/>
      <c r="B44" s="594"/>
      <c r="C44" s="594"/>
      <c r="D44" s="689" t="s">
        <v>803</v>
      </c>
      <c r="E44" s="594"/>
      <c r="F44" s="793" t="s">
        <v>804</v>
      </c>
      <c r="G44" s="594"/>
      <c r="H44" s="594"/>
      <c r="I44" s="684"/>
      <c r="J44" s="636"/>
      <c r="K44" s="685"/>
      <c r="L44" s="636"/>
      <c r="M44" s="636"/>
      <c r="N44" s="806">
        <f>-'Financial Data Slide'!K25</f>
        <v>-3549.5990000000002</v>
      </c>
      <c r="O44" s="686"/>
    </row>
    <row r="45" spans="1:15" s="695" customFormat="1" ht="15.6" x14ac:dyDescent="0.25">
      <c r="A45" s="594"/>
      <c r="B45" s="594"/>
      <c r="C45" s="594"/>
      <c r="D45" s="689"/>
      <c r="E45" s="594"/>
      <c r="F45" s="793"/>
      <c r="G45" s="594"/>
      <c r="H45" s="594"/>
      <c r="I45" s="684"/>
      <c r="J45" s="636"/>
      <c r="K45" s="685"/>
      <c r="L45" s="636"/>
      <c r="M45" s="594"/>
      <c r="N45" s="686"/>
      <c r="O45" s="686"/>
    </row>
    <row r="46" spans="1:15" ht="13.8" thickBot="1" x14ac:dyDescent="0.3">
      <c r="A46" s="594"/>
      <c r="B46" s="594"/>
      <c r="C46" s="594"/>
      <c r="D46" s="687" t="s">
        <v>531</v>
      </c>
      <c r="E46" s="687"/>
      <c r="F46" s="687"/>
      <c r="G46" s="687"/>
      <c r="H46" s="594"/>
      <c r="I46" s="594"/>
      <c r="J46" s="594"/>
      <c r="K46" s="594"/>
      <c r="L46" s="594"/>
      <c r="M46" s="808">
        <f>M42+N44</f>
        <v>4350.4009999999998</v>
      </c>
      <c r="N46" s="807" t="s">
        <v>119</v>
      </c>
      <c r="O46" s="808">
        <f>O42+N44</f>
        <v>5500.4009999999998</v>
      </c>
    </row>
    <row r="47" spans="1:15" ht="16.2" thickTop="1" x14ac:dyDescent="0.25">
      <c r="A47" s="594"/>
      <c r="B47" s="594"/>
      <c r="C47" s="594"/>
      <c r="D47" s="689"/>
      <c r="E47" s="594"/>
      <c r="F47" s="793"/>
      <c r="G47" s="594"/>
      <c r="H47" s="594"/>
      <c r="I47" s="684"/>
      <c r="J47" s="636"/>
      <c r="K47" s="685"/>
      <c r="L47" s="636"/>
      <c r="M47" s="594"/>
      <c r="N47" s="686"/>
      <c r="O47" s="686"/>
    </row>
    <row r="48" spans="1:15" x14ac:dyDescent="0.25">
      <c r="A48" s="594"/>
      <c r="B48" s="594"/>
      <c r="C48" s="594"/>
      <c r="D48" s="594" t="s">
        <v>123</v>
      </c>
      <c r="E48" s="594"/>
      <c r="F48" s="594"/>
      <c r="G48" s="594"/>
      <c r="H48" s="594"/>
      <c r="I48" s="594"/>
      <c r="J48" s="594"/>
      <c r="K48" s="594"/>
      <c r="L48" s="594"/>
      <c r="M48" s="594"/>
      <c r="N48" s="703">
        <f>+'Corp I-S&amp;B-S'!I41</f>
        <v>159.24600000000001</v>
      </c>
      <c r="O48" s="683"/>
    </row>
    <row r="49" spans="1:15" ht="13.8" thickBot="1" x14ac:dyDescent="0.3">
      <c r="A49" s="594"/>
      <c r="B49" s="594"/>
      <c r="C49" s="646"/>
      <c r="D49" s="594" t="s">
        <v>124</v>
      </c>
      <c r="E49" s="594"/>
      <c r="F49" s="594"/>
      <c r="G49" s="594"/>
      <c r="H49" s="594"/>
      <c r="I49" s="594"/>
      <c r="J49" s="594"/>
      <c r="K49" s="594"/>
      <c r="L49" s="594"/>
      <c r="M49" s="690">
        <f>M46/N48</f>
        <v>27.318745839769914</v>
      </c>
      <c r="N49" s="688" t="s">
        <v>119</v>
      </c>
      <c r="O49" s="690">
        <f>O46/N48</f>
        <v>34.540277306808328</v>
      </c>
    </row>
    <row r="50" spans="1:15" ht="16.2" thickTop="1" x14ac:dyDescent="0.25">
      <c r="A50" s="615"/>
      <c r="B50" s="594"/>
      <c r="C50" s="594"/>
      <c r="D50" s="689"/>
      <c r="E50" s="594"/>
      <c r="F50" s="793"/>
      <c r="G50" s="594"/>
      <c r="H50" s="594"/>
      <c r="I50" s="684"/>
      <c r="J50" s="636"/>
      <c r="K50" s="685"/>
      <c r="L50" s="636"/>
      <c r="M50" s="594"/>
      <c r="N50" s="686"/>
      <c r="O50" s="686"/>
    </row>
    <row r="51" spans="1:15" x14ac:dyDescent="0.25">
      <c r="A51" s="595"/>
      <c r="B51" s="594"/>
      <c r="C51" s="594"/>
      <c r="D51" s="594" t="s">
        <v>125</v>
      </c>
      <c r="E51" s="594"/>
      <c r="F51" s="594"/>
      <c r="G51" s="594"/>
      <c r="H51" s="594"/>
      <c r="I51" s="691"/>
      <c r="J51" s="594"/>
      <c r="K51" s="594"/>
      <c r="L51" s="594"/>
      <c r="M51" s="692"/>
      <c r="N51" s="693">
        <f>+'Corp I-S&amp;B-S'!D54</f>
        <v>21.4375</v>
      </c>
      <c r="O51" s="693"/>
    </row>
    <row r="52" spans="1:15" ht="13.8" thickBot="1" x14ac:dyDescent="0.3">
      <c r="A52" s="595"/>
      <c r="B52" s="695"/>
      <c r="C52" s="594"/>
      <c r="D52" s="594" t="s">
        <v>529</v>
      </c>
      <c r="E52" s="594"/>
      <c r="F52" s="594"/>
      <c r="G52" s="594"/>
      <c r="H52" s="594"/>
      <c r="I52" s="594"/>
      <c r="J52" s="619"/>
      <c r="K52" s="619"/>
      <c r="L52" s="619"/>
      <c r="M52" s="694">
        <f>+(M49-$N$51)/$N$51</f>
        <v>0.27434382926040413</v>
      </c>
      <c r="N52" s="688" t="s">
        <v>119</v>
      </c>
      <c r="O52" s="694">
        <f>+(O49-$N$51)/$N$51</f>
        <v>0.61120827087152552</v>
      </c>
    </row>
    <row r="53" spans="1:15" ht="13.8" thickTop="1" x14ac:dyDescent="0.25">
      <c r="A53" s="595"/>
      <c r="B53" s="594"/>
      <c r="C53" s="594"/>
      <c r="D53" s="594"/>
      <c r="E53" s="594"/>
      <c r="F53" s="594"/>
      <c r="G53" s="594"/>
      <c r="H53" s="594"/>
      <c r="I53" s="594"/>
      <c r="J53" s="594"/>
      <c r="K53" s="594"/>
      <c r="L53" s="594"/>
      <c r="M53" s="594"/>
      <c r="N53" s="594"/>
      <c r="O53" s="594"/>
    </row>
    <row r="54" spans="1:15" x14ac:dyDescent="0.25">
      <c r="A54" s="595"/>
      <c r="B54" s="594"/>
      <c r="C54" s="594"/>
      <c r="D54" s="594"/>
      <c r="E54" s="594"/>
      <c r="F54" s="594"/>
      <c r="G54" s="594"/>
      <c r="H54" s="594"/>
      <c r="I54" s="594"/>
      <c r="J54" s="594"/>
      <c r="K54" s="594"/>
      <c r="L54" s="594"/>
      <c r="M54" s="594"/>
      <c r="N54" s="594"/>
      <c r="O54" s="594"/>
    </row>
    <row r="55" spans="1:15" x14ac:dyDescent="0.25">
      <c r="B55" s="594" t="s">
        <v>824</v>
      </c>
    </row>
    <row r="56" spans="1:15" x14ac:dyDescent="0.25">
      <c r="B56" s="594" t="s">
        <v>437</v>
      </c>
    </row>
    <row r="57" spans="1:15" x14ac:dyDescent="0.25">
      <c r="B57" s="594" t="s">
        <v>848</v>
      </c>
    </row>
  </sheetData>
  <mergeCells count="5">
    <mergeCell ref="F5:H5"/>
    <mergeCell ref="I5:L5"/>
    <mergeCell ref="J4:L4"/>
    <mergeCell ref="M4:O4"/>
    <mergeCell ref="M5:O5"/>
  </mergeCells>
  <pageMargins left="0.75" right="0.75" top="1" bottom="1" header="0.5" footer="0.5"/>
  <pageSetup scale="60" firstPageNumber="6" orientation="landscape" r:id="rId1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opLeftCell="A12" zoomScale="80" zoomScaleNormal="100" zoomScaleSheetLayoutView="75" workbookViewId="0">
      <selection activeCell="E75" sqref="E75"/>
    </sheetView>
  </sheetViews>
  <sheetFormatPr defaultColWidth="8" defaultRowHeight="13.8" x14ac:dyDescent="0.25"/>
  <cols>
    <col min="1" max="1" width="3.44140625" style="911" customWidth="1"/>
    <col min="2" max="2" width="4.5546875" style="910" customWidth="1"/>
    <col min="3" max="3" width="24.6640625" style="898" hidden="1" customWidth="1"/>
    <col min="4" max="4" width="24.6640625" style="898" bestFit="1" customWidth="1"/>
    <col min="5" max="5" width="22.33203125" style="898" bestFit="1" customWidth="1"/>
    <col min="6" max="6" width="9" style="898" customWidth="1"/>
    <col min="7" max="7" width="9.6640625" style="898" customWidth="1"/>
    <col min="8" max="8" width="10.88671875" style="898" customWidth="1"/>
    <col min="9" max="9" width="10.5546875" style="898" bestFit="1" customWidth="1"/>
    <col min="10" max="10" width="9.5546875" style="898" customWidth="1"/>
    <col min="11" max="11" width="7.6640625" style="898" hidden="1" customWidth="1"/>
    <col min="12" max="12" width="3" style="898" hidden="1" customWidth="1"/>
    <col min="13" max="13" width="8.33203125" style="912" customWidth="1"/>
    <col min="14" max="14" width="2" style="907" bestFit="1" customWidth="1"/>
    <col min="15" max="15" width="10.5546875" style="912" bestFit="1" customWidth="1"/>
    <col min="16" max="16" width="8.6640625" style="913" hidden="1" customWidth="1"/>
    <col min="17" max="17" width="4.88671875" style="898" bestFit="1" customWidth="1"/>
    <col min="18" max="18" width="10.5546875" style="912" bestFit="1" customWidth="1"/>
    <col min="19" max="19" width="8.44140625" style="914" customWidth="1"/>
    <col min="20" max="20" width="10" style="914" customWidth="1"/>
    <col min="21" max="21" width="7.109375" style="898" customWidth="1"/>
    <col min="22" max="22" width="1.5546875" style="898" bestFit="1" customWidth="1"/>
    <col min="23" max="23" width="8" style="898"/>
    <col min="24" max="24" width="2.33203125" style="898" customWidth="1"/>
    <col min="25" max="25" width="8" style="898"/>
    <col min="26" max="26" width="1.5546875" style="898" bestFit="1" customWidth="1"/>
    <col min="27" max="16384" width="8" style="898"/>
  </cols>
  <sheetData>
    <row r="1" spans="1:26" ht="22.8" x14ac:dyDescent="0.4">
      <c r="A1" s="892" t="s">
        <v>894</v>
      </c>
      <c r="B1" s="893"/>
      <c r="C1" s="894"/>
      <c r="D1" s="894"/>
      <c r="E1" s="894"/>
      <c r="F1" s="894"/>
      <c r="G1" s="894"/>
      <c r="H1" s="894"/>
      <c r="I1" s="894"/>
      <c r="J1" s="894"/>
      <c r="K1" s="894"/>
      <c r="L1" s="894"/>
      <c r="M1" s="895"/>
      <c r="N1" s="896"/>
      <c r="O1" s="895"/>
      <c r="P1" s="894"/>
      <c r="Q1" s="894"/>
      <c r="R1" s="895"/>
      <c r="S1" s="897"/>
      <c r="T1" s="897"/>
      <c r="U1" s="894"/>
      <c r="V1" s="894"/>
      <c r="W1" s="894"/>
      <c r="X1" s="894"/>
      <c r="Y1" s="894"/>
      <c r="Z1" s="894"/>
    </row>
    <row r="2" spans="1:26" s="899" customFormat="1" ht="100.8" x14ac:dyDescent="0.55000000000000004">
      <c r="B2" s="900"/>
      <c r="C2" s="899" t="s">
        <v>895</v>
      </c>
      <c r="D2" s="901" t="s">
        <v>896</v>
      </c>
      <c r="E2" s="901" t="s">
        <v>897</v>
      </c>
      <c r="F2" s="901" t="s">
        <v>898</v>
      </c>
      <c r="G2" s="901" t="s">
        <v>899</v>
      </c>
      <c r="H2" s="901" t="s">
        <v>900</v>
      </c>
      <c r="I2" s="901" t="s">
        <v>964</v>
      </c>
      <c r="J2" s="901" t="s">
        <v>901</v>
      </c>
      <c r="K2" s="901" t="s">
        <v>902</v>
      </c>
      <c r="L2" s="901" t="s">
        <v>903</v>
      </c>
      <c r="M2" s="902" t="s">
        <v>904</v>
      </c>
      <c r="N2" s="903">
        <v>1</v>
      </c>
      <c r="O2" s="902" t="s">
        <v>905</v>
      </c>
      <c r="P2" s="901" t="s">
        <v>906</v>
      </c>
      <c r="Q2" s="901" t="s">
        <v>907</v>
      </c>
      <c r="R2" s="902" t="s">
        <v>908</v>
      </c>
      <c r="S2" s="904" t="s">
        <v>909</v>
      </c>
      <c r="T2" s="904" t="s">
        <v>910</v>
      </c>
      <c r="U2" s="901" t="s">
        <v>911</v>
      </c>
      <c r="V2" s="905"/>
      <c r="W2" s="898"/>
    </row>
    <row r="3" spans="1:26" s="899" customFormat="1" x14ac:dyDescent="0.25">
      <c r="B3" s="900"/>
      <c r="M3" s="906"/>
      <c r="N3" s="907"/>
      <c r="O3" s="906"/>
      <c r="P3" s="908"/>
      <c r="R3" s="906"/>
      <c r="S3" s="909"/>
      <c r="T3" s="909"/>
    </row>
    <row r="4" spans="1:26" s="899" customFormat="1" x14ac:dyDescent="0.25">
      <c r="B4" s="910" t="s">
        <v>5</v>
      </c>
      <c r="M4" s="906"/>
      <c r="N4" s="907"/>
      <c r="O4" s="906"/>
      <c r="P4" s="908"/>
      <c r="R4" s="906"/>
      <c r="S4" s="909"/>
      <c r="T4" s="909"/>
    </row>
    <row r="5" spans="1:26" x14ac:dyDescent="0.25">
      <c r="C5" s="898" t="s">
        <v>912</v>
      </c>
      <c r="D5" s="898" t="s">
        <v>912</v>
      </c>
      <c r="E5" s="898" t="s">
        <v>913</v>
      </c>
      <c r="F5" s="898" t="s">
        <v>914</v>
      </c>
      <c r="G5" s="898" t="s">
        <v>915</v>
      </c>
      <c r="H5" s="898" t="s">
        <v>916</v>
      </c>
      <c r="I5" s="898" t="s">
        <v>917</v>
      </c>
      <c r="J5" s="898">
        <v>1958</v>
      </c>
      <c r="K5" s="898">
        <v>543.25</v>
      </c>
      <c r="L5" s="898">
        <v>545.5</v>
      </c>
      <c r="M5" s="912">
        <f t="shared" ref="M5:M20" si="0">MAX(K5:L5)</f>
        <v>545.5</v>
      </c>
      <c r="O5" s="912">
        <v>60.6666666666667</v>
      </c>
      <c r="P5" s="913" t="s">
        <v>918</v>
      </c>
      <c r="R5" s="912">
        <v>9534.6666666666697</v>
      </c>
      <c r="S5" s="914">
        <v>10.95</v>
      </c>
      <c r="T5" s="914">
        <v>0.86</v>
      </c>
      <c r="U5" s="898" t="s">
        <v>919</v>
      </c>
    </row>
    <row r="6" spans="1:26" x14ac:dyDescent="0.25">
      <c r="C6" s="898" t="s">
        <v>912</v>
      </c>
      <c r="D6" s="898" t="s">
        <v>912</v>
      </c>
      <c r="E6" s="898" t="s">
        <v>913</v>
      </c>
      <c r="F6" s="898" t="s">
        <v>914</v>
      </c>
      <c r="G6" s="898" t="s">
        <v>915</v>
      </c>
      <c r="H6" s="898" t="s">
        <v>916</v>
      </c>
      <c r="I6" s="898" t="s">
        <v>920</v>
      </c>
      <c r="J6" s="898">
        <v>1952</v>
      </c>
      <c r="K6" s="898">
        <v>316</v>
      </c>
      <c r="L6" s="898">
        <v>316</v>
      </c>
      <c r="M6" s="912">
        <f t="shared" si="0"/>
        <v>316</v>
      </c>
      <c r="O6" s="912">
        <v>45</v>
      </c>
      <c r="P6" s="913" t="s">
        <v>918</v>
      </c>
      <c r="R6" s="912">
        <v>9888</v>
      </c>
      <c r="S6" s="914">
        <v>10.95</v>
      </c>
      <c r="T6" s="914">
        <v>0.86</v>
      </c>
      <c r="U6" s="898" t="s">
        <v>919</v>
      </c>
    </row>
    <row r="7" spans="1:26" x14ac:dyDescent="0.25">
      <c r="C7" s="898" t="s">
        <v>921</v>
      </c>
      <c r="D7" s="898" t="s">
        <v>921</v>
      </c>
      <c r="E7" s="898" t="s">
        <v>922</v>
      </c>
      <c r="F7" s="898" t="s">
        <v>923</v>
      </c>
      <c r="G7" s="898" t="s">
        <v>915</v>
      </c>
      <c r="H7" s="898" t="s">
        <v>916</v>
      </c>
      <c r="I7" s="898" t="s">
        <v>917</v>
      </c>
      <c r="J7" s="898">
        <v>1970</v>
      </c>
      <c r="K7" s="898">
        <v>980</v>
      </c>
      <c r="L7" s="898">
        <v>990</v>
      </c>
      <c r="M7" s="912">
        <f t="shared" si="0"/>
        <v>990</v>
      </c>
      <c r="O7" s="912">
        <v>63</v>
      </c>
      <c r="P7" s="913" t="s">
        <v>918</v>
      </c>
      <c r="R7" s="912">
        <v>9946.5</v>
      </c>
      <c r="S7" s="914">
        <v>11.68</v>
      </c>
      <c r="T7" s="914">
        <v>0.52</v>
      </c>
      <c r="U7" s="898" t="s">
        <v>919</v>
      </c>
    </row>
    <row r="8" spans="1:26" x14ac:dyDescent="0.25">
      <c r="C8" s="898" t="s">
        <v>924</v>
      </c>
      <c r="D8" s="898" t="s">
        <v>912</v>
      </c>
      <c r="E8" s="898" t="s">
        <v>925</v>
      </c>
      <c r="F8" s="898" t="s">
        <v>914</v>
      </c>
      <c r="G8" s="898" t="s">
        <v>915</v>
      </c>
      <c r="H8" s="898" t="s">
        <v>916</v>
      </c>
      <c r="I8" s="898" t="s">
        <v>917</v>
      </c>
      <c r="J8" s="898">
        <v>1973</v>
      </c>
      <c r="K8" s="898">
        <v>312</v>
      </c>
      <c r="L8" s="898">
        <v>312</v>
      </c>
      <c r="M8" s="912">
        <f t="shared" si="0"/>
        <v>312</v>
      </c>
      <c r="O8" s="912">
        <v>69</v>
      </c>
      <c r="P8" s="913" t="s">
        <v>918</v>
      </c>
      <c r="R8" s="912">
        <v>9429</v>
      </c>
      <c r="S8" s="914">
        <v>14.13</v>
      </c>
      <c r="T8" s="914">
        <v>1.18</v>
      </c>
      <c r="U8" s="898" t="s">
        <v>919</v>
      </c>
    </row>
    <row r="9" spans="1:26" x14ac:dyDescent="0.25">
      <c r="C9" s="898" t="s">
        <v>912</v>
      </c>
      <c r="D9" s="898" t="s">
        <v>912</v>
      </c>
      <c r="E9" s="898" t="s">
        <v>926</v>
      </c>
      <c r="F9" s="898" t="s">
        <v>927</v>
      </c>
      <c r="G9" s="898" t="s">
        <v>915</v>
      </c>
      <c r="H9" s="898" t="s">
        <v>916</v>
      </c>
      <c r="I9" s="898" t="s">
        <v>917</v>
      </c>
      <c r="J9" s="898">
        <v>1981</v>
      </c>
      <c r="K9" s="898">
        <v>414</v>
      </c>
      <c r="L9" s="898">
        <v>414</v>
      </c>
      <c r="M9" s="912">
        <f t="shared" si="0"/>
        <v>414</v>
      </c>
      <c r="O9" s="912">
        <v>69</v>
      </c>
      <c r="P9" s="913" t="s">
        <v>918</v>
      </c>
      <c r="R9" s="912">
        <v>9945</v>
      </c>
      <c r="S9" s="914">
        <v>11.3</v>
      </c>
      <c r="T9" s="914">
        <v>0.86</v>
      </c>
      <c r="U9" s="898" t="s">
        <v>919</v>
      </c>
    </row>
    <row r="10" spans="1:26" x14ac:dyDescent="0.25">
      <c r="C10" s="898" t="s">
        <v>921</v>
      </c>
      <c r="D10" s="898" t="s">
        <v>921</v>
      </c>
      <c r="E10" s="898" t="s">
        <v>928</v>
      </c>
      <c r="F10" s="898" t="s">
        <v>923</v>
      </c>
      <c r="G10" s="898" t="s">
        <v>915</v>
      </c>
      <c r="H10" s="898" t="s">
        <v>916</v>
      </c>
      <c r="I10" s="898" t="s">
        <v>920</v>
      </c>
      <c r="J10" s="898">
        <v>1949</v>
      </c>
      <c r="K10" s="898">
        <v>120</v>
      </c>
      <c r="L10" s="898">
        <v>120</v>
      </c>
      <c r="M10" s="912">
        <f t="shared" si="0"/>
        <v>120</v>
      </c>
      <c r="O10" s="912">
        <v>39</v>
      </c>
      <c r="P10" s="913" t="s">
        <v>918</v>
      </c>
      <c r="R10" s="912">
        <v>12740.5</v>
      </c>
      <c r="S10" s="914">
        <v>12.85</v>
      </c>
      <c r="T10" s="914">
        <v>1.33</v>
      </c>
      <c r="U10" s="898" t="s">
        <v>919</v>
      </c>
    </row>
    <row r="11" spans="1:26" x14ac:dyDescent="0.25">
      <c r="C11" s="898" t="s">
        <v>921</v>
      </c>
      <c r="D11" s="898" t="s">
        <v>921</v>
      </c>
      <c r="E11" s="898" t="s">
        <v>929</v>
      </c>
      <c r="F11" s="898" t="s">
        <v>923</v>
      </c>
      <c r="G11" s="898" t="s">
        <v>915</v>
      </c>
      <c r="H11" s="898" t="s">
        <v>916</v>
      </c>
      <c r="I11" s="898" t="s">
        <v>920</v>
      </c>
      <c r="J11" s="898">
        <v>1958</v>
      </c>
      <c r="K11" s="898">
        <v>560</v>
      </c>
      <c r="L11" s="898">
        <v>560</v>
      </c>
      <c r="M11" s="912">
        <f t="shared" si="0"/>
        <v>560</v>
      </c>
      <c r="O11" s="912">
        <v>57</v>
      </c>
      <c r="P11" s="913" t="s">
        <v>918</v>
      </c>
      <c r="R11" s="912">
        <v>10245.25</v>
      </c>
      <c r="S11" s="914">
        <v>11.31</v>
      </c>
      <c r="T11" s="914">
        <v>0.86</v>
      </c>
      <c r="U11" s="898" t="s">
        <v>919</v>
      </c>
    </row>
    <row r="12" spans="1:26" x14ac:dyDescent="0.25">
      <c r="C12" s="898" t="s">
        <v>921</v>
      </c>
      <c r="D12" s="898" t="s">
        <v>921</v>
      </c>
      <c r="E12" s="898" t="s">
        <v>930</v>
      </c>
      <c r="F12" s="898" t="s">
        <v>923</v>
      </c>
      <c r="G12" s="898" t="s">
        <v>915</v>
      </c>
      <c r="H12" s="898" t="s">
        <v>916</v>
      </c>
      <c r="I12" s="898" t="s">
        <v>917</v>
      </c>
      <c r="J12" s="898">
        <v>1975</v>
      </c>
      <c r="K12" s="898">
        <v>2821.81</v>
      </c>
      <c r="L12" s="898">
        <v>2844.81</v>
      </c>
      <c r="M12" s="912">
        <f t="shared" si="0"/>
        <v>2844.81</v>
      </c>
      <c r="O12" s="912">
        <v>69</v>
      </c>
      <c r="P12" s="913" t="s">
        <v>918</v>
      </c>
      <c r="R12" s="912">
        <v>9859.7999999999993</v>
      </c>
      <c r="S12" s="914">
        <v>10.96</v>
      </c>
      <c r="T12" s="914">
        <v>0.56999999999999995</v>
      </c>
      <c r="U12" s="898" t="s">
        <v>919</v>
      </c>
    </row>
    <row r="13" spans="1:26" x14ac:dyDescent="0.25">
      <c r="C13" s="898" t="s">
        <v>931</v>
      </c>
      <c r="D13" s="898" t="s">
        <v>912</v>
      </c>
      <c r="E13" s="898" t="s">
        <v>932</v>
      </c>
      <c r="F13" s="898" t="s">
        <v>914</v>
      </c>
      <c r="G13" s="898" t="s">
        <v>915</v>
      </c>
      <c r="H13" s="898" t="s">
        <v>916</v>
      </c>
      <c r="I13" s="898" t="s">
        <v>920</v>
      </c>
      <c r="J13" s="898">
        <v>1982</v>
      </c>
      <c r="K13" s="898">
        <v>198</v>
      </c>
      <c r="L13" s="898">
        <v>198</v>
      </c>
      <c r="M13" s="912">
        <f t="shared" si="0"/>
        <v>198</v>
      </c>
      <c r="O13" s="912">
        <v>69</v>
      </c>
      <c r="P13" s="913" t="s">
        <v>918</v>
      </c>
      <c r="R13" s="912">
        <v>9337</v>
      </c>
      <c r="S13" s="914">
        <v>12.84</v>
      </c>
      <c r="T13" s="914">
        <v>0.54</v>
      </c>
      <c r="U13" s="898" t="s">
        <v>919</v>
      </c>
    </row>
    <row r="14" spans="1:26" x14ac:dyDescent="0.25">
      <c r="C14" s="898" t="s">
        <v>912</v>
      </c>
      <c r="D14" s="898" t="s">
        <v>912</v>
      </c>
      <c r="E14" s="898" t="s">
        <v>933</v>
      </c>
      <c r="F14" s="898" t="s">
        <v>914</v>
      </c>
      <c r="G14" s="898" t="s">
        <v>915</v>
      </c>
      <c r="H14" s="898" t="s">
        <v>916</v>
      </c>
      <c r="I14" s="898" t="s">
        <v>917</v>
      </c>
      <c r="J14" s="898">
        <v>1960</v>
      </c>
      <c r="K14" s="898">
        <v>803</v>
      </c>
      <c r="L14" s="898">
        <v>803</v>
      </c>
      <c r="M14" s="912">
        <f t="shared" si="0"/>
        <v>803</v>
      </c>
      <c r="O14" s="912">
        <v>61</v>
      </c>
      <c r="P14" s="913" t="s">
        <v>918</v>
      </c>
      <c r="R14" s="912">
        <v>9666.6666666666697</v>
      </c>
      <c r="S14" s="914">
        <v>12.38</v>
      </c>
      <c r="T14" s="914">
        <v>0.68</v>
      </c>
      <c r="U14" s="898" t="s">
        <v>919</v>
      </c>
    </row>
    <row r="15" spans="1:26" x14ac:dyDescent="0.25">
      <c r="C15" s="898" t="s">
        <v>912</v>
      </c>
      <c r="D15" s="898" t="s">
        <v>912</v>
      </c>
      <c r="E15" s="898" t="s">
        <v>933</v>
      </c>
      <c r="F15" s="898" t="s">
        <v>914</v>
      </c>
      <c r="G15" s="898" t="s">
        <v>915</v>
      </c>
      <c r="H15" s="898" t="s">
        <v>916</v>
      </c>
      <c r="I15" s="898" t="s">
        <v>920</v>
      </c>
      <c r="J15" s="898">
        <v>1949</v>
      </c>
      <c r="K15" s="898">
        <v>80</v>
      </c>
      <c r="L15" s="898">
        <v>80</v>
      </c>
      <c r="M15" s="912">
        <f t="shared" si="0"/>
        <v>80</v>
      </c>
      <c r="O15" s="912">
        <v>39</v>
      </c>
      <c r="P15" s="913" t="s">
        <v>918</v>
      </c>
      <c r="R15" s="912">
        <v>12206</v>
      </c>
      <c r="S15" s="914">
        <v>12.38</v>
      </c>
      <c r="T15" s="914">
        <v>0.68</v>
      </c>
      <c r="U15" s="898" t="s">
        <v>919</v>
      </c>
    </row>
    <row r="16" spans="1:26" x14ac:dyDescent="0.25">
      <c r="C16" s="898" t="s">
        <v>921</v>
      </c>
      <c r="D16" s="898" t="s">
        <v>921</v>
      </c>
      <c r="E16" s="898" t="s">
        <v>934</v>
      </c>
      <c r="F16" s="898" t="s">
        <v>923</v>
      </c>
      <c r="G16" s="898" t="s">
        <v>915</v>
      </c>
      <c r="H16" s="898" t="s">
        <v>916</v>
      </c>
      <c r="I16" s="898" t="s">
        <v>920</v>
      </c>
      <c r="J16" s="898">
        <v>1950</v>
      </c>
      <c r="K16" s="898">
        <v>90</v>
      </c>
      <c r="L16" s="898">
        <v>90</v>
      </c>
      <c r="M16" s="912">
        <f t="shared" si="0"/>
        <v>90</v>
      </c>
      <c r="O16" s="912">
        <v>39</v>
      </c>
      <c r="P16" s="913" t="s">
        <v>918</v>
      </c>
      <c r="R16" s="912">
        <v>12262</v>
      </c>
      <c r="S16" s="914">
        <v>15.52</v>
      </c>
      <c r="T16" s="914">
        <v>2.36</v>
      </c>
      <c r="U16" s="898" t="s">
        <v>919</v>
      </c>
    </row>
    <row r="17" spans="2:21" x14ac:dyDescent="0.25">
      <c r="C17" s="898" t="s">
        <v>931</v>
      </c>
      <c r="D17" s="898" t="s">
        <v>912</v>
      </c>
      <c r="E17" s="898" t="s">
        <v>935</v>
      </c>
      <c r="F17" s="898" t="s">
        <v>914</v>
      </c>
      <c r="G17" s="898" t="s">
        <v>915</v>
      </c>
      <c r="H17" s="898" t="s">
        <v>916</v>
      </c>
      <c r="I17" s="898" t="s">
        <v>917</v>
      </c>
      <c r="J17" s="898">
        <v>1970</v>
      </c>
      <c r="K17" s="898">
        <v>912.6</v>
      </c>
      <c r="L17" s="898">
        <v>912.6</v>
      </c>
      <c r="M17" s="912">
        <f t="shared" si="0"/>
        <v>912.6</v>
      </c>
      <c r="O17" s="912">
        <v>63</v>
      </c>
      <c r="P17" s="913" t="s">
        <v>918</v>
      </c>
      <c r="R17" s="912">
        <v>9300.5</v>
      </c>
      <c r="S17" s="914">
        <v>11.92</v>
      </c>
      <c r="T17" s="914">
        <v>0.67</v>
      </c>
      <c r="U17" s="898" t="s">
        <v>919</v>
      </c>
    </row>
    <row r="18" spans="2:21" x14ac:dyDescent="0.25">
      <c r="C18" s="898" t="s">
        <v>912</v>
      </c>
      <c r="D18" s="898" t="s">
        <v>912</v>
      </c>
      <c r="E18" s="898" t="s">
        <v>936</v>
      </c>
      <c r="F18" s="898" t="s">
        <v>914</v>
      </c>
      <c r="G18" s="898" t="s">
        <v>915</v>
      </c>
      <c r="H18" s="898" t="s">
        <v>916</v>
      </c>
      <c r="I18" s="898" t="s">
        <v>917</v>
      </c>
      <c r="J18" s="898">
        <v>1991</v>
      </c>
      <c r="K18" s="898">
        <v>604.5</v>
      </c>
      <c r="L18" s="898">
        <v>604.5</v>
      </c>
      <c r="M18" s="912">
        <f t="shared" si="0"/>
        <v>604.5</v>
      </c>
      <c r="O18" s="912">
        <v>61</v>
      </c>
      <c r="P18" s="913" t="s">
        <v>918</v>
      </c>
      <c r="R18" s="912">
        <v>9522</v>
      </c>
      <c r="S18" s="914">
        <v>10.3</v>
      </c>
      <c r="T18" s="914">
        <v>0.77</v>
      </c>
      <c r="U18" s="898" t="s">
        <v>919</v>
      </c>
    </row>
    <row r="19" spans="2:21" x14ac:dyDescent="0.25">
      <c r="C19" s="898" t="s">
        <v>921</v>
      </c>
      <c r="D19" s="898" t="s">
        <v>921</v>
      </c>
      <c r="E19" s="898" t="s">
        <v>937</v>
      </c>
      <c r="F19" s="898" t="s">
        <v>923</v>
      </c>
      <c r="G19" s="898" t="s">
        <v>915</v>
      </c>
      <c r="H19" s="898" t="s">
        <v>916</v>
      </c>
      <c r="I19" s="898" t="s">
        <v>917</v>
      </c>
      <c r="J19" s="898">
        <v>1968</v>
      </c>
      <c r="K19" s="898">
        <v>318</v>
      </c>
      <c r="L19" s="898">
        <v>318</v>
      </c>
      <c r="M19" s="912">
        <f t="shared" si="0"/>
        <v>318</v>
      </c>
      <c r="O19" s="912">
        <v>59</v>
      </c>
      <c r="P19" s="913" t="s">
        <v>918</v>
      </c>
      <c r="R19" s="912">
        <v>10274</v>
      </c>
      <c r="S19" s="914">
        <v>11.54</v>
      </c>
      <c r="T19" s="914">
        <v>0.96</v>
      </c>
      <c r="U19" s="898" t="s">
        <v>919</v>
      </c>
    </row>
    <row r="20" spans="2:21" x14ac:dyDescent="0.25">
      <c r="C20" s="898" t="s">
        <v>921</v>
      </c>
      <c r="D20" s="898" t="s">
        <v>921</v>
      </c>
      <c r="E20" s="898" t="s">
        <v>937</v>
      </c>
      <c r="F20" s="898" t="s">
        <v>923</v>
      </c>
      <c r="G20" s="898" t="s">
        <v>915</v>
      </c>
      <c r="H20" s="898" t="s">
        <v>916</v>
      </c>
      <c r="I20" s="898" t="s">
        <v>920</v>
      </c>
      <c r="J20" s="898">
        <v>1953</v>
      </c>
      <c r="K20" s="898">
        <v>350</v>
      </c>
      <c r="L20" s="898">
        <v>350</v>
      </c>
      <c r="M20" s="912">
        <f t="shared" si="0"/>
        <v>350</v>
      </c>
      <c r="O20" s="912">
        <v>39</v>
      </c>
      <c r="P20" s="913" t="s">
        <v>918</v>
      </c>
      <c r="R20" s="912">
        <v>10499.75</v>
      </c>
      <c r="S20" s="914">
        <v>11.54</v>
      </c>
      <c r="T20" s="914">
        <v>1.33</v>
      </c>
      <c r="U20" s="898" t="s">
        <v>919</v>
      </c>
    </row>
    <row r="21" spans="2:21" x14ac:dyDescent="0.25">
      <c r="D21" s="915" t="s">
        <v>938</v>
      </c>
      <c r="K21" s="898">
        <f>SUM(K5:K20)</f>
        <v>9423.16</v>
      </c>
      <c r="L21" s="898">
        <f>SUM(L5:L20)</f>
        <v>9458.41</v>
      </c>
      <c r="M21" s="916">
        <f>SUM(M5:M20)</f>
        <v>9458.41</v>
      </c>
    </row>
    <row r="22" spans="2:21" x14ac:dyDescent="0.25">
      <c r="B22" s="910" t="s">
        <v>549</v>
      </c>
    </row>
    <row r="23" spans="2:21" x14ac:dyDescent="0.25">
      <c r="C23" s="898" t="s">
        <v>921</v>
      </c>
      <c r="D23" s="898" t="s">
        <v>921</v>
      </c>
      <c r="E23" s="898" t="s">
        <v>922</v>
      </c>
      <c r="F23" s="898" t="s">
        <v>923</v>
      </c>
      <c r="G23" s="898" t="s">
        <v>915</v>
      </c>
      <c r="H23" s="898" t="s">
        <v>183</v>
      </c>
      <c r="I23" s="898" t="s">
        <v>766</v>
      </c>
      <c r="J23" s="898">
        <v>1993</v>
      </c>
      <c r="K23" s="898">
        <v>99</v>
      </c>
      <c r="L23" s="898">
        <v>120</v>
      </c>
      <c r="M23" s="912">
        <f t="shared" ref="M23:M37" si="1">MAX(K23:L23)</f>
        <v>120</v>
      </c>
      <c r="O23" s="912">
        <v>3</v>
      </c>
      <c r="P23" s="913" t="s">
        <v>918</v>
      </c>
      <c r="R23" s="912">
        <v>12293</v>
      </c>
      <c r="S23" s="914">
        <v>29.39</v>
      </c>
      <c r="T23" s="914">
        <v>1.39</v>
      </c>
      <c r="U23" s="898" t="s">
        <v>939</v>
      </c>
    </row>
    <row r="24" spans="2:21" x14ac:dyDescent="0.25">
      <c r="C24" s="898" t="s">
        <v>912</v>
      </c>
      <c r="D24" s="898" t="s">
        <v>912</v>
      </c>
      <c r="E24" s="898" t="s">
        <v>940</v>
      </c>
      <c r="F24" s="898" t="s">
        <v>914</v>
      </c>
      <c r="G24" s="898" t="s">
        <v>915</v>
      </c>
      <c r="H24" s="898" t="s">
        <v>183</v>
      </c>
      <c r="I24" s="898" t="s">
        <v>766</v>
      </c>
      <c r="J24" s="898">
        <v>1969</v>
      </c>
      <c r="K24" s="898">
        <v>14.2</v>
      </c>
      <c r="L24" s="898">
        <v>19.5</v>
      </c>
      <c r="M24" s="912">
        <f t="shared" si="1"/>
        <v>19.5</v>
      </c>
      <c r="O24" s="912">
        <v>1</v>
      </c>
      <c r="P24" s="913" t="s">
        <v>918</v>
      </c>
      <c r="R24" s="912">
        <v>13328</v>
      </c>
      <c r="S24" s="914">
        <v>72.86</v>
      </c>
      <c r="T24" s="914">
        <v>3.74</v>
      </c>
      <c r="U24" s="898" t="s">
        <v>939</v>
      </c>
    </row>
    <row r="25" spans="2:21" x14ac:dyDescent="0.25">
      <c r="C25" s="898" t="s">
        <v>912</v>
      </c>
      <c r="D25" s="898" t="s">
        <v>912</v>
      </c>
      <c r="E25" s="898" t="s">
        <v>940</v>
      </c>
      <c r="F25" s="898" t="s">
        <v>914</v>
      </c>
      <c r="G25" s="898" t="s">
        <v>915</v>
      </c>
      <c r="H25" s="898" t="s">
        <v>183</v>
      </c>
      <c r="I25" s="898" t="s">
        <v>766</v>
      </c>
      <c r="J25" s="898">
        <v>1965</v>
      </c>
      <c r="K25" s="898">
        <v>92</v>
      </c>
      <c r="L25" s="898">
        <v>110</v>
      </c>
      <c r="M25" s="912">
        <f t="shared" si="1"/>
        <v>110</v>
      </c>
      <c r="O25" s="912">
        <v>1</v>
      </c>
      <c r="P25" s="913" t="s">
        <v>918</v>
      </c>
      <c r="R25" s="912">
        <v>14544</v>
      </c>
      <c r="S25" s="914">
        <v>72.86</v>
      </c>
      <c r="T25" s="914">
        <v>3.74</v>
      </c>
      <c r="U25" s="898" t="s">
        <v>941</v>
      </c>
    </row>
    <row r="26" spans="2:21" x14ac:dyDescent="0.25">
      <c r="C26" s="898" t="s">
        <v>921</v>
      </c>
      <c r="D26" s="898" t="s">
        <v>921</v>
      </c>
      <c r="E26" s="898" t="s">
        <v>937</v>
      </c>
      <c r="F26" s="898" t="s">
        <v>923</v>
      </c>
      <c r="G26" s="898" t="s">
        <v>915</v>
      </c>
      <c r="H26" s="898" t="s">
        <v>183</v>
      </c>
      <c r="I26" s="898" t="s">
        <v>478</v>
      </c>
      <c r="J26" s="898">
        <v>1995</v>
      </c>
      <c r="K26" s="898">
        <v>228</v>
      </c>
      <c r="L26" s="898">
        <v>262</v>
      </c>
      <c r="M26" s="912">
        <f t="shared" si="1"/>
        <v>262</v>
      </c>
      <c r="O26" s="912">
        <v>38</v>
      </c>
      <c r="P26" s="913" t="s">
        <v>918</v>
      </c>
      <c r="R26" s="912">
        <v>9450</v>
      </c>
      <c r="S26" s="914">
        <v>1.1200000000000001</v>
      </c>
      <c r="T26" s="914">
        <v>0.99</v>
      </c>
      <c r="U26" s="898" t="s">
        <v>942</v>
      </c>
    </row>
    <row r="27" spans="2:21" x14ac:dyDescent="0.25">
      <c r="C27" s="898" t="s">
        <v>912</v>
      </c>
      <c r="D27" s="898" t="s">
        <v>912</v>
      </c>
      <c r="E27" s="898" t="s">
        <v>943</v>
      </c>
      <c r="F27" s="898" t="s">
        <v>914</v>
      </c>
      <c r="G27" s="898" t="s">
        <v>915</v>
      </c>
      <c r="H27" s="898" t="s">
        <v>183</v>
      </c>
      <c r="I27" s="898" t="s">
        <v>766</v>
      </c>
      <c r="J27" s="898">
        <v>1992</v>
      </c>
      <c r="K27" s="898">
        <v>462</v>
      </c>
      <c r="L27" s="898">
        <v>564</v>
      </c>
      <c r="M27" s="912">
        <f t="shared" si="1"/>
        <v>564</v>
      </c>
      <c r="O27" s="912">
        <v>3</v>
      </c>
      <c r="P27" s="913" t="s">
        <v>918</v>
      </c>
      <c r="R27" s="912">
        <v>12545</v>
      </c>
      <c r="S27" s="914">
        <v>57</v>
      </c>
      <c r="T27" s="914">
        <v>2.8</v>
      </c>
      <c r="U27" s="898" t="s">
        <v>939</v>
      </c>
    </row>
    <row r="28" spans="2:21" x14ac:dyDescent="0.25">
      <c r="C28" s="898" t="s">
        <v>912</v>
      </c>
      <c r="D28" s="898" t="s">
        <v>912</v>
      </c>
      <c r="E28" s="898" t="s">
        <v>913</v>
      </c>
      <c r="F28" s="898" t="s">
        <v>914</v>
      </c>
      <c r="G28" s="898" t="s">
        <v>915</v>
      </c>
      <c r="H28" s="898" t="s">
        <v>944</v>
      </c>
      <c r="I28" s="898" t="s">
        <v>766</v>
      </c>
      <c r="J28" s="898">
        <v>1972</v>
      </c>
      <c r="K28" s="898">
        <v>186</v>
      </c>
      <c r="L28" s="898">
        <v>244</v>
      </c>
      <c r="M28" s="912">
        <f t="shared" si="1"/>
        <v>244</v>
      </c>
      <c r="O28" s="912">
        <v>3</v>
      </c>
      <c r="P28" s="913" t="s">
        <v>918</v>
      </c>
      <c r="R28" s="912">
        <v>11566</v>
      </c>
      <c r="S28" s="914">
        <v>31.94</v>
      </c>
      <c r="T28" s="914">
        <v>2.04</v>
      </c>
      <c r="U28" s="898" t="s">
        <v>939</v>
      </c>
    </row>
    <row r="29" spans="2:21" x14ac:dyDescent="0.25">
      <c r="C29" s="898" t="s">
        <v>921</v>
      </c>
      <c r="D29" s="898" t="s">
        <v>921</v>
      </c>
      <c r="E29" s="898" t="s">
        <v>922</v>
      </c>
      <c r="F29" s="898" t="s">
        <v>923</v>
      </c>
      <c r="G29" s="898" t="s">
        <v>915</v>
      </c>
      <c r="H29" s="898" t="s">
        <v>944</v>
      </c>
      <c r="I29" s="898" t="s">
        <v>766</v>
      </c>
      <c r="J29" s="898">
        <v>1972</v>
      </c>
      <c r="K29" s="898">
        <v>10</v>
      </c>
      <c r="L29" s="898">
        <v>11</v>
      </c>
      <c r="M29" s="912">
        <f t="shared" si="1"/>
        <v>11</v>
      </c>
      <c r="O29" s="912">
        <v>1</v>
      </c>
      <c r="P29" s="913" t="s">
        <v>918</v>
      </c>
      <c r="R29" s="912">
        <v>10160</v>
      </c>
      <c r="S29" s="914">
        <v>0.81</v>
      </c>
      <c r="T29" s="914">
        <v>1.39</v>
      </c>
      <c r="U29" s="898" t="s">
        <v>945</v>
      </c>
    </row>
    <row r="30" spans="2:21" x14ac:dyDescent="0.25">
      <c r="C30" s="898" t="s">
        <v>921</v>
      </c>
      <c r="D30" s="898" t="s">
        <v>921</v>
      </c>
      <c r="E30" s="898" t="s">
        <v>946</v>
      </c>
      <c r="F30" s="898" t="s">
        <v>923</v>
      </c>
      <c r="G30" s="898" t="s">
        <v>915</v>
      </c>
      <c r="H30" s="898" t="s">
        <v>944</v>
      </c>
      <c r="I30" s="898" t="s">
        <v>766</v>
      </c>
      <c r="J30" s="898">
        <v>1972</v>
      </c>
      <c r="K30" s="898">
        <v>85</v>
      </c>
      <c r="L30" s="898">
        <v>98</v>
      </c>
      <c r="M30" s="912">
        <f t="shared" si="1"/>
        <v>98</v>
      </c>
      <c r="O30" s="912">
        <v>1</v>
      </c>
      <c r="P30" s="913" t="s">
        <v>918</v>
      </c>
      <c r="R30" s="912">
        <v>11814</v>
      </c>
      <c r="S30" s="914">
        <v>48.7</v>
      </c>
      <c r="T30" s="914">
        <v>3.74</v>
      </c>
      <c r="U30" s="898" t="s">
        <v>939</v>
      </c>
    </row>
    <row r="31" spans="2:21" x14ac:dyDescent="0.25">
      <c r="C31" s="898" t="s">
        <v>912</v>
      </c>
      <c r="D31" s="898" t="s">
        <v>912</v>
      </c>
      <c r="E31" s="898" t="s">
        <v>940</v>
      </c>
      <c r="F31" s="898" t="s">
        <v>914</v>
      </c>
      <c r="G31" s="898" t="s">
        <v>915</v>
      </c>
      <c r="H31" s="898" t="s">
        <v>944</v>
      </c>
      <c r="I31" s="898" t="s">
        <v>766</v>
      </c>
      <c r="J31" s="898">
        <v>1969</v>
      </c>
      <c r="K31" s="898">
        <v>30</v>
      </c>
      <c r="L31" s="898">
        <v>42.8</v>
      </c>
      <c r="M31" s="912">
        <f t="shared" si="1"/>
        <v>42.8</v>
      </c>
      <c r="O31" s="912">
        <v>1</v>
      </c>
      <c r="P31" s="913" t="s">
        <v>918</v>
      </c>
      <c r="R31" s="912">
        <v>14083</v>
      </c>
      <c r="S31" s="914">
        <v>7.0000000000000007E-2</v>
      </c>
      <c r="T31" s="914">
        <v>3.74</v>
      </c>
      <c r="U31" s="898" t="s">
        <v>939</v>
      </c>
    </row>
    <row r="32" spans="2:21" x14ac:dyDescent="0.25">
      <c r="C32" s="898" t="s">
        <v>921</v>
      </c>
      <c r="D32" s="898" t="s">
        <v>921</v>
      </c>
      <c r="E32" s="898" t="s">
        <v>928</v>
      </c>
      <c r="F32" s="898" t="s">
        <v>923</v>
      </c>
      <c r="G32" s="898" t="s">
        <v>915</v>
      </c>
      <c r="H32" s="898" t="s">
        <v>944</v>
      </c>
      <c r="I32" s="898" t="s">
        <v>920</v>
      </c>
      <c r="J32" s="898">
        <v>1944</v>
      </c>
      <c r="K32" s="898">
        <v>40</v>
      </c>
      <c r="L32" s="898">
        <v>40</v>
      </c>
      <c r="M32" s="912">
        <f t="shared" si="1"/>
        <v>40</v>
      </c>
      <c r="O32" s="912">
        <v>19</v>
      </c>
      <c r="P32" s="913" t="s">
        <v>918</v>
      </c>
      <c r="R32" s="912">
        <v>12966</v>
      </c>
      <c r="S32" s="914">
        <v>1.1399999999999999</v>
      </c>
      <c r="T32" s="914">
        <v>1.33</v>
      </c>
      <c r="U32" s="898" t="s">
        <v>919</v>
      </c>
    </row>
    <row r="33" spans="1:26" x14ac:dyDescent="0.25">
      <c r="C33" s="898" t="s">
        <v>931</v>
      </c>
      <c r="D33" s="898" t="s">
        <v>912</v>
      </c>
      <c r="E33" s="898" t="s">
        <v>932</v>
      </c>
      <c r="F33" s="898" t="s">
        <v>914</v>
      </c>
      <c r="G33" s="898" t="s">
        <v>915</v>
      </c>
      <c r="H33" s="898" t="s">
        <v>944</v>
      </c>
      <c r="I33" s="898" t="s">
        <v>478</v>
      </c>
      <c r="J33" s="898">
        <v>1983</v>
      </c>
      <c r="K33" s="898">
        <v>5.94</v>
      </c>
      <c r="L33" s="898">
        <v>7.92</v>
      </c>
      <c r="M33" s="912">
        <f t="shared" si="1"/>
        <v>7.92</v>
      </c>
      <c r="O33" s="912">
        <v>1</v>
      </c>
      <c r="P33" s="913" t="s">
        <v>918</v>
      </c>
      <c r="R33" s="912">
        <v>13820</v>
      </c>
      <c r="S33" s="914">
        <v>0</v>
      </c>
      <c r="T33" s="914">
        <v>3.74</v>
      </c>
      <c r="U33" s="898" t="s">
        <v>939</v>
      </c>
    </row>
    <row r="34" spans="1:26" x14ac:dyDescent="0.25">
      <c r="C34" s="898" t="s">
        <v>912</v>
      </c>
      <c r="D34" s="898" t="s">
        <v>912</v>
      </c>
      <c r="E34" s="898" t="s">
        <v>933</v>
      </c>
      <c r="F34" s="898" t="s">
        <v>914</v>
      </c>
      <c r="G34" s="898" t="s">
        <v>915</v>
      </c>
      <c r="H34" s="898" t="s">
        <v>944</v>
      </c>
      <c r="I34" s="898" t="s">
        <v>766</v>
      </c>
      <c r="J34" s="898">
        <v>1971</v>
      </c>
      <c r="K34" s="898">
        <v>56.8</v>
      </c>
      <c r="L34" s="898">
        <v>78</v>
      </c>
      <c r="M34" s="912">
        <f t="shared" si="1"/>
        <v>78</v>
      </c>
      <c r="O34" s="912">
        <v>1</v>
      </c>
      <c r="P34" s="913" t="s">
        <v>918</v>
      </c>
      <c r="R34" s="912">
        <v>13422</v>
      </c>
      <c r="S34" s="914">
        <v>28.73</v>
      </c>
      <c r="T34" s="914">
        <v>3.74</v>
      </c>
      <c r="U34" s="898" t="s">
        <v>939</v>
      </c>
    </row>
    <row r="35" spans="1:26" x14ac:dyDescent="0.25">
      <c r="C35" s="898" t="s">
        <v>921</v>
      </c>
      <c r="D35" s="898" t="s">
        <v>921</v>
      </c>
      <c r="E35" s="898" t="s">
        <v>947</v>
      </c>
      <c r="F35" s="898" t="s">
        <v>923</v>
      </c>
      <c r="G35" s="898" t="s">
        <v>915</v>
      </c>
      <c r="H35" s="898" t="s">
        <v>944</v>
      </c>
      <c r="I35" s="898" t="s">
        <v>766</v>
      </c>
      <c r="J35" s="898">
        <v>1968</v>
      </c>
      <c r="K35" s="898">
        <v>93</v>
      </c>
      <c r="L35" s="898">
        <v>104</v>
      </c>
      <c r="M35" s="912">
        <f t="shared" si="1"/>
        <v>104</v>
      </c>
      <c r="O35" s="912">
        <v>1</v>
      </c>
      <c r="P35" s="913" t="s">
        <v>918</v>
      </c>
      <c r="R35" s="912">
        <v>17125</v>
      </c>
      <c r="S35" s="914">
        <v>83.01</v>
      </c>
      <c r="T35" s="914">
        <v>3.74</v>
      </c>
      <c r="U35" s="898" t="s">
        <v>945</v>
      </c>
    </row>
    <row r="36" spans="1:26" x14ac:dyDescent="0.25">
      <c r="C36" s="898" t="s">
        <v>931</v>
      </c>
      <c r="D36" s="898" t="s">
        <v>912</v>
      </c>
      <c r="E36" s="898" t="s">
        <v>935</v>
      </c>
      <c r="F36" s="898" t="s">
        <v>914</v>
      </c>
      <c r="G36" s="898" t="s">
        <v>915</v>
      </c>
      <c r="H36" s="898" t="s">
        <v>944</v>
      </c>
      <c r="I36" s="898" t="s">
        <v>478</v>
      </c>
      <c r="J36" s="898">
        <v>1969</v>
      </c>
      <c r="K36" s="898">
        <v>3.92</v>
      </c>
      <c r="L36" s="898">
        <v>3.92</v>
      </c>
      <c r="M36" s="912">
        <f t="shared" si="1"/>
        <v>3.92</v>
      </c>
      <c r="O36" s="912">
        <v>1</v>
      </c>
      <c r="P36" s="913" t="s">
        <v>918</v>
      </c>
      <c r="R36" s="912">
        <v>10400</v>
      </c>
      <c r="S36" s="914">
        <v>0</v>
      </c>
      <c r="T36" s="914">
        <v>3.74</v>
      </c>
      <c r="U36" s="898" t="s">
        <v>945</v>
      </c>
    </row>
    <row r="37" spans="1:26" x14ac:dyDescent="0.25">
      <c r="C37" s="898" t="s">
        <v>921</v>
      </c>
      <c r="D37" s="898" t="s">
        <v>921</v>
      </c>
      <c r="E37" s="898" t="s">
        <v>937</v>
      </c>
      <c r="F37" s="898" t="s">
        <v>923</v>
      </c>
      <c r="G37" s="898" t="s">
        <v>915</v>
      </c>
      <c r="H37" s="898" t="s">
        <v>944</v>
      </c>
      <c r="I37" s="898" t="s">
        <v>766</v>
      </c>
      <c r="J37" s="898">
        <v>1967</v>
      </c>
      <c r="K37" s="898">
        <v>8</v>
      </c>
      <c r="L37" s="898">
        <v>8</v>
      </c>
      <c r="M37" s="912">
        <f t="shared" si="1"/>
        <v>8</v>
      </c>
      <c r="O37" s="912">
        <v>1</v>
      </c>
      <c r="P37" s="913" t="s">
        <v>918</v>
      </c>
      <c r="R37" s="912">
        <v>10848</v>
      </c>
      <c r="S37" s="914">
        <v>33.76</v>
      </c>
      <c r="T37" s="914">
        <v>3.74</v>
      </c>
      <c r="U37" s="898" t="s">
        <v>945</v>
      </c>
    </row>
    <row r="38" spans="1:26" x14ac:dyDescent="0.25">
      <c r="D38" s="915" t="s">
        <v>938</v>
      </c>
      <c r="K38" s="898">
        <f>SUM(K23:K37)</f>
        <v>1413.8600000000001</v>
      </c>
      <c r="L38" s="898">
        <f>SUM(L23:L37)</f>
        <v>1713.14</v>
      </c>
      <c r="M38" s="916">
        <f>SUM(M23:M37)</f>
        <v>1713.14</v>
      </c>
      <c r="U38" s="898" t="s">
        <v>948</v>
      </c>
    </row>
    <row r="39" spans="1:26" x14ac:dyDescent="0.25">
      <c r="B39" s="910" t="s">
        <v>8</v>
      </c>
      <c r="U39" s="898" t="s">
        <v>948</v>
      </c>
    </row>
    <row r="40" spans="1:26" x14ac:dyDescent="0.25">
      <c r="C40" s="898" t="s">
        <v>921</v>
      </c>
      <c r="D40" s="898" t="s">
        <v>921</v>
      </c>
      <c r="E40" s="898" t="s">
        <v>949</v>
      </c>
      <c r="F40" s="898" t="s">
        <v>923</v>
      </c>
      <c r="G40" s="898" t="s">
        <v>915</v>
      </c>
      <c r="H40" s="898" t="s">
        <v>950</v>
      </c>
      <c r="I40" s="898" t="s">
        <v>917</v>
      </c>
      <c r="J40" s="898">
        <v>1967</v>
      </c>
      <c r="K40" s="898">
        <v>45</v>
      </c>
      <c r="L40" s="898">
        <v>45</v>
      </c>
      <c r="M40" s="912">
        <f>MAX(K40:L40)</f>
        <v>45</v>
      </c>
      <c r="O40" s="912">
        <v>50</v>
      </c>
      <c r="P40" s="913" t="s">
        <v>918</v>
      </c>
      <c r="R40" s="912">
        <v>0</v>
      </c>
      <c r="S40" s="914">
        <v>0.15</v>
      </c>
      <c r="T40" s="914">
        <v>0.34</v>
      </c>
      <c r="U40" s="898" t="s">
        <v>951</v>
      </c>
    </row>
    <row r="41" spans="1:26" x14ac:dyDescent="0.25">
      <c r="U41" s="898" t="s">
        <v>948</v>
      </c>
    </row>
    <row r="42" spans="1:26" ht="14.4" thickBot="1" x14ac:dyDescent="0.3">
      <c r="D42" s="915" t="s">
        <v>952</v>
      </c>
      <c r="K42" s="898">
        <f>+K40+K38+K21</f>
        <v>10882.02</v>
      </c>
      <c r="L42" s="898">
        <f>+L40+L38+L21</f>
        <v>11216.55</v>
      </c>
      <c r="M42" s="917">
        <f>+M40+M38+M21</f>
        <v>11216.55</v>
      </c>
      <c r="U42" s="898" t="s">
        <v>948</v>
      </c>
    </row>
    <row r="43" spans="1:26" ht="14.4" thickTop="1" x14ac:dyDescent="0.25">
      <c r="A43" s="918"/>
      <c r="B43" s="919"/>
      <c r="C43" s="920"/>
      <c r="D43" s="920"/>
      <c r="E43" s="920"/>
      <c r="U43" s="898" t="s">
        <v>948</v>
      </c>
    </row>
    <row r="44" spans="1:26" ht="14.4" x14ac:dyDescent="0.25">
      <c r="A44" s="921">
        <v>1</v>
      </c>
      <c r="B44" s="922" t="s">
        <v>953</v>
      </c>
      <c r="F44" s="894"/>
      <c r="G44" s="894"/>
      <c r="H44" s="894"/>
      <c r="I44" s="894"/>
      <c r="J44" s="894"/>
      <c r="K44" s="894"/>
      <c r="L44" s="894"/>
      <c r="M44" s="895"/>
      <c r="N44" s="896"/>
      <c r="O44" s="895"/>
      <c r="P44" s="894"/>
      <c r="Q44" s="894"/>
      <c r="R44" s="895"/>
      <c r="S44" s="897"/>
      <c r="T44" s="897"/>
      <c r="U44" s="894"/>
      <c r="V44" s="894"/>
      <c r="W44" s="894"/>
      <c r="X44" s="894"/>
      <c r="Y44" s="894"/>
      <c r="Z44" s="894"/>
    </row>
    <row r="45" spans="1:26" ht="14.4" x14ac:dyDescent="0.25">
      <c r="A45" s="921">
        <v>2</v>
      </c>
      <c r="B45" s="922" t="s">
        <v>954</v>
      </c>
      <c r="F45" s="894"/>
      <c r="G45" s="894"/>
      <c r="H45" s="894"/>
      <c r="I45" s="894"/>
      <c r="J45" s="894"/>
      <c r="K45" s="894"/>
      <c r="L45" s="894"/>
      <c r="M45" s="895"/>
      <c r="N45" s="896"/>
      <c r="O45" s="895"/>
      <c r="P45" s="894"/>
      <c r="Q45" s="894"/>
      <c r="R45" s="895"/>
      <c r="S45" s="897"/>
      <c r="T45" s="897"/>
      <c r="U45" s="894"/>
      <c r="V45" s="894"/>
      <c r="W45" s="894"/>
      <c r="X45" s="894"/>
      <c r="Y45" s="894"/>
      <c r="Z45" s="894"/>
    </row>
    <row r="46" spans="1:26" ht="14.4" x14ac:dyDescent="0.25">
      <c r="A46" s="921">
        <v>3</v>
      </c>
      <c r="B46" s="922" t="s">
        <v>955</v>
      </c>
    </row>
    <row r="47" spans="1:26" s="899" customFormat="1" ht="100.8" x14ac:dyDescent="0.55000000000000004">
      <c r="B47" s="900"/>
      <c r="C47" s="899" t="s">
        <v>895</v>
      </c>
      <c r="D47" s="901" t="s">
        <v>896</v>
      </c>
      <c r="E47" s="901" t="s">
        <v>897</v>
      </c>
      <c r="F47" s="901" t="s">
        <v>898</v>
      </c>
      <c r="G47" s="901" t="s">
        <v>899</v>
      </c>
      <c r="H47" s="901" t="s">
        <v>900</v>
      </c>
      <c r="I47" s="901" t="s">
        <v>964</v>
      </c>
      <c r="J47" s="901" t="s">
        <v>901</v>
      </c>
      <c r="K47" s="901" t="s">
        <v>902</v>
      </c>
      <c r="L47" s="901" t="s">
        <v>903</v>
      </c>
      <c r="M47" s="902" t="s">
        <v>904</v>
      </c>
      <c r="N47" s="903">
        <v>1</v>
      </c>
      <c r="O47" s="902" t="s">
        <v>905</v>
      </c>
      <c r="P47" s="901" t="s">
        <v>906</v>
      </c>
      <c r="Q47" s="901" t="s">
        <v>907</v>
      </c>
      <c r="R47" s="902" t="s">
        <v>908</v>
      </c>
      <c r="S47" s="904" t="s">
        <v>909</v>
      </c>
      <c r="T47" s="904" t="s">
        <v>910</v>
      </c>
      <c r="U47" s="901" t="s">
        <v>911</v>
      </c>
      <c r="V47" s="905"/>
      <c r="W47" s="898"/>
    </row>
    <row r="49" spans="1:27" x14ac:dyDescent="0.25">
      <c r="C49" s="898" t="s">
        <v>921</v>
      </c>
      <c r="D49" s="898" t="s">
        <v>921</v>
      </c>
      <c r="E49" s="898" t="s">
        <v>956</v>
      </c>
      <c r="F49" s="898" t="s">
        <v>923</v>
      </c>
      <c r="G49" s="898" t="s">
        <v>915</v>
      </c>
      <c r="H49" s="898" t="s">
        <v>957</v>
      </c>
      <c r="I49" s="898" t="s">
        <v>478</v>
      </c>
      <c r="J49" s="898">
        <v>1994</v>
      </c>
      <c r="K49" s="898">
        <v>5.2</v>
      </c>
      <c r="L49" s="898">
        <v>5.2</v>
      </c>
      <c r="M49" s="912">
        <f>MAX(K49:L49)</f>
        <v>5.2</v>
      </c>
      <c r="O49" s="912">
        <v>1</v>
      </c>
      <c r="P49" s="913" t="s">
        <v>958</v>
      </c>
      <c r="R49" s="912">
        <v>12392</v>
      </c>
      <c r="S49" s="914">
        <v>0</v>
      </c>
      <c r="T49" s="914">
        <v>3.74</v>
      </c>
      <c r="U49" s="898" t="s">
        <v>939</v>
      </c>
    </row>
    <row r="50" spans="1:27" x14ac:dyDescent="0.25">
      <c r="C50" s="898" t="s">
        <v>959</v>
      </c>
      <c r="D50" s="898" t="s">
        <v>959</v>
      </c>
      <c r="E50" s="898" t="s">
        <v>960</v>
      </c>
      <c r="F50" s="898" t="s">
        <v>923</v>
      </c>
      <c r="G50" s="898" t="s">
        <v>915</v>
      </c>
      <c r="H50" s="898" t="s">
        <v>183</v>
      </c>
      <c r="I50" s="898" t="s">
        <v>478</v>
      </c>
      <c r="J50" s="898">
        <v>2000</v>
      </c>
      <c r="K50" s="898">
        <v>67.5</v>
      </c>
      <c r="L50" s="898">
        <v>67.5</v>
      </c>
      <c r="M50" s="912">
        <f>MAX(K50:L50)</f>
        <v>67.5</v>
      </c>
      <c r="O50" s="912">
        <v>1</v>
      </c>
      <c r="P50" s="913" t="s">
        <v>958</v>
      </c>
      <c r="R50" s="912">
        <v>12392</v>
      </c>
      <c r="S50" s="914">
        <v>0</v>
      </c>
      <c r="T50" s="914">
        <v>3.74</v>
      </c>
      <c r="U50" s="898" t="s">
        <v>939</v>
      </c>
    </row>
    <row r="51" spans="1:27" x14ac:dyDescent="0.25">
      <c r="L51" s="898">
        <f>SUM(L50:L50)</f>
        <v>67.5</v>
      </c>
    </row>
    <row r="52" spans="1:27" s="925" customFormat="1" ht="14.4" thickBot="1" x14ac:dyDescent="0.3">
      <c r="A52" s="923"/>
      <c r="B52" s="924"/>
      <c r="D52" s="926" t="s">
        <v>952</v>
      </c>
      <c r="M52" s="917">
        <f>SUM(M49:M50)</f>
        <v>72.7</v>
      </c>
      <c r="N52" s="927"/>
      <c r="O52" s="928"/>
      <c r="P52" s="929"/>
      <c r="R52" s="928"/>
      <c r="S52" s="930"/>
      <c r="T52" s="930"/>
    </row>
    <row r="53" spans="1:27" ht="14.4" thickTop="1" x14ac:dyDescent="0.25">
      <c r="A53" s="918"/>
      <c r="B53" s="919"/>
      <c r="C53" s="920"/>
      <c r="D53" s="920"/>
      <c r="E53" s="920"/>
    </row>
    <row r="54" spans="1:27" ht="14.4" x14ac:dyDescent="0.25">
      <c r="A54" s="921">
        <v>1</v>
      </c>
      <c r="B54" s="922" t="s">
        <v>953</v>
      </c>
    </row>
    <row r="55" spans="1:27" ht="14.4" x14ac:dyDescent="0.25">
      <c r="A55" s="921">
        <v>2</v>
      </c>
      <c r="B55" s="922" t="s">
        <v>954</v>
      </c>
    </row>
    <row r="56" spans="1:27" ht="14.4" x14ac:dyDescent="0.25">
      <c r="A56" s="921">
        <v>3</v>
      </c>
      <c r="B56" s="922" t="s">
        <v>955</v>
      </c>
    </row>
    <row r="57" spans="1:27" ht="22.8" x14ac:dyDescent="0.4">
      <c r="A57" s="892" t="s">
        <v>729</v>
      </c>
      <c r="B57" s="893"/>
      <c r="C57" s="894"/>
      <c r="D57" s="894"/>
      <c r="E57" s="894"/>
      <c r="F57" s="894"/>
      <c r="G57" s="894"/>
      <c r="H57" s="894"/>
      <c r="I57" s="894"/>
      <c r="J57" s="894"/>
      <c r="K57" s="894"/>
      <c r="L57" s="894"/>
      <c r="M57" s="895"/>
      <c r="N57" s="896"/>
      <c r="O57" s="895"/>
      <c r="P57" s="894"/>
      <c r="Q57" s="894"/>
      <c r="R57" s="895"/>
      <c r="S57" s="897"/>
      <c r="T57" s="897"/>
      <c r="U57" s="894"/>
      <c r="V57" s="894"/>
      <c r="W57" s="894"/>
      <c r="X57" s="894"/>
      <c r="Y57" s="894"/>
      <c r="Z57" s="894"/>
    </row>
    <row r="59" spans="1:27" s="899" customFormat="1" ht="100.8" x14ac:dyDescent="0.55000000000000004">
      <c r="B59" s="900"/>
      <c r="C59" s="899" t="s">
        <v>895</v>
      </c>
      <c r="D59" s="901" t="s">
        <v>896</v>
      </c>
      <c r="E59" s="901" t="s">
        <v>897</v>
      </c>
      <c r="F59" s="901" t="s">
        <v>898</v>
      </c>
      <c r="G59" s="901" t="s">
        <v>899</v>
      </c>
      <c r="H59" s="901" t="s">
        <v>900</v>
      </c>
      <c r="I59" s="901" t="s">
        <v>964</v>
      </c>
      <c r="J59" s="901" t="s">
        <v>901</v>
      </c>
      <c r="K59" s="901" t="s">
        <v>902</v>
      </c>
      <c r="L59" s="901" t="s">
        <v>903</v>
      </c>
      <c r="M59" s="902" t="s">
        <v>904</v>
      </c>
      <c r="N59" s="903">
        <v>1</v>
      </c>
      <c r="O59" s="902" t="s">
        <v>905</v>
      </c>
      <c r="P59" s="901" t="s">
        <v>906</v>
      </c>
      <c r="Q59" s="901" t="s">
        <v>907</v>
      </c>
      <c r="R59" s="902" t="s">
        <v>908</v>
      </c>
      <c r="S59" s="904" t="s">
        <v>909</v>
      </c>
      <c r="T59" s="904" t="s">
        <v>910</v>
      </c>
      <c r="U59" s="941" t="s">
        <v>961</v>
      </c>
      <c r="V59" s="941"/>
      <c r="W59" s="941"/>
      <c r="X59" s="898"/>
      <c r="Y59" s="941" t="s">
        <v>962</v>
      </c>
      <c r="Z59" s="941"/>
      <c r="AA59" s="941"/>
    </row>
    <row r="61" spans="1:27" x14ac:dyDescent="0.25">
      <c r="B61" s="910" t="s">
        <v>549</v>
      </c>
    </row>
    <row r="62" spans="1:27" x14ac:dyDescent="0.25">
      <c r="C62" s="898" t="s">
        <v>921</v>
      </c>
      <c r="D62" s="898" t="s">
        <v>921</v>
      </c>
      <c r="E62" s="898" t="s">
        <v>922</v>
      </c>
      <c r="F62" s="898" t="s">
        <v>923</v>
      </c>
      <c r="G62" s="898" t="s">
        <v>915</v>
      </c>
      <c r="H62" s="898" t="s">
        <v>183</v>
      </c>
      <c r="I62" s="898" t="s">
        <v>766</v>
      </c>
      <c r="J62" s="898">
        <v>1993</v>
      </c>
      <c r="K62" s="898">
        <v>99</v>
      </c>
      <c r="L62" s="898">
        <v>120</v>
      </c>
      <c r="M62" s="912">
        <f t="shared" ref="M62:M77" si="2">MAX(K62:L62)</f>
        <v>120</v>
      </c>
      <c r="O62" s="912">
        <v>3</v>
      </c>
      <c r="P62" s="913" t="s">
        <v>918</v>
      </c>
      <c r="R62" s="912">
        <v>12293</v>
      </c>
      <c r="S62" s="914">
        <v>29.39</v>
      </c>
      <c r="T62" s="914">
        <v>1.39</v>
      </c>
      <c r="U62" s="931">
        <v>150</v>
      </c>
      <c r="V62" s="932" t="s">
        <v>963</v>
      </c>
      <c r="W62" s="931">
        <v>250</v>
      </c>
      <c r="Y62" s="931">
        <f t="shared" ref="Y62:Y77" si="3">U62*$M62/1000</f>
        <v>18</v>
      </c>
      <c r="Z62" s="932" t="s">
        <v>963</v>
      </c>
      <c r="AA62" s="931">
        <f t="shared" ref="AA62:AA77" si="4">W62*$M62/1000</f>
        <v>30</v>
      </c>
    </row>
    <row r="63" spans="1:27" x14ac:dyDescent="0.25">
      <c r="C63" s="898" t="s">
        <v>912</v>
      </c>
      <c r="D63" s="898" t="s">
        <v>912</v>
      </c>
      <c r="E63" s="898" t="s">
        <v>940</v>
      </c>
      <c r="F63" s="898" t="s">
        <v>914</v>
      </c>
      <c r="G63" s="898" t="s">
        <v>915</v>
      </c>
      <c r="H63" s="898" t="s">
        <v>183</v>
      </c>
      <c r="I63" s="898" t="s">
        <v>766</v>
      </c>
      <c r="J63" s="898">
        <v>1969</v>
      </c>
      <c r="K63" s="898">
        <v>14.2</v>
      </c>
      <c r="L63" s="898">
        <v>19.5</v>
      </c>
      <c r="M63" s="912">
        <f t="shared" si="2"/>
        <v>19.5</v>
      </c>
      <c r="O63" s="912">
        <v>1</v>
      </c>
      <c r="P63" s="913" t="s">
        <v>918</v>
      </c>
      <c r="R63" s="912">
        <v>13328</v>
      </c>
      <c r="S63" s="914">
        <v>72.86</v>
      </c>
      <c r="T63" s="914">
        <v>3.74</v>
      </c>
      <c r="U63" s="898">
        <v>150</v>
      </c>
      <c r="V63" s="913" t="s">
        <v>963</v>
      </c>
      <c r="W63" s="898">
        <v>250</v>
      </c>
      <c r="Y63" s="933">
        <f t="shared" si="3"/>
        <v>2.9249999999999998</v>
      </c>
      <c r="Z63" s="934" t="s">
        <v>963</v>
      </c>
      <c r="AA63" s="933">
        <f t="shared" si="4"/>
        <v>4.875</v>
      </c>
    </row>
    <row r="64" spans="1:27" x14ac:dyDescent="0.25">
      <c r="C64" s="898" t="s">
        <v>912</v>
      </c>
      <c r="D64" s="898" t="s">
        <v>912</v>
      </c>
      <c r="E64" s="898" t="s">
        <v>940</v>
      </c>
      <c r="F64" s="898" t="s">
        <v>914</v>
      </c>
      <c r="G64" s="898" t="s">
        <v>915</v>
      </c>
      <c r="H64" s="898" t="s">
        <v>183</v>
      </c>
      <c r="I64" s="898" t="s">
        <v>766</v>
      </c>
      <c r="J64" s="898">
        <v>1965</v>
      </c>
      <c r="K64" s="898">
        <v>92</v>
      </c>
      <c r="L64" s="898">
        <v>110</v>
      </c>
      <c r="M64" s="912">
        <f t="shared" si="2"/>
        <v>110</v>
      </c>
      <c r="O64" s="912">
        <v>1</v>
      </c>
      <c r="P64" s="913" t="s">
        <v>918</v>
      </c>
      <c r="R64" s="912">
        <v>14544</v>
      </c>
      <c r="S64" s="914">
        <v>72.86</v>
      </c>
      <c r="T64" s="914">
        <v>3.74</v>
      </c>
      <c r="U64" s="898">
        <v>150</v>
      </c>
      <c r="V64" s="913" t="s">
        <v>963</v>
      </c>
      <c r="W64" s="898">
        <v>250</v>
      </c>
      <c r="Y64" s="933">
        <f t="shared" si="3"/>
        <v>16.5</v>
      </c>
      <c r="Z64" s="934" t="s">
        <v>963</v>
      </c>
      <c r="AA64" s="933">
        <f t="shared" si="4"/>
        <v>27.5</v>
      </c>
    </row>
    <row r="65" spans="1:27" x14ac:dyDescent="0.25">
      <c r="C65" s="898" t="s">
        <v>912</v>
      </c>
      <c r="D65" s="898" t="s">
        <v>912</v>
      </c>
      <c r="E65" s="898" t="s">
        <v>943</v>
      </c>
      <c r="F65" s="898" t="s">
        <v>914</v>
      </c>
      <c r="G65" s="898" t="s">
        <v>915</v>
      </c>
      <c r="H65" s="898" t="s">
        <v>183</v>
      </c>
      <c r="I65" s="898" t="s">
        <v>766</v>
      </c>
      <c r="J65" s="898">
        <v>1992</v>
      </c>
      <c r="K65" s="898">
        <v>462</v>
      </c>
      <c r="L65" s="898">
        <v>564</v>
      </c>
      <c r="M65" s="912">
        <f t="shared" si="2"/>
        <v>564</v>
      </c>
      <c r="O65" s="912">
        <v>3</v>
      </c>
      <c r="P65" s="913" t="s">
        <v>918</v>
      </c>
      <c r="R65" s="912">
        <v>12545</v>
      </c>
      <c r="S65" s="914">
        <v>57</v>
      </c>
      <c r="T65" s="914">
        <v>2.8</v>
      </c>
      <c r="U65" s="898">
        <v>150</v>
      </c>
      <c r="V65" s="913" t="s">
        <v>963</v>
      </c>
      <c r="W65" s="898">
        <v>250</v>
      </c>
      <c r="Y65" s="933">
        <f t="shared" si="3"/>
        <v>84.6</v>
      </c>
      <c r="Z65" s="934" t="s">
        <v>963</v>
      </c>
      <c r="AA65" s="933">
        <f t="shared" si="4"/>
        <v>141</v>
      </c>
    </row>
    <row r="66" spans="1:27" x14ac:dyDescent="0.25">
      <c r="C66" s="898" t="s">
        <v>912</v>
      </c>
      <c r="D66" s="898" t="s">
        <v>912</v>
      </c>
      <c r="E66" s="898" t="s">
        <v>913</v>
      </c>
      <c r="F66" s="898" t="s">
        <v>914</v>
      </c>
      <c r="G66" s="898" t="s">
        <v>915</v>
      </c>
      <c r="H66" s="898" t="s">
        <v>944</v>
      </c>
      <c r="I66" s="898" t="s">
        <v>766</v>
      </c>
      <c r="J66" s="898">
        <v>1972</v>
      </c>
      <c r="K66" s="898">
        <v>186</v>
      </c>
      <c r="L66" s="898">
        <v>244</v>
      </c>
      <c r="M66" s="912">
        <f t="shared" si="2"/>
        <v>244</v>
      </c>
      <c r="O66" s="912">
        <v>3</v>
      </c>
      <c r="P66" s="913" t="s">
        <v>918</v>
      </c>
      <c r="R66" s="912">
        <v>11566</v>
      </c>
      <c r="S66" s="914">
        <v>31.94</v>
      </c>
      <c r="T66" s="914">
        <v>2.04</v>
      </c>
      <c r="U66" s="898">
        <v>150</v>
      </c>
      <c r="V66" s="913" t="s">
        <v>963</v>
      </c>
      <c r="W66" s="898">
        <v>250</v>
      </c>
      <c r="Y66" s="933">
        <f t="shared" si="3"/>
        <v>36.6</v>
      </c>
      <c r="Z66" s="934" t="s">
        <v>963</v>
      </c>
      <c r="AA66" s="933">
        <f t="shared" si="4"/>
        <v>61</v>
      </c>
    </row>
    <row r="67" spans="1:27" x14ac:dyDescent="0.25">
      <c r="C67" s="898" t="s">
        <v>921</v>
      </c>
      <c r="D67" s="898" t="s">
        <v>921</v>
      </c>
      <c r="E67" s="898" t="s">
        <v>922</v>
      </c>
      <c r="F67" s="898" t="s">
        <v>923</v>
      </c>
      <c r="G67" s="898" t="s">
        <v>915</v>
      </c>
      <c r="H67" s="898" t="s">
        <v>944</v>
      </c>
      <c r="I67" s="898" t="s">
        <v>766</v>
      </c>
      <c r="J67" s="898">
        <v>1972</v>
      </c>
      <c r="K67" s="898">
        <v>10</v>
      </c>
      <c r="L67" s="898">
        <v>11</v>
      </c>
      <c r="M67" s="912">
        <f t="shared" si="2"/>
        <v>11</v>
      </c>
      <c r="O67" s="912">
        <v>1</v>
      </c>
      <c r="P67" s="913" t="s">
        <v>918</v>
      </c>
      <c r="R67" s="912">
        <v>10160</v>
      </c>
      <c r="S67" s="914">
        <v>0.81</v>
      </c>
      <c r="T67" s="914">
        <v>1.39</v>
      </c>
      <c r="U67" s="898">
        <v>150</v>
      </c>
      <c r="V67" s="913" t="s">
        <v>963</v>
      </c>
      <c r="W67" s="898">
        <v>250</v>
      </c>
      <c r="Y67" s="933">
        <f t="shared" si="3"/>
        <v>1.65</v>
      </c>
      <c r="Z67" s="934" t="s">
        <v>963</v>
      </c>
      <c r="AA67" s="933">
        <f t="shared" si="4"/>
        <v>2.75</v>
      </c>
    </row>
    <row r="68" spans="1:27" x14ac:dyDescent="0.25">
      <c r="C68" s="898" t="s">
        <v>921</v>
      </c>
      <c r="D68" s="898" t="s">
        <v>921</v>
      </c>
      <c r="E68" s="898" t="s">
        <v>946</v>
      </c>
      <c r="F68" s="898" t="s">
        <v>923</v>
      </c>
      <c r="G68" s="898" t="s">
        <v>915</v>
      </c>
      <c r="H68" s="898" t="s">
        <v>944</v>
      </c>
      <c r="I68" s="898" t="s">
        <v>766</v>
      </c>
      <c r="J68" s="898">
        <v>1972</v>
      </c>
      <c r="K68" s="898">
        <v>85</v>
      </c>
      <c r="L68" s="898">
        <v>98</v>
      </c>
      <c r="M68" s="912">
        <f t="shared" si="2"/>
        <v>98</v>
      </c>
      <c r="O68" s="912">
        <v>1</v>
      </c>
      <c r="P68" s="913" t="s">
        <v>918</v>
      </c>
      <c r="R68" s="912">
        <v>11814</v>
      </c>
      <c r="S68" s="914">
        <v>48.7</v>
      </c>
      <c r="T68" s="914">
        <v>3.74</v>
      </c>
      <c r="U68" s="898">
        <v>150</v>
      </c>
      <c r="V68" s="913" t="s">
        <v>963</v>
      </c>
      <c r="W68" s="898">
        <v>250</v>
      </c>
      <c r="Y68" s="933">
        <f t="shared" si="3"/>
        <v>14.7</v>
      </c>
      <c r="Z68" s="934" t="s">
        <v>963</v>
      </c>
      <c r="AA68" s="933">
        <f t="shared" si="4"/>
        <v>24.5</v>
      </c>
    </row>
    <row r="69" spans="1:27" x14ac:dyDescent="0.25">
      <c r="C69" s="898" t="s">
        <v>912</v>
      </c>
      <c r="D69" s="898" t="s">
        <v>912</v>
      </c>
      <c r="E69" s="898" t="s">
        <v>940</v>
      </c>
      <c r="F69" s="898" t="s">
        <v>914</v>
      </c>
      <c r="G69" s="898" t="s">
        <v>915</v>
      </c>
      <c r="H69" s="898" t="s">
        <v>944</v>
      </c>
      <c r="I69" s="898" t="s">
        <v>766</v>
      </c>
      <c r="J69" s="898">
        <v>1969</v>
      </c>
      <c r="K69" s="898">
        <v>30</v>
      </c>
      <c r="L69" s="898">
        <v>42.8</v>
      </c>
      <c r="M69" s="912">
        <f t="shared" si="2"/>
        <v>42.8</v>
      </c>
      <c r="O69" s="912">
        <v>1</v>
      </c>
      <c r="P69" s="913" t="s">
        <v>918</v>
      </c>
      <c r="R69" s="912">
        <v>14083</v>
      </c>
      <c r="S69" s="914">
        <v>7.0000000000000007E-2</v>
      </c>
      <c r="T69" s="914">
        <v>3.74</v>
      </c>
      <c r="U69" s="898">
        <v>150</v>
      </c>
      <c r="V69" s="913" t="s">
        <v>963</v>
      </c>
      <c r="W69" s="898">
        <v>250</v>
      </c>
      <c r="Y69" s="933">
        <f t="shared" si="3"/>
        <v>6.42</v>
      </c>
      <c r="Z69" s="934" t="s">
        <v>963</v>
      </c>
      <c r="AA69" s="933">
        <f t="shared" si="4"/>
        <v>10.7</v>
      </c>
    </row>
    <row r="70" spans="1:27" x14ac:dyDescent="0.25">
      <c r="C70" s="898" t="s">
        <v>921</v>
      </c>
      <c r="D70" s="898" t="s">
        <v>921</v>
      </c>
      <c r="E70" s="898" t="s">
        <v>928</v>
      </c>
      <c r="F70" s="898" t="s">
        <v>923</v>
      </c>
      <c r="G70" s="898" t="s">
        <v>915</v>
      </c>
      <c r="H70" s="898" t="s">
        <v>944</v>
      </c>
      <c r="I70" s="898" t="s">
        <v>920</v>
      </c>
      <c r="J70" s="898">
        <v>1944</v>
      </c>
      <c r="K70" s="898">
        <v>40</v>
      </c>
      <c r="L70" s="898">
        <v>40</v>
      </c>
      <c r="M70" s="912">
        <f t="shared" si="2"/>
        <v>40</v>
      </c>
      <c r="O70" s="912">
        <v>19</v>
      </c>
      <c r="P70" s="913" t="s">
        <v>918</v>
      </c>
      <c r="R70" s="912">
        <v>12966</v>
      </c>
      <c r="S70" s="914">
        <v>1.1399999999999999</v>
      </c>
      <c r="T70" s="914">
        <v>1.33</v>
      </c>
      <c r="U70" s="898">
        <v>150</v>
      </c>
      <c r="V70" s="913" t="s">
        <v>963</v>
      </c>
      <c r="W70" s="898">
        <v>250</v>
      </c>
      <c r="Y70" s="933">
        <f t="shared" si="3"/>
        <v>6</v>
      </c>
      <c r="Z70" s="934" t="s">
        <v>963</v>
      </c>
      <c r="AA70" s="933">
        <f t="shared" si="4"/>
        <v>10</v>
      </c>
    </row>
    <row r="71" spans="1:27" x14ac:dyDescent="0.25">
      <c r="C71" s="898" t="s">
        <v>931</v>
      </c>
      <c r="D71" s="898" t="s">
        <v>912</v>
      </c>
      <c r="E71" s="898" t="s">
        <v>932</v>
      </c>
      <c r="F71" s="898" t="s">
        <v>914</v>
      </c>
      <c r="G71" s="898" t="s">
        <v>915</v>
      </c>
      <c r="H71" s="898" t="s">
        <v>944</v>
      </c>
      <c r="I71" s="898" t="s">
        <v>478</v>
      </c>
      <c r="J71" s="898">
        <v>1983</v>
      </c>
      <c r="K71" s="898">
        <v>5.94</v>
      </c>
      <c r="L71" s="898">
        <v>7.92</v>
      </c>
      <c r="M71" s="912">
        <f t="shared" si="2"/>
        <v>7.92</v>
      </c>
      <c r="O71" s="912">
        <v>1</v>
      </c>
      <c r="P71" s="913" t="s">
        <v>918</v>
      </c>
      <c r="R71" s="912">
        <v>13820</v>
      </c>
      <c r="S71" s="914">
        <v>0</v>
      </c>
      <c r="T71" s="914">
        <v>3.74</v>
      </c>
      <c r="U71" s="898">
        <v>150</v>
      </c>
      <c r="V71" s="913" t="s">
        <v>963</v>
      </c>
      <c r="W71" s="898">
        <v>250</v>
      </c>
      <c r="Y71" s="933">
        <f t="shared" si="3"/>
        <v>1.1879999999999999</v>
      </c>
      <c r="Z71" s="934" t="s">
        <v>963</v>
      </c>
      <c r="AA71" s="933">
        <f t="shared" si="4"/>
        <v>1.98</v>
      </c>
    </row>
    <row r="72" spans="1:27" x14ac:dyDescent="0.25">
      <c r="C72" s="898" t="s">
        <v>912</v>
      </c>
      <c r="D72" s="898" t="s">
        <v>912</v>
      </c>
      <c r="E72" s="898" t="s">
        <v>933</v>
      </c>
      <c r="F72" s="898" t="s">
        <v>914</v>
      </c>
      <c r="G72" s="898" t="s">
        <v>915</v>
      </c>
      <c r="H72" s="898" t="s">
        <v>944</v>
      </c>
      <c r="I72" s="898" t="s">
        <v>766</v>
      </c>
      <c r="J72" s="898">
        <v>1971</v>
      </c>
      <c r="K72" s="898">
        <v>56.8</v>
      </c>
      <c r="L72" s="898">
        <v>78</v>
      </c>
      <c r="M72" s="912">
        <f t="shared" si="2"/>
        <v>78</v>
      </c>
      <c r="O72" s="912">
        <v>1</v>
      </c>
      <c r="P72" s="913" t="s">
        <v>918</v>
      </c>
      <c r="R72" s="912">
        <v>13422</v>
      </c>
      <c r="S72" s="914">
        <v>28.73</v>
      </c>
      <c r="T72" s="914">
        <v>3.74</v>
      </c>
      <c r="U72" s="898">
        <v>150</v>
      </c>
      <c r="V72" s="913" t="s">
        <v>963</v>
      </c>
      <c r="W72" s="898">
        <v>250</v>
      </c>
      <c r="Y72" s="933">
        <f t="shared" si="3"/>
        <v>11.7</v>
      </c>
      <c r="Z72" s="934" t="s">
        <v>963</v>
      </c>
      <c r="AA72" s="933">
        <f t="shared" si="4"/>
        <v>19.5</v>
      </c>
    </row>
    <row r="73" spans="1:27" x14ac:dyDescent="0.25">
      <c r="C73" s="898" t="s">
        <v>921</v>
      </c>
      <c r="D73" s="898" t="s">
        <v>921</v>
      </c>
      <c r="E73" s="898" t="s">
        <v>947</v>
      </c>
      <c r="F73" s="898" t="s">
        <v>923</v>
      </c>
      <c r="G73" s="898" t="s">
        <v>915</v>
      </c>
      <c r="H73" s="898" t="s">
        <v>944</v>
      </c>
      <c r="I73" s="898" t="s">
        <v>766</v>
      </c>
      <c r="J73" s="898">
        <v>1968</v>
      </c>
      <c r="K73" s="898">
        <v>93</v>
      </c>
      <c r="L73" s="898">
        <v>104</v>
      </c>
      <c r="M73" s="912">
        <f t="shared" si="2"/>
        <v>104</v>
      </c>
      <c r="O73" s="912">
        <v>1</v>
      </c>
      <c r="P73" s="913" t="s">
        <v>918</v>
      </c>
      <c r="R73" s="912">
        <v>17125</v>
      </c>
      <c r="S73" s="914">
        <v>83.01</v>
      </c>
      <c r="T73" s="914">
        <v>3.74</v>
      </c>
      <c r="U73" s="898">
        <v>150</v>
      </c>
      <c r="V73" s="913" t="s">
        <v>963</v>
      </c>
      <c r="W73" s="898">
        <v>250</v>
      </c>
      <c r="Y73" s="933">
        <f t="shared" si="3"/>
        <v>15.6</v>
      </c>
      <c r="Z73" s="934" t="s">
        <v>963</v>
      </c>
      <c r="AA73" s="933">
        <f t="shared" si="4"/>
        <v>26</v>
      </c>
    </row>
    <row r="74" spans="1:27" x14ac:dyDescent="0.25">
      <c r="C74" s="898" t="s">
        <v>931</v>
      </c>
      <c r="D74" s="898" t="s">
        <v>912</v>
      </c>
      <c r="E74" s="898" t="s">
        <v>935</v>
      </c>
      <c r="F74" s="898" t="s">
        <v>914</v>
      </c>
      <c r="G74" s="898" t="s">
        <v>915</v>
      </c>
      <c r="H74" s="898" t="s">
        <v>944</v>
      </c>
      <c r="I74" s="898" t="s">
        <v>478</v>
      </c>
      <c r="J74" s="898">
        <v>1969</v>
      </c>
      <c r="K74" s="898">
        <v>3.92</v>
      </c>
      <c r="L74" s="898">
        <v>3.92</v>
      </c>
      <c r="M74" s="912">
        <f t="shared" si="2"/>
        <v>3.92</v>
      </c>
      <c r="O74" s="912">
        <v>1</v>
      </c>
      <c r="P74" s="913" t="s">
        <v>918</v>
      </c>
      <c r="R74" s="912">
        <v>10400</v>
      </c>
      <c r="S74" s="914">
        <v>0</v>
      </c>
      <c r="T74" s="914">
        <v>3.74</v>
      </c>
      <c r="U74" s="898">
        <v>150</v>
      </c>
      <c r="V74" s="913" t="s">
        <v>963</v>
      </c>
      <c r="W74" s="898">
        <v>250</v>
      </c>
      <c r="Y74" s="933">
        <f t="shared" si="3"/>
        <v>0.58799999999999997</v>
      </c>
      <c r="Z74" s="934" t="s">
        <v>963</v>
      </c>
      <c r="AA74" s="933">
        <f t="shared" si="4"/>
        <v>0.98</v>
      </c>
    </row>
    <row r="75" spans="1:27" x14ac:dyDescent="0.25">
      <c r="C75" s="898" t="s">
        <v>921</v>
      </c>
      <c r="D75" s="898" t="s">
        <v>921</v>
      </c>
      <c r="E75" s="898" t="s">
        <v>937</v>
      </c>
      <c r="F75" s="898" t="s">
        <v>923</v>
      </c>
      <c r="G75" s="898" t="s">
        <v>915</v>
      </c>
      <c r="H75" s="898" t="s">
        <v>944</v>
      </c>
      <c r="I75" s="898" t="s">
        <v>766</v>
      </c>
      <c r="J75" s="898">
        <v>1967</v>
      </c>
      <c r="K75" s="898">
        <v>8</v>
      </c>
      <c r="L75" s="898">
        <v>8</v>
      </c>
      <c r="M75" s="912">
        <f t="shared" si="2"/>
        <v>8</v>
      </c>
      <c r="O75" s="912">
        <v>1</v>
      </c>
      <c r="P75" s="913" t="s">
        <v>918</v>
      </c>
      <c r="R75" s="912">
        <v>10848</v>
      </c>
      <c r="S75" s="914">
        <v>33.76</v>
      </c>
      <c r="T75" s="914">
        <v>3.74</v>
      </c>
      <c r="U75" s="898">
        <v>150</v>
      </c>
      <c r="V75" s="913" t="s">
        <v>963</v>
      </c>
      <c r="W75" s="898">
        <v>250</v>
      </c>
      <c r="Y75" s="933">
        <f t="shared" si="3"/>
        <v>1.2</v>
      </c>
      <c r="Z75" s="934" t="s">
        <v>963</v>
      </c>
      <c r="AA75" s="933">
        <f t="shared" si="4"/>
        <v>2</v>
      </c>
    </row>
    <row r="76" spans="1:27" x14ac:dyDescent="0.25">
      <c r="C76" s="898" t="s">
        <v>921</v>
      </c>
      <c r="D76" s="898" t="s">
        <v>921</v>
      </c>
      <c r="E76" s="898" t="s">
        <v>937</v>
      </c>
      <c r="F76" s="898" t="s">
        <v>923</v>
      </c>
      <c r="G76" s="898" t="s">
        <v>915</v>
      </c>
      <c r="H76" s="898" t="s">
        <v>183</v>
      </c>
      <c r="I76" s="898" t="s">
        <v>478</v>
      </c>
      <c r="J76" s="898">
        <v>1995</v>
      </c>
      <c r="K76" s="898">
        <v>228</v>
      </c>
      <c r="L76" s="898">
        <v>262</v>
      </c>
      <c r="M76" s="912">
        <f t="shared" si="2"/>
        <v>262</v>
      </c>
      <c r="O76" s="912">
        <v>38</v>
      </c>
      <c r="P76" s="913" t="s">
        <v>918</v>
      </c>
      <c r="R76" s="912">
        <v>9450</v>
      </c>
      <c r="S76" s="914">
        <v>1.1200000000000001</v>
      </c>
      <c r="T76" s="914">
        <v>0.99</v>
      </c>
      <c r="U76" s="898">
        <v>150</v>
      </c>
      <c r="V76" s="913" t="s">
        <v>963</v>
      </c>
      <c r="W76" s="898">
        <v>250</v>
      </c>
      <c r="Y76" s="933">
        <f t="shared" si="3"/>
        <v>39.299999999999997</v>
      </c>
      <c r="Z76" s="934" t="s">
        <v>963</v>
      </c>
      <c r="AA76" s="933">
        <f t="shared" si="4"/>
        <v>65.5</v>
      </c>
    </row>
    <row r="77" spans="1:27" x14ac:dyDescent="0.25">
      <c r="C77" s="898" t="s">
        <v>921</v>
      </c>
      <c r="D77" s="898" t="s">
        <v>921</v>
      </c>
      <c r="E77" s="898" t="s">
        <v>956</v>
      </c>
      <c r="F77" s="898" t="s">
        <v>923</v>
      </c>
      <c r="G77" s="898" t="s">
        <v>915</v>
      </c>
      <c r="H77" s="898" t="s">
        <v>957</v>
      </c>
      <c r="I77" s="898" t="s">
        <v>478</v>
      </c>
      <c r="J77" s="898">
        <v>1994</v>
      </c>
      <c r="K77" s="898">
        <v>5.2</v>
      </c>
      <c r="L77" s="898">
        <v>5.2</v>
      </c>
      <c r="M77" s="912">
        <f t="shared" si="2"/>
        <v>5.2</v>
      </c>
      <c r="O77" s="912">
        <v>1</v>
      </c>
      <c r="P77" s="913" t="s">
        <v>958</v>
      </c>
      <c r="R77" s="912">
        <v>12392</v>
      </c>
      <c r="S77" s="914">
        <v>0</v>
      </c>
      <c r="T77" s="914">
        <v>3.74</v>
      </c>
      <c r="U77" s="898">
        <v>150</v>
      </c>
      <c r="V77" s="913" t="s">
        <v>963</v>
      </c>
      <c r="W77" s="898">
        <v>250</v>
      </c>
      <c r="Y77" s="933">
        <f t="shared" si="3"/>
        <v>0.78</v>
      </c>
      <c r="Z77" s="934" t="s">
        <v>963</v>
      </c>
      <c r="AA77" s="933">
        <f t="shared" si="4"/>
        <v>1.3</v>
      </c>
    </row>
    <row r="79" spans="1:27" ht="14.4" thickBot="1" x14ac:dyDescent="0.3">
      <c r="J79" s="911"/>
      <c r="K79" s="911"/>
      <c r="L79" s="911"/>
      <c r="M79" s="917">
        <f>SUM(M62:M77)</f>
        <v>1718.3400000000001</v>
      </c>
      <c r="N79" s="935"/>
      <c r="O79" s="696"/>
      <c r="P79" s="936"/>
      <c r="Q79" s="911"/>
      <c r="R79" s="696"/>
      <c r="S79" s="937"/>
      <c r="T79" s="937"/>
      <c r="U79" s="911"/>
      <c r="V79" s="911"/>
      <c r="W79" s="911"/>
      <c r="X79" s="911"/>
      <c r="Y79" s="938">
        <f>SUM(Y62:Y77)</f>
        <v>257.75099999999992</v>
      </c>
      <c r="Z79" s="911"/>
      <c r="AA79" s="938">
        <f>SUM(AA62:AA77)</f>
        <v>429.58500000000004</v>
      </c>
    </row>
    <row r="80" spans="1:27" ht="14.4" thickTop="1" x14ac:dyDescent="0.25">
      <c r="A80" s="918"/>
      <c r="B80" s="919"/>
      <c r="C80" s="920"/>
      <c r="D80" s="920"/>
      <c r="E80" s="920"/>
    </row>
    <row r="81" spans="1:3" ht="14.4" x14ac:dyDescent="0.25">
      <c r="A81" s="921">
        <v>1</v>
      </c>
      <c r="B81" s="922" t="s">
        <v>953</v>
      </c>
    </row>
    <row r="82" spans="1:3" ht="14.4" x14ac:dyDescent="0.25">
      <c r="A82" s="921">
        <v>2</v>
      </c>
      <c r="B82" s="922" t="s">
        <v>954</v>
      </c>
      <c r="C82" s="922"/>
    </row>
    <row r="83" spans="1:3" ht="14.4" x14ac:dyDescent="0.25">
      <c r="A83" s="921">
        <v>3</v>
      </c>
      <c r="B83" s="922" t="s">
        <v>955</v>
      </c>
    </row>
  </sheetData>
  <mergeCells count="2">
    <mergeCell ref="U59:W59"/>
    <mergeCell ref="Y59:AA59"/>
  </mergeCells>
  <pageMargins left="0.75" right="0.75" top="1" bottom="1" header="0.5" footer="0.5"/>
  <pageSetup scale="54" fitToHeight="0" orientation="landscape" horizontalDpi="4294967292" r:id="rId1"/>
  <headerFooter alignWithMargins="0">
    <oddFooter>&amp;L&amp;F/&amp;A&amp;C&amp;P&amp;R&amp;D&amp;T</oddFooter>
  </headerFooter>
  <rowBreaks count="2" manualBreakCount="2">
    <brk id="46" max="26" man="1"/>
    <brk id="56" max="2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8"/>
  <sheetViews>
    <sheetView zoomScale="70" zoomScaleNormal="75" workbookViewId="0">
      <selection activeCell="H13" sqref="H13"/>
    </sheetView>
  </sheetViews>
  <sheetFormatPr defaultColWidth="9.109375" defaultRowHeight="13.2" x14ac:dyDescent="0.25"/>
  <cols>
    <col min="1" max="1" width="2.6640625" style="594" bestFit="1" customWidth="1"/>
    <col min="2" max="2" width="35.33203125" style="594" customWidth="1"/>
    <col min="3" max="3" width="26.33203125" style="594" customWidth="1"/>
    <col min="4" max="5" width="12.5546875" style="594" customWidth="1"/>
    <col min="6" max="6" width="11" style="594" customWidth="1"/>
    <col min="7" max="7" width="11.88671875" style="594" bestFit="1" customWidth="1"/>
    <col min="8" max="8" width="12.33203125" style="594" bestFit="1" customWidth="1"/>
    <col min="9" max="9" width="9.88671875" style="594" bestFit="1" customWidth="1"/>
    <col min="10" max="10" width="4.33203125" style="594" bestFit="1" customWidth="1"/>
    <col min="11" max="11" width="27.33203125" style="594" customWidth="1"/>
    <col min="12" max="13" width="9.109375" style="594"/>
    <col min="14" max="14" width="10.5546875" style="594" customWidth="1"/>
    <col min="15" max="15" width="3.44140625" style="594" customWidth="1"/>
    <col min="16" max="16384" width="9.109375" style="594"/>
  </cols>
  <sheetData>
    <row r="1" spans="1:11" ht="17.399999999999999" x14ac:dyDescent="0.3">
      <c r="B1" s="593" t="s">
        <v>706</v>
      </c>
    </row>
    <row r="2" spans="1:11" x14ac:dyDescent="0.25">
      <c r="B2" s="595" t="s">
        <v>17</v>
      </c>
      <c r="C2" s="596" t="s">
        <v>665</v>
      </c>
    </row>
    <row r="3" spans="1:11" x14ac:dyDescent="0.25">
      <c r="B3" s="594">
        <v>1</v>
      </c>
      <c r="C3" s="594" t="s">
        <v>565</v>
      </c>
    </row>
    <row r="4" spans="1:11" x14ac:dyDescent="0.25">
      <c r="B4" s="594">
        <v>2</v>
      </c>
      <c r="C4" s="594" t="s">
        <v>817</v>
      </c>
    </row>
    <row r="5" spans="1:11" x14ac:dyDescent="0.25">
      <c r="B5" s="594">
        <v>3</v>
      </c>
      <c r="C5" s="594" t="s">
        <v>841</v>
      </c>
    </row>
    <row r="6" spans="1:11" x14ac:dyDescent="0.25">
      <c r="B6" s="594">
        <v>4</v>
      </c>
      <c r="C6" s="594" t="s">
        <v>857</v>
      </c>
    </row>
    <row r="7" spans="1:11" x14ac:dyDescent="0.25">
      <c r="B7" s="594">
        <v>5</v>
      </c>
      <c r="C7" s="594" t="s">
        <v>869</v>
      </c>
    </row>
    <row r="8" spans="1:11" x14ac:dyDescent="0.25">
      <c r="B8" s="594">
        <v>6</v>
      </c>
      <c r="C8" s="594" t="s">
        <v>868</v>
      </c>
    </row>
    <row r="10" spans="1:11" x14ac:dyDescent="0.25">
      <c r="A10" s="594">
        <v>1</v>
      </c>
      <c r="B10" s="594" t="str">
        <f>C3</f>
        <v>Acquire Cinergy</v>
      </c>
      <c r="G10" s="597"/>
      <c r="H10" s="597"/>
      <c r="J10" s="597"/>
    </row>
    <row r="11" spans="1:11" x14ac:dyDescent="0.25">
      <c r="B11" s="594" t="s">
        <v>678</v>
      </c>
      <c r="C11" s="594" t="s">
        <v>40</v>
      </c>
      <c r="G11" s="598">
        <f>+'accretion-dilutionIQ'!D6</f>
        <v>21.4375</v>
      </c>
      <c r="H11" s="597"/>
      <c r="J11" s="597"/>
    </row>
    <row r="12" spans="1:11" x14ac:dyDescent="0.25">
      <c r="C12" s="594" t="s">
        <v>688</v>
      </c>
      <c r="G12" s="778">
        <v>0.5</v>
      </c>
      <c r="H12" s="597"/>
      <c r="J12" s="597"/>
    </row>
    <row r="13" spans="1:11" x14ac:dyDescent="0.25">
      <c r="C13" s="594" t="s">
        <v>689</v>
      </c>
      <c r="G13" s="598">
        <f>+G11*(1+G12)</f>
        <v>32.15625</v>
      </c>
      <c r="H13" s="597"/>
      <c r="J13" s="597"/>
    </row>
    <row r="14" spans="1:11" x14ac:dyDescent="0.25">
      <c r="C14" s="594" t="s">
        <v>38</v>
      </c>
      <c r="G14" s="779">
        <f>+'Corp I-S&amp;B-S'!J41</f>
        <v>159.24600000000001</v>
      </c>
      <c r="H14" s="597"/>
      <c r="J14" s="597"/>
    </row>
    <row r="15" spans="1:11" x14ac:dyDescent="0.25">
      <c r="C15" s="594" t="s">
        <v>566</v>
      </c>
      <c r="G15" s="599">
        <f>+G14*G13</f>
        <v>5120.7541875000006</v>
      </c>
      <c r="H15" s="600"/>
      <c r="I15" s="601"/>
      <c r="K15" s="601"/>
    </row>
    <row r="16" spans="1:11" x14ac:dyDescent="0.25">
      <c r="C16" s="594" t="s">
        <v>567</v>
      </c>
      <c r="G16" s="884">
        <v>29.414999999999999</v>
      </c>
      <c r="H16" s="600"/>
      <c r="I16" s="602"/>
      <c r="J16" s="603"/>
      <c r="K16" s="603"/>
    </row>
    <row r="17" spans="1:11" x14ac:dyDescent="0.25">
      <c r="C17" s="594" t="s">
        <v>568</v>
      </c>
      <c r="D17" s="604">
        <v>0.2</v>
      </c>
      <c r="G17" s="599">
        <f>+G13-D17*(G13-G16)</f>
        <v>31.608000000000001</v>
      </c>
      <c r="H17" s="603"/>
      <c r="I17" s="602"/>
      <c r="J17" s="603"/>
      <c r="K17" s="603"/>
    </row>
    <row r="18" spans="1:11" x14ac:dyDescent="0.25">
      <c r="C18" s="594" t="s">
        <v>702</v>
      </c>
      <c r="G18" s="599">
        <f>+'Corp I-S&amp;B-S'!$C$71</f>
        <v>3549.5990000000002</v>
      </c>
      <c r="H18" s="600"/>
      <c r="J18" s="603"/>
    </row>
    <row r="19" spans="1:11" x14ac:dyDescent="0.25">
      <c r="C19" s="594" t="s">
        <v>37</v>
      </c>
      <c r="D19" s="604"/>
      <c r="G19" s="599">
        <f>+G18+G15</f>
        <v>8670.3531875000008</v>
      </c>
      <c r="H19" s="603"/>
      <c r="I19" s="602"/>
      <c r="J19" s="603"/>
      <c r="K19" s="603"/>
    </row>
    <row r="21" spans="1:11" x14ac:dyDescent="0.25">
      <c r="E21" s="631" t="s">
        <v>685</v>
      </c>
      <c r="F21" s="631"/>
      <c r="H21" s="631" t="s">
        <v>686</v>
      </c>
      <c r="I21" s="631"/>
      <c r="J21" s="605"/>
      <c r="K21" s="596" t="s">
        <v>687</v>
      </c>
    </row>
    <row r="22" spans="1:11" x14ac:dyDescent="0.25">
      <c r="E22" s="606"/>
      <c r="H22" s="606"/>
      <c r="J22" s="605"/>
      <c r="K22" s="601"/>
    </row>
    <row r="23" spans="1:11" x14ac:dyDescent="0.25">
      <c r="A23" s="594">
        <v>2</v>
      </c>
      <c r="B23" s="594" t="str">
        <f>C4</f>
        <v>Sell PSI (entire Utility)</v>
      </c>
      <c r="C23" s="594" t="s">
        <v>37</v>
      </c>
      <c r="E23" s="606">
        <f>+'Sum of Parts-Slide'!M11</f>
        <v>1400</v>
      </c>
      <c r="F23" s="601"/>
      <c r="H23" s="606">
        <f>+'Sum of Parts-Slide'!O11</f>
        <v>1550</v>
      </c>
      <c r="I23" s="601"/>
      <c r="J23" s="605">
        <v>2</v>
      </c>
      <c r="K23" s="594" t="s">
        <v>707</v>
      </c>
    </row>
    <row r="24" spans="1:11" x14ac:dyDescent="0.25">
      <c r="B24" s="594" t="s">
        <v>679</v>
      </c>
      <c r="C24" s="594" t="s">
        <v>709</v>
      </c>
      <c r="E24" s="606">
        <f>+'Tax Basis'!$F$9+'Tax Basis'!$J$9</f>
        <v>1061.4552174272812</v>
      </c>
      <c r="H24" s="606">
        <f>+'Tax Basis'!$F$9+'Tax Basis'!$J$9</f>
        <v>1061.4552174272812</v>
      </c>
      <c r="J24" s="605"/>
      <c r="K24" s="594" t="s">
        <v>708</v>
      </c>
    </row>
    <row r="25" spans="1:11" x14ac:dyDescent="0.25">
      <c r="B25" s="594" t="s">
        <v>680</v>
      </c>
      <c r="C25" s="594" t="s">
        <v>570</v>
      </c>
      <c r="E25" s="606">
        <f>+E23-E24</f>
        <v>338.54478257271876</v>
      </c>
      <c r="H25" s="606">
        <f>+H23-H24</f>
        <v>488.54478257271876</v>
      </c>
    </row>
    <row r="26" spans="1:11" x14ac:dyDescent="0.25">
      <c r="C26" s="594" t="s">
        <v>569</v>
      </c>
      <c r="D26" s="597">
        <v>0.38500000000000001</v>
      </c>
      <c r="E26" s="606">
        <f>+E25*$D$38</f>
        <v>130.33974129049673</v>
      </c>
      <c r="F26" s="601"/>
      <c r="G26" s="601"/>
      <c r="H26" s="606">
        <f>+H25*$D$38</f>
        <v>188.08974129049673</v>
      </c>
      <c r="I26" s="601"/>
    </row>
    <row r="27" spans="1:11" x14ac:dyDescent="0.25">
      <c r="C27" s="594" t="s">
        <v>571</v>
      </c>
      <c r="E27" s="606">
        <f>+E23-E26</f>
        <v>1269.6602587095033</v>
      </c>
      <c r="F27" s="601"/>
      <c r="G27" s="601"/>
      <c r="H27" s="606">
        <f>+H23-H26</f>
        <v>1361.9102587095033</v>
      </c>
      <c r="I27" s="601"/>
      <c r="J27" s="605"/>
      <c r="K27" s="601"/>
    </row>
    <row r="28" spans="1:11" x14ac:dyDescent="0.25">
      <c r="E28" s="606"/>
      <c r="H28" s="606"/>
      <c r="J28" s="605"/>
      <c r="K28" s="601"/>
    </row>
    <row r="29" spans="1:11" x14ac:dyDescent="0.25">
      <c r="A29" s="594">
        <v>3</v>
      </c>
      <c r="B29" s="594" t="str">
        <f>C5</f>
        <v>Sell CG&amp;E Gas (LDC)</v>
      </c>
      <c r="C29" s="594" t="s">
        <v>37</v>
      </c>
      <c r="E29" s="606">
        <f>'Sum of Parts-Slide'!M21</f>
        <v>750</v>
      </c>
      <c r="F29" s="601"/>
      <c r="H29" s="606">
        <f>'Sum of Parts-Slide'!O21</f>
        <v>900</v>
      </c>
      <c r="I29" s="601"/>
      <c r="J29" s="607">
        <v>3</v>
      </c>
      <c r="K29" s="601" t="s">
        <v>691</v>
      </c>
    </row>
    <row r="30" spans="1:11" x14ac:dyDescent="0.25">
      <c r="B30" s="594" t="s">
        <v>679</v>
      </c>
      <c r="C30" s="594" t="s">
        <v>709</v>
      </c>
      <c r="E30" s="606">
        <f>+'Tax Basis'!$G$9</f>
        <v>159.07838614564733</v>
      </c>
      <c r="H30" s="606">
        <f>+'Tax Basis'!$G$9</f>
        <v>159.07838614564733</v>
      </c>
      <c r="J30" s="605"/>
      <c r="K30" s="594" t="s">
        <v>692</v>
      </c>
    </row>
    <row r="31" spans="1:11" x14ac:dyDescent="0.25">
      <c r="B31" s="594" t="s">
        <v>680</v>
      </c>
      <c r="C31" s="594" t="s">
        <v>570</v>
      </c>
      <c r="E31" s="606">
        <f>+E29-E30</f>
        <v>590.9216138543527</v>
      </c>
      <c r="H31" s="606">
        <f>+H29-H30</f>
        <v>740.9216138543527</v>
      </c>
      <c r="J31" s="605"/>
    </row>
    <row r="32" spans="1:11" x14ac:dyDescent="0.25">
      <c r="C32" s="594" t="s">
        <v>569</v>
      </c>
      <c r="D32" s="597">
        <v>0.38500000000000001</v>
      </c>
      <c r="E32" s="606">
        <f>+$D$32*E31</f>
        <v>227.5048213339258</v>
      </c>
      <c r="F32" s="601"/>
      <c r="G32" s="601"/>
      <c r="H32" s="606">
        <f>+$D$32*H31</f>
        <v>285.2548213339258</v>
      </c>
      <c r="I32" s="601"/>
      <c r="J32" s="605"/>
    </row>
    <row r="33" spans="1:11" x14ac:dyDescent="0.25">
      <c r="C33" s="594" t="s">
        <v>571</v>
      </c>
      <c r="E33" s="606">
        <f>+E29-E32</f>
        <v>522.49517866607425</v>
      </c>
      <c r="F33" s="601"/>
      <c r="G33" s="601"/>
      <c r="H33" s="606">
        <f>+H29-H32</f>
        <v>614.74517866607425</v>
      </c>
      <c r="I33" s="601"/>
      <c r="J33" s="605"/>
    </row>
    <row r="34" spans="1:11" x14ac:dyDescent="0.25">
      <c r="E34" s="606"/>
      <c r="H34" s="606"/>
      <c r="I34" s="601"/>
      <c r="J34" s="605"/>
    </row>
    <row r="35" spans="1:11" x14ac:dyDescent="0.25">
      <c r="A35" s="594">
        <v>4</v>
      </c>
      <c r="B35" s="594" t="str">
        <f>C6</f>
        <v>Sell  CG&amp;E Electric T&amp;D Assets</v>
      </c>
      <c r="C35" s="594" t="s">
        <v>37</v>
      </c>
      <c r="E35" s="606">
        <f>+'Sum of Parts-Slide'!M24</f>
        <v>1600</v>
      </c>
      <c r="F35" s="601"/>
      <c r="H35" s="606">
        <f>+'Sum of Parts-Slide'!O24</f>
        <v>1800</v>
      </c>
      <c r="I35" s="601"/>
      <c r="J35" s="605"/>
    </row>
    <row r="36" spans="1:11" x14ac:dyDescent="0.25">
      <c r="B36" s="594" t="s">
        <v>681</v>
      </c>
      <c r="C36" s="594" t="s">
        <v>709</v>
      </c>
      <c r="E36" s="606">
        <f>+'Tax Basis'!$F$9+'Tax Basis'!$J$9</f>
        <v>1061.4552174272812</v>
      </c>
      <c r="H36" s="606">
        <f>+'Tax Basis'!$F$9+'Tax Basis'!$J$9</f>
        <v>1061.4552174272812</v>
      </c>
      <c r="J36" s="605"/>
    </row>
    <row r="37" spans="1:11" x14ac:dyDescent="0.25">
      <c r="C37" s="594" t="s">
        <v>570</v>
      </c>
      <c r="E37" s="606">
        <f>+E35-E36</f>
        <v>538.54478257271876</v>
      </c>
      <c r="H37" s="606">
        <f>+H35-H36</f>
        <v>738.54478257271876</v>
      </c>
    </row>
    <row r="38" spans="1:11" x14ac:dyDescent="0.25">
      <c r="C38" s="594" t="s">
        <v>569</v>
      </c>
      <c r="D38" s="597">
        <v>0.38500000000000001</v>
      </c>
      <c r="E38" s="606">
        <f>+E37*$D$38</f>
        <v>207.33974129049673</v>
      </c>
      <c r="F38" s="601"/>
      <c r="G38" s="601"/>
      <c r="H38" s="606">
        <f>+H37*$D$38</f>
        <v>284.3397412904967</v>
      </c>
      <c r="I38" s="601"/>
    </row>
    <row r="39" spans="1:11" x14ac:dyDescent="0.25">
      <c r="C39" s="594" t="s">
        <v>571</v>
      </c>
      <c r="E39" s="606">
        <f>+E35-E38</f>
        <v>1392.6602587095033</v>
      </c>
      <c r="F39" s="601"/>
      <c r="G39" s="601"/>
      <c r="H39" s="606">
        <f>+H35-H38</f>
        <v>1515.6602587095033</v>
      </c>
      <c r="I39" s="601"/>
      <c r="J39" s="605"/>
      <c r="K39" s="601"/>
    </row>
    <row r="41" spans="1:11" x14ac:dyDescent="0.25">
      <c r="A41" s="594">
        <v>5</v>
      </c>
      <c r="B41" s="594" t="str">
        <f>C7</f>
        <v>Sell CG&amp;E Peaking and Mid-merit Generation Assets</v>
      </c>
      <c r="C41" s="594" t="s">
        <v>37</v>
      </c>
      <c r="E41" s="606">
        <f>+'Sum of Parts-Slide'!M36</f>
        <v>300</v>
      </c>
      <c r="F41" s="601"/>
      <c r="G41" s="608"/>
      <c r="H41" s="606">
        <f>'Sum of Parts-Slide'!O36</f>
        <v>500</v>
      </c>
      <c r="I41" s="601"/>
      <c r="J41" s="605">
        <v>4</v>
      </c>
      <c r="K41" s="594" t="s">
        <v>693</v>
      </c>
    </row>
    <row r="42" spans="1:11" x14ac:dyDescent="0.25">
      <c r="B42" s="594" t="s">
        <v>681</v>
      </c>
      <c r="C42" s="594" t="s">
        <v>860</v>
      </c>
      <c r="E42" s="606">
        <f>'Tax Basis'!M9</f>
        <v>74.385435841777991</v>
      </c>
      <c r="H42" s="606">
        <f>'Tax Basis'!M9</f>
        <v>74.385435841777991</v>
      </c>
      <c r="J42" s="605"/>
      <c r="K42" s="594" t="s">
        <v>694</v>
      </c>
    </row>
    <row r="43" spans="1:11" x14ac:dyDescent="0.25">
      <c r="C43" s="594" t="s">
        <v>570</v>
      </c>
      <c r="E43" s="606">
        <f>+E41-E42</f>
        <v>225.61456415822201</v>
      </c>
      <c r="H43" s="606">
        <f>+H41-H42</f>
        <v>425.61456415822204</v>
      </c>
      <c r="J43" s="605"/>
      <c r="K43" s="601"/>
    </row>
    <row r="44" spans="1:11" x14ac:dyDescent="0.25">
      <c r="C44" s="594" t="s">
        <v>569</v>
      </c>
      <c r="D44" s="597">
        <v>0.38500000000000001</v>
      </c>
      <c r="E44" s="606">
        <f>+$D$50*E43</f>
        <v>86.861607200915472</v>
      </c>
      <c r="F44" s="601"/>
      <c r="G44" s="601"/>
      <c r="H44" s="606">
        <f>+$D$50*H43</f>
        <v>163.8616072009155</v>
      </c>
      <c r="I44" s="601"/>
      <c r="J44" s="605"/>
    </row>
    <row r="45" spans="1:11" x14ac:dyDescent="0.25">
      <c r="C45" s="594" t="s">
        <v>571</v>
      </c>
      <c r="E45" s="606">
        <f>E41-E44</f>
        <v>213.13839279908453</v>
      </c>
      <c r="F45" s="601"/>
      <c r="G45" s="601"/>
      <c r="H45" s="606">
        <f>H41-H44</f>
        <v>336.1383927990845</v>
      </c>
      <c r="I45" s="601"/>
    </row>
    <row r="47" spans="1:11" x14ac:dyDescent="0.25">
      <c r="A47" s="594">
        <v>6</v>
      </c>
      <c r="B47" s="594" t="str">
        <f>C8</f>
        <v>Sell Stock of Cinergy (with baseload generation assets)</v>
      </c>
      <c r="C47" s="594" t="s">
        <v>37</v>
      </c>
      <c r="E47" s="606">
        <f>+'Sum of Parts-Slide'!M30</f>
        <v>5600</v>
      </c>
      <c r="F47" s="601"/>
      <c r="G47" s="608"/>
      <c r="H47" s="606">
        <f>+'Sum of Parts-Slide'!O30</f>
        <v>7500</v>
      </c>
      <c r="I47" s="601"/>
      <c r="J47" s="605">
        <v>4</v>
      </c>
      <c r="K47" s="594" t="s">
        <v>693</v>
      </c>
    </row>
    <row r="48" spans="1:11" x14ac:dyDescent="0.25">
      <c r="B48" s="594" t="s">
        <v>858</v>
      </c>
      <c r="C48" s="594" t="s">
        <v>860</v>
      </c>
      <c r="E48" s="606">
        <f>G15</f>
        <v>5120.7541875000006</v>
      </c>
      <c r="H48" s="606">
        <f>G15</f>
        <v>5120.7541875000006</v>
      </c>
      <c r="J48" s="605"/>
      <c r="K48" s="594" t="s">
        <v>694</v>
      </c>
    </row>
    <row r="49" spans="1:11" x14ac:dyDescent="0.25">
      <c r="C49" s="594" t="s">
        <v>570</v>
      </c>
      <c r="E49" s="606">
        <f>+E47-E48</f>
        <v>479.24581249999937</v>
      </c>
      <c r="H49" s="606">
        <f>+H47-H48</f>
        <v>2379.2458124999994</v>
      </c>
      <c r="J49" s="605"/>
      <c r="K49" s="601"/>
    </row>
    <row r="50" spans="1:11" x14ac:dyDescent="0.25">
      <c r="C50" s="594" t="s">
        <v>569</v>
      </c>
      <c r="D50" s="597">
        <v>0.38500000000000001</v>
      </c>
      <c r="E50" s="606">
        <f>+$D$50*E49</f>
        <v>184.50963781249976</v>
      </c>
      <c r="F50" s="601"/>
      <c r="G50" s="601"/>
      <c r="H50" s="606">
        <f>+$D$50*H49</f>
        <v>916.00963781249982</v>
      </c>
      <c r="I50" s="601"/>
      <c r="J50" s="605"/>
    </row>
    <row r="51" spans="1:11" x14ac:dyDescent="0.25">
      <c r="C51" s="594" t="s">
        <v>571</v>
      </c>
      <c r="E51" s="606">
        <f>E47-E50</f>
        <v>5415.4903621875001</v>
      </c>
      <c r="F51" s="601"/>
      <c r="G51" s="601"/>
      <c r="H51" s="606">
        <f>H47-H50</f>
        <v>6583.9903621875001</v>
      </c>
      <c r="I51" s="601"/>
    </row>
    <row r="52" spans="1:11" x14ac:dyDescent="0.25">
      <c r="E52" s="606"/>
      <c r="F52" s="601"/>
      <c r="G52" s="601"/>
      <c r="H52" s="606"/>
      <c r="I52" s="601"/>
    </row>
    <row r="53" spans="1:11" x14ac:dyDescent="0.25">
      <c r="B53" s="594" t="s">
        <v>865</v>
      </c>
      <c r="E53" s="606"/>
      <c r="F53" s="644">
        <f>+E47+E41+E29+E35+E23</f>
        <v>9650</v>
      </c>
      <c r="H53" s="606"/>
      <c r="I53" s="644">
        <f>+H47+H41+H29+H35+H23</f>
        <v>12250</v>
      </c>
    </row>
    <row r="54" spans="1:11" x14ac:dyDescent="0.25">
      <c r="E54" s="606"/>
      <c r="F54" s="644"/>
      <c r="H54" s="606"/>
      <c r="I54" s="644"/>
    </row>
    <row r="55" spans="1:11" x14ac:dyDescent="0.25">
      <c r="E55" s="606"/>
      <c r="G55" s="644"/>
      <c r="H55" s="606"/>
      <c r="I55" s="601"/>
      <c r="J55" s="605"/>
    </row>
    <row r="56" spans="1:11" x14ac:dyDescent="0.25">
      <c r="C56" s="594" t="s">
        <v>696</v>
      </c>
      <c r="D56" s="632">
        <v>2.5000000000000001E-3</v>
      </c>
      <c r="E56" s="699">
        <f>+D56*G19</f>
        <v>21.675882968750003</v>
      </c>
      <c r="H56" s="699">
        <f>+D56*G19</f>
        <v>21.675882968750003</v>
      </c>
      <c r="I56" s="601"/>
      <c r="J56" s="594">
        <v>4</v>
      </c>
      <c r="K56" s="594" t="s">
        <v>711</v>
      </c>
    </row>
    <row r="57" spans="1:11" x14ac:dyDescent="0.25">
      <c r="C57" s="594" t="s">
        <v>682</v>
      </c>
      <c r="E57" s="606">
        <f>+E26+E32+E38+E44+E50</f>
        <v>836.55554892833447</v>
      </c>
      <c r="F57" s="601"/>
      <c r="G57" s="704"/>
      <c r="H57" s="606">
        <f>+H26+H32+H38+H44+H50</f>
        <v>1837.5555489283347</v>
      </c>
      <c r="I57" s="601"/>
      <c r="J57" s="605"/>
      <c r="K57" s="601"/>
    </row>
    <row r="58" spans="1:11" x14ac:dyDescent="0.25">
      <c r="C58" s="596" t="s">
        <v>683</v>
      </c>
      <c r="D58" s="596"/>
      <c r="E58" s="609">
        <f>-(G19-E27-E33-E39-E45-E51)-E56</f>
        <v>121.41538060291406</v>
      </c>
      <c r="F58" s="601"/>
      <c r="G58" s="704"/>
      <c r="H58" s="609">
        <f>-(G19-H27-H33-H39-H45-H51)-H56</f>
        <v>1720.415380602914</v>
      </c>
      <c r="I58" s="601"/>
      <c r="J58" s="605"/>
      <c r="K58" s="601"/>
    </row>
    <row r="59" spans="1:11" x14ac:dyDescent="0.25">
      <c r="C59" s="596"/>
      <c r="D59" s="596"/>
      <c r="E59" s="696"/>
      <c r="F59" s="697"/>
      <c r="G59" s="644"/>
      <c r="H59" s="696"/>
      <c r="I59" s="601"/>
      <c r="J59" s="605"/>
      <c r="K59" s="601"/>
    </row>
    <row r="60" spans="1:11" x14ac:dyDescent="0.25">
      <c r="C60" s="596"/>
      <c r="D60" s="596"/>
      <c r="E60" s="698"/>
      <c r="F60" s="697"/>
      <c r="G60" s="697"/>
      <c r="H60" s="698"/>
      <c r="I60" s="606"/>
      <c r="J60" s="611"/>
    </row>
    <row r="61" spans="1:11" x14ac:dyDescent="0.25">
      <c r="B61" s="594" t="s">
        <v>699</v>
      </c>
    </row>
    <row r="62" spans="1:11" x14ac:dyDescent="0.25">
      <c r="A62" s="612">
        <v>1</v>
      </c>
      <c r="B62" s="594" t="s">
        <v>690</v>
      </c>
    </row>
    <row r="63" spans="1:11" x14ac:dyDescent="0.25">
      <c r="A63" s="594">
        <v>2</v>
      </c>
      <c r="B63" s="594" t="s">
        <v>704</v>
      </c>
      <c r="J63" s="606"/>
    </row>
    <row r="64" spans="1:11" x14ac:dyDescent="0.25">
      <c r="A64" s="594">
        <v>3</v>
      </c>
      <c r="B64" s="594" t="s">
        <v>859</v>
      </c>
    </row>
    <row r="68" spans="5:5" x14ac:dyDescent="0.25">
      <c r="E68" s="817"/>
    </row>
  </sheetData>
  <pageMargins left="0.75" right="0.75" top="1" bottom="1" header="0.5" footer="0.5"/>
  <pageSetup scale="58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view="pageBreakPreview" zoomScale="70" zoomScaleNormal="100" workbookViewId="0">
      <selection activeCell="A22" sqref="A22"/>
    </sheetView>
  </sheetViews>
  <sheetFormatPr defaultColWidth="8" defaultRowHeight="13.2" x14ac:dyDescent="0.25"/>
  <cols>
    <col min="1" max="1" width="2.88671875" style="716" customWidth="1"/>
    <col min="2" max="2" width="26.44140625" style="716" customWidth="1"/>
    <col min="3" max="3" width="7.33203125" style="716" bestFit="1" customWidth="1"/>
    <col min="4" max="4" width="19.6640625" style="716" customWidth="1"/>
    <col min="5" max="5" width="13" style="716" bestFit="1" customWidth="1"/>
    <col min="6" max="7" width="15.33203125" style="716" bestFit="1" customWidth="1"/>
    <col min="8" max="8" width="21.109375" style="716" bestFit="1" customWidth="1"/>
    <col min="9" max="9" width="21.6640625" style="716" bestFit="1" customWidth="1"/>
    <col min="10" max="10" width="10.109375" style="716" customWidth="1"/>
    <col min="11" max="11" width="11.6640625" style="716" bestFit="1" customWidth="1"/>
    <col min="12" max="12" width="28.88671875" style="716" customWidth="1"/>
    <col min="13" max="13" width="3.33203125" style="716" customWidth="1"/>
    <col min="14" max="19" width="15.6640625" style="716" customWidth="1"/>
    <col min="20" max="16384" width="8" style="716"/>
  </cols>
  <sheetData>
    <row r="1" spans="2:15" ht="22.8" x14ac:dyDescent="0.4">
      <c r="B1" s="717" t="s">
        <v>746</v>
      </c>
    </row>
    <row r="2" spans="2:15" ht="15.6" x14ac:dyDescent="0.3">
      <c r="B2" s="719" t="s">
        <v>381</v>
      </c>
    </row>
    <row r="3" spans="2:15" x14ac:dyDescent="0.25">
      <c r="B3" s="720" t="s">
        <v>725</v>
      </c>
    </row>
    <row r="4" spans="2:15" x14ac:dyDescent="0.25">
      <c r="B4" s="720"/>
    </row>
    <row r="5" spans="2:15" x14ac:dyDescent="0.25">
      <c r="E5" s="721" t="s">
        <v>850</v>
      </c>
      <c r="H5" s="721" t="s">
        <v>870</v>
      </c>
      <c r="I5" s="721" t="s">
        <v>873</v>
      </c>
    </row>
    <row r="6" spans="2:15" x14ac:dyDescent="0.25">
      <c r="D6" s="721" t="s">
        <v>856</v>
      </c>
      <c r="E6" s="721" t="s">
        <v>539</v>
      </c>
      <c r="F6" s="721" t="s">
        <v>852</v>
      </c>
      <c r="G6" s="721" t="s">
        <v>855</v>
      </c>
      <c r="H6" s="721" t="s">
        <v>871</v>
      </c>
      <c r="I6" s="721" t="s">
        <v>874</v>
      </c>
      <c r="J6" s="721"/>
      <c r="K6" s="721" t="s">
        <v>747</v>
      </c>
    </row>
    <row r="7" spans="2:15" s="722" customFormat="1" x14ac:dyDescent="0.25">
      <c r="B7" s="723" t="s">
        <v>727</v>
      </c>
      <c r="D7" s="722" t="s">
        <v>728</v>
      </c>
      <c r="E7" s="722" t="s">
        <v>851</v>
      </c>
      <c r="F7" s="722" t="s">
        <v>853</v>
      </c>
      <c r="G7" s="722" t="s">
        <v>854</v>
      </c>
      <c r="H7" s="722" t="s">
        <v>872</v>
      </c>
      <c r="I7" s="722" t="s">
        <v>875</v>
      </c>
      <c r="J7" s="722" t="s">
        <v>2</v>
      </c>
      <c r="K7" s="722" t="s">
        <v>748</v>
      </c>
    </row>
    <row r="8" spans="2:15" s="722" customFormat="1" x14ac:dyDescent="0.25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5" s="722" customFormat="1" x14ac:dyDescent="0.25">
      <c r="B9" s="724" t="s">
        <v>688</v>
      </c>
      <c r="D9" s="811">
        <v>0.5</v>
      </c>
    </row>
    <row r="10" spans="2:15" s="722" customFormat="1" x14ac:dyDescent="0.25">
      <c r="B10" s="724" t="s">
        <v>731</v>
      </c>
      <c r="D10" s="863">
        <f>D8*(1+D9)</f>
        <v>32.160000000000004</v>
      </c>
    </row>
    <row r="11" spans="2:15" s="722" customFormat="1" x14ac:dyDescent="0.25">
      <c r="B11" s="724" t="s">
        <v>732</v>
      </c>
      <c r="D11" s="727">
        <f>+'Financial Data Slide'!E26</f>
        <v>159.24600000000001</v>
      </c>
    </row>
    <row r="12" spans="2:15" x14ac:dyDescent="0.25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+I14+I13</f>
        <v>7500</v>
      </c>
      <c r="J12" s="746">
        <f>J14-J13</f>
        <v>8700.4009999999998</v>
      </c>
      <c r="K12" s="729">
        <f>+J12+D12</f>
        <v>3579.0496399999993</v>
      </c>
    </row>
    <row r="13" spans="2:15" ht="17.399999999999999" x14ac:dyDescent="0.4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3">
        <f>IF((D13+E20+F20+G20+H20)&gt;0,0,D13+E20+F20+G20+H20)</f>
        <v>0</v>
      </c>
      <c r="J13" s="733">
        <f>-D13</f>
        <v>3549.5990000000002</v>
      </c>
      <c r="K13" s="733">
        <v>0</v>
      </c>
      <c r="O13" s="746"/>
    </row>
    <row r="14" spans="2:15" x14ac:dyDescent="0.25">
      <c r="B14" s="716" t="s">
        <v>37</v>
      </c>
      <c r="D14" s="729">
        <f>+D13+D12</f>
        <v>-8670.9503600000007</v>
      </c>
      <c r="E14" s="729">
        <f>'Full BreakUp'!H23</f>
        <v>1550</v>
      </c>
      <c r="F14" s="729">
        <f>'Full BreakUp'!H29</f>
        <v>900</v>
      </c>
      <c r="G14" s="729">
        <f>'Full BreakUp'!H35</f>
        <v>1800</v>
      </c>
      <c r="H14" s="729">
        <f>'Full BreakUp'!H41</f>
        <v>500</v>
      </c>
      <c r="I14" s="729">
        <f>'Full BreakUp'!H47</f>
        <v>7500</v>
      </c>
      <c r="J14" s="729">
        <f>+SUM(E14:I14)</f>
        <v>12250</v>
      </c>
      <c r="K14" s="729">
        <f>+J14+D14</f>
        <v>3579.0496399999993</v>
      </c>
      <c r="O14" s="729"/>
    </row>
    <row r="15" spans="2:15" x14ac:dyDescent="0.25">
      <c r="D15" s="734"/>
      <c r="E15" s="734"/>
      <c r="F15" s="734"/>
      <c r="G15" s="734"/>
      <c r="H15" s="734"/>
      <c r="I15" s="734"/>
      <c r="J15" s="734"/>
      <c r="K15" s="729"/>
      <c r="O15" s="729"/>
    </row>
    <row r="16" spans="2:15" ht="17.399999999999999" x14ac:dyDescent="0.4">
      <c r="B16" s="735" t="s">
        <v>753</v>
      </c>
      <c r="D16" s="733" t="s">
        <v>478</v>
      </c>
      <c r="E16" s="732">
        <f>-'Tax Basis'!H9</f>
        <v>-1223.5921020408161</v>
      </c>
      <c r="F16" s="732">
        <f>-'Tax Basis'!G9</f>
        <v>-159.07838614564733</v>
      </c>
      <c r="G16" s="732">
        <f>-'Tax Basis'!F9</f>
        <v>-442.67877373137264</v>
      </c>
      <c r="H16" s="732">
        <f>-'Tax Basis'!M9</f>
        <v>-74.385435841777991</v>
      </c>
      <c r="I16" s="732">
        <f>+D12</f>
        <v>-5121.3513600000006</v>
      </c>
      <c r="J16" s="733"/>
      <c r="K16" s="733">
        <v>0</v>
      </c>
    </row>
    <row r="17" spans="2:11" ht="15.6" x14ac:dyDescent="0.25">
      <c r="B17" s="735" t="s">
        <v>754</v>
      </c>
      <c r="D17" s="736" t="s">
        <v>478</v>
      </c>
      <c r="E17" s="734">
        <f>'Full BreakUp'!H25</f>
        <v>488.54478257271876</v>
      </c>
      <c r="F17" s="734">
        <f>'Full BreakUp'!H31</f>
        <v>740.9216138543527</v>
      </c>
      <c r="G17" s="734">
        <f>'Full BreakUp'!H37</f>
        <v>738.54478257271876</v>
      </c>
      <c r="H17" s="734">
        <f>'Full BreakUp'!H43</f>
        <v>425.61456415822204</v>
      </c>
      <c r="I17" s="734">
        <f>'Full BreakUp'!H49</f>
        <v>2379.2458124999994</v>
      </c>
      <c r="J17" s="747"/>
      <c r="K17" s="747">
        <v>0</v>
      </c>
    </row>
    <row r="18" spans="2:11" x14ac:dyDescent="0.25">
      <c r="B18" s="735"/>
      <c r="D18" s="736"/>
      <c r="E18" s="734"/>
      <c r="F18" s="734"/>
      <c r="G18" s="734"/>
      <c r="H18" s="734"/>
      <c r="I18" s="734"/>
      <c r="J18" s="747"/>
      <c r="K18" s="747"/>
    </row>
    <row r="19" spans="2:11" x14ac:dyDescent="0.25">
      <c r="B19" s="737" t="s">
        <v>733</v>
      </c>
      <c r="C19" s="738">
        <v>0.38500000000000001</v>
      </c>
      <c r="D19" s="734">
        <v>0</v>
      </c>
      <c r="E19" s="734">
        <f>-C19*E17</f>
        <v>-188.08974129049673</v>
      </c>
      <c r="F19" s="734">
        <f>-C19*F17</f>
        <v>-285.2548213339258</v>
      </c>
      <c r="G19" s="734">
        <f>-$C$19*G17</f>
        <v>-284.3397412904967</v>
      </c>
      <c r="H19" s="734">
        <f>-$C$19*H17</f>
        <v>-163.8616072009155</v>
      </c>
      <c r="I19" s="734">
        <f>-$C$19*I17</f>
        <v>-916.00963781249982</v>
      </c>
      <c r="J19" s="747"/>
      <c r="K19" s="748">
        <f>SUM(E19:I19)</f>
        <v>-1837.5555489283347</v>
      </c>
    </row>
    <row r="20" spans="2:11" ht="14.4" customHeight="1" thickBot="1" x14ac:dyDescent="0.3">
      <c r="B20" s="737" t="s">
        <v>734</v>
      </c>
      <c r="D20" s="740">
        <f>+D14</f>
        <v>-8670.9503600000007</v>
      </c>
      <c r="E20" s="740">
        <f>+E14+E19</f>
        <v>1361.9102587095033</v>
      </c>
      <c r="F20" s="740">
        <f>+F14+F19</f>
        <v>614.74517866607425</v>
      </c>
      <c r="G20" s="740">
        <f>+G14+G19</f>
        <v>1515.6602587095033</v>
      </c>
      <c r="H20" s="740">
        <f>+H14+H19</f>
        <v>336.1383927990845</v>
      </c>
      <c r="I20" s="740">
        <f>+I14+I19</f>
        <v>6583.9903621875001</v>
      </c>
      <c r="J20" s="747"/>
      <c r="K20" s="740">
        <f>+K14+K19</f>
        <v>1741.4940910716646</v>
      </c>
    </row>
    <row r="21" spans="2:11" ht="13.8" thickTop="1" x14ac:dyDescent="0.25">
      <c r="B21" s="737"/>
      <c r="D21" s="734"/>
      <c r="E21" s="734"/>
      <c r="F21" s="734"/>
      <c r="G21" s="734"/>
      <c r="H21" s="734"/>
      <c r="I21" s="734"/>
      <c r="J21" s="747"/>
      <c r="K21" s="741"/>
    </row>
    <row r="22" spans="2:11" ht="15.6" x14ac:dyDescent="0.25">
      <c r="B22" s="723" t="s">
        <v>755</v>
      </c>
      <c r="D22" s="734"/>
      <c r="E22" s="734"/>
      <c r="F22" s="734"/>
      <c r="G22" s="734"/>
      <c r="H22" s="734"/>
      <c r="I22" s="734"/>
      <c r="J22" s="734"/>
      <c r="K22" s="741"/>
    </row>
    <row r="23" spans="2:11" x14ac:dyDescent="0.25">
      <c r="B23" s="742" t="s">
        <v>735</v>
      </c>
      <c r="D23" s="734">
        <f>+'Corp I-S&amp;B-S'!J28</f>
        <v>414.37212000000068</v>
      </c>
      <c r="E23" s="734">
        <f t="shared" ref="E23:F25" si="0">+$D23*(E$26/$D$26)</f>
        <v>171.89238512541169</v>
      </c>
      <c r="F23" s="734">
        <f t="shared" si="0"/>
        <v>25.334167523822771</v>
      </c>
      <c r="G23" s="736" t="s">
        <v>478</v>
      </c>
      <c r="H23" s="734">
        <f t="shared" ref="H23:I25" si="1">+$D23*(H$26/$D$26)</f>
        <v>242.47973487458901</v>
      </c>
      <c r="I23" s="734">
        <f t="shared" si="1"/>
        <v>146.64637205038764</v>
      </c>
      <c r="J23" s="734">
        <f>+D23</f>
        <v>414.37212000000068</v>
      </c>
      <c r="K23" s="741"/>
    </row>
    <row r="24" spans="2:11" x14ac:dyDescent="0.25">
      <c r="B24" s="742" t="s">
        <v>736</v>
      </c>
      <c r="D24" s="734">
        <f>+'Corp I-S&amp;B-S'!J44</f>
        <v>1226.8630000000005</v>
      </c>
      <c r="E24" s="734">
        <f t="shared" si="0"/>
        <v>508.93483686141269</v>
      </c>
      <c r="F24" s="734">
        <f t="shared" si="0"/>
        <v>75.008793474763067</v>
      </c>
      <c r="G24" s="734">
        <f>+'Sum of Parts-Slide'!D21</f>
        <v>101.72876486385822</v>
      </c>
      <c r="H24" s="734">
        <f t="shared" si="1"/>
        <v>717.92816313858793</v>
      </c>
      <c r="I24" s="734">
        <f t="shared" si="1"/>
        <v>434.18704895699665</v>
      </c>
      <c r="J24" s="734">
        <f>+D24</f>
        <v>1226.8630000000005</v>
      </c>
      <c r="K24" s="741"/>
    </row>
    <row r="25" spans="2:11" x14ac:dyDescent="0.25">
      <c r="B25" s="716" t="s">
        <v>737</v>
      </c>
      <c r="D25" s="734">
        <f>+'Corp I-S&amp;B-S'!N56</f>
        <v>2638.3670000000002</v>
      </c>
      <c r="E25" s="734">
        <f t="shared" si="0"/>
        <v>1094.463586175094</v>
      </c>
      <c r="F25" s="734">
        <f t="shared" si="0"/>
        <v>161.3062953350375</v>
      </c>
      <c r="G25" s="734">
        <f>+$D25*(G26/$D$26)</f>
        <v>448.87853557105547</v>
      </c>
      <c r="H25" s="734">
        <f t="shared" si="1"/>
        <v>1543.9034138249065</v>
      </c>
      <c r="I25" s="734">
        <f t="shared" si="1"/>
        <v>933.71858291881335</v>
      </c>
      <c r="J25" s="734">
        <f>+D25</f>
        <v>2638.3670000000002</v>
      </c>
    </row>
    <row r="26" spans="2:11" ht="15.6" x14ac:dyDescent="0.25">
      <c r="B26" s="742" t="s">
        <v>756</v>
      </c>
      <c r="D26" s="734">
        <f>+'Corp I-S&amp;B-S'!N20</f>
        <v>6168.4179999999997</v>
      </c>
      <c r="E26" s="734">
        <f>+'Tax Basis'!H7</f>
        <v>2558.8209999999999</v>
      </c>
      <c r="F26" s="734">
        <f>+'Tax Basis'!G7</f>
        <v>377.12898003119403</v>
      </c>
      <c r="G26" s="734">
        <f>+'Tax Basis'!F7</f>
        <v>1049.4637169999999</v>
      </c>
      <c r="H26" s="734">
        <f>+'Tax Basis'!D7</f>
        <v>3609.5970000000002</v>
      </c>
      <c r="I26" s="734">
        <f>+'Tax Basis'!E7</f>
        <v>2183.0043029688059</v>
      </c>
      <c r="J26" s="734">
        <f>+D26</f>
        <v>6168.4179999999997</v>
      </c>
    </row>
    <row r="27" spans="2:11" ht="15.6" x14ac:dyDescent="0.25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'Sum of Parts-Slide'!D36</f>
        <v>1785.8400000000001</v>
      </c>
      <c r="I27" s="734">
        <f>'Sum of Parts-Slide'!D30</f>
        <v>9503.41</v>
      </c>
      <c r="J27" s="734">
        <f>+D27</f>
        <v>11289.25</v>
      </c>
    </row>
    <row r="28" spans="2:11" x14ac:dyDescent="0.25">
      <c r="B28" s="742"/>
      <c r="D28" s="734"/>
      <c r="E28" s="734"/>
      <c r="F28" s="734"/>
      <c r="G28" s="734"/>
      <c r="H28" s="734"/>
      <c r="I28" s="734"/>
      <c r="J28" s="734"/>
    </row>
    <row r="29" spans="2:11" ht="15.6" x14ac:dyDescent="0.25">
      <c r="B29" s="743" t="s">
        <v>758</v>
      </c>
      <c r="D29" s="734"/>
      <c r="E29" s="734"/>
      <c r="F29" s="734"/>
      <c r="G29" s="734"/>
      <c r="H29" s="734"/>
      <c r="I29" s="734"/>
      <c r="J29" s="734"/>
    </row>
    <row r="30" spans="2:11" ht="15.6" x14ac:dyDescent="0.25">
      <c r="B30" s="728" t="s">
        <v>759</v>
      </c>
      <c r="D30" s="744">
        <f>+ABS(D14/D24)</f>
        <v>7.0675783359674202</v>
      </c>
      <c r="E30" s="745">
        <f>+E14/E24</f>
        <v>3.045576540915941</v>
      </c>
      <c r="F30" s="745">
        <f>+F14/F24</f>
        <v>11.998593208978994</v>
      </c>
      <c r="G30" s="744">
        <f>+G14/G24</f>
        <v>17.694110435813389</v>
      </c>
      <c r="H30" s="745">
        <f>+H14/H24</f>
        <v>0.69644851068961433</v>
      </c>
      <c r="I30" s="745">
        <f>+I14/I24</f>
        <v>17.273661243504353</v>
      </c>
      <c r="J30" s="744">
        <f>+ABS(J14/J24)</f>
        <v>9.9848149304364018</v>
      </c>
    </row>
    <row r="31" spans="2:11" x14ac:dyDescent="0.25">
      <c r="B31" s="716" t="s">
        <v>738</v>
      </c>
      <c r="D31" s="745">
        <f>ABS(D14/D26)</f>
        <v>1.4057008393400061</v>
      </c>
      <c r="E31" s="744">
        <f>+E14/E26</f>
        <v>0.60574772522188935</v>
      </c>
      <c r="F31" s="744">
        <f>+F14/F26</f>
        <v>2.3864514467319826</v>
      </c>
      <c r="G31" s="745">
        <f>+G14/G26</f>
        <v>1.7151617257864669</v>
      </c>
      <c r="H31" s="745">
        <f>+H14/H26</f>
        <v>0.13851961867211215</v>
      </c>
      <c r="I31" s="745">
        <f>+I14/I26</f>
        <v>3.4356322567941229</v>
      </c>
      <c r="J31" s="745">
        <f>ABS(J14/J26)</f>
        <v>1.9859224845008883</v>
      </c>
    </row>
    <row r="32" spans="2:11" x14ac:dyDescent="0.25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0" t="s">
        <v>478</v>
      </c>
      <c r="H32" s="730" t="s">
        <v>478</v>
      </c>
      <c r="I32" s="730" t="s">
        <v>478</v>
      </c>
      <c r="J32" s="745">
        <f>ABS(J12/J25)</f>
        <v>3.2976462334466734</v>
      </c>
    </row>
    <row r="33" spans="1:12" x14ac:dyDescent="0.25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0" t="s">
        <v>478</v>
      </c>
      <c r="H33" s="730" t="s">
        <v>478</v>
      </c>
      <c r="I33" s="730" t="s">
        <v>478</v>
      </c>
      <c r="J33" s="744">
        <f>ABS(J12/J23)</f>
        <v>20.99658876663803</v>
      </c>
    </row>
    <row r="34" spans="1:12" x14ac:dyDescent="0.25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864">
        <f>H14/H27*1000</f>
        <v>279.98028938762707</v>
      </c>
      <c r="I34" s="864">
        <f>I14/I27*1000</f>
        <v>789.1904063909692</v>
      </c>
      <c r="J34" s="736" t="s">
        <v>478</v>
      </c>
    </row>
    <row r="37" spans="1:12" x14ac:dyDescent="0.25">
      <c r="A37" s="716">
        <v>1</v>
      </c>
      <c r="B37" s="728" t="s">
        <v>846</v>
      </c>
    </row>
    <row r="38" spans="1:12" x14ac:dyDescent="0.25">
      <c r="A38" s="716">
        <v>2</v>
      </c>
      <c r="B38" s="728" t="s">
        <v>772</v>
      </c>
    </row>
    <row r="39" spans="1:12" x14ac:dyDescent="0.25">
      <c r="A39" s="716">
        <v>3</v>
      </c>
      <c r="B39" s="716" t="s">
        <v>742</v>
      </c>
    </row>
    <row r="40" spans="1:12" x14ac:dyDescent="0.25">
      <c r="A40" s="716">
        <v>4</v>
      </c>
      <c r="B40" s="594" t="s">
        <v>705</v>
      </c>
    </row>
    <row r="41" spans="1:12" x14ac:dyDescent="0.25">
      <c r="A41" s="716">
        <v>5</v>
      </c>
      <c r="B41" s="716" t="s">
        <v>743</v>
      </c>
    </row>
    <row r="42" spans="1:12" x14ac:dyDescent="0.25">
      <c r="A42" s="716">
        <v>6</v>
      </c>
      <c r="B42" s="728" t="s">
        <v>847</v>
      </c>
    </row>
    <row r="43" spans="1:12" x14ac:dyDescent="0.25">
      <c r="A43" s="716">
        <v>7</v>
      </c>
      <c r="B43" s="716" t="s">
        <v>764</v>
      </c>
    </row>
    <row r="44" spans="1:12" x14ac:dyDescent="0.25">
      <c r="A44" s="716">
        <v>8</v>
      </c>
      <c r="B44" s="716" t="s">
        <v>744</v>
      </c>
    </row>
    <row r="45" spans="1:12" x14ac:dyDescent="0.25">
      <c r="A45" s="716">
        <v>9</v>
      </c>
      <c r="B45" s="716" t="s">
        <v>745</v>
      </c>
    </row>
    <row r="47" spans="1:12" ht="22.8" x14ac:dyDescent="0.4">
      <c r="L47" s="717" t="s">
        <v>760</v>
      </c>
    </row>
    <row r="48" spans="1:12" ht="15.6" x14ac:dyDescent="0.3">
      <c r="L48" s="719" t="s">
        <v>381</v>
      </c>
    </row>
    <row r="49" spans="12:19" x14ac:dyDescent="0.25">
      <c r="L49" s="720" t="s">
        <v>725</v>
      </c>
    </row>
    <row r="51" spans="12:19" s="749" customFormat="1" x14ac:dyDescent="0.25">
      <c r="L51" s="749" t="s">
        <v>761</v>
      </c>
      <c r="M51" s="752"/>
      <c r="N51" s="753">
        <v>0.1</v>
      </c>
      <c r="O51" s="753">
        <v>0.2</v>
      </c>
      <c r="P51" s="753">
        <v>0.3</v>
      </c>
      <c r="Q51" s="753">
        <v>0.4</v>
      </c>
      <c r="R51" s="753">
        <v>0.5</v>
      </c>
      <c r="S51" s="753">
        <v>0.6</v>
      </c>
    </row>
    <row r="52" spans="12:19" x14ac:dyDescent="0.25">
      <c r="L52" s="716" t="str">
        <f>+B12</f>
        <v>Equity Value</v>
      </c>
      <c r="M52" s="752">
        <f>-D12</f>
        <v>5121.3513600000006</v>
      </c>
      <c r="N52" s="734">
        <f t="shared" ref="N52:S52" si="2">+$D$8*(1+N51)*$D$11</f>
        <v>3755.6576640000008</v>
      </c>
      <c r="O52" s="734">
        <f t="shared" si="2"/>
        <v>4097.0810880000008</v>
      </c>
      <c r="P52" s="734">
        <f t="shared" si="2"/>
        <v>4438.5045120000004</v>
      </c>
      <c r="Q52" s="734">
        <f t="shared" si="2"/>
        <v>4779.927936</v>
      </c>
      <c r="R52" s="734">
        <f t="shared" si="2"/>
        <v>5121.3513600000006</v>
      </c>
      <c r="S52" s="734">
        <f t="shared" si="2"/>
        <v>5462.7747840000011</v>
      </c>
    </row>
    <row r="53" spans="12:19" x14ac:dyDescent="0.25">
      <c r="L53" s="716" t="s">
        <v>37</v>
      </c>
      <c r="M53" s="752">
        <f t="shared" ref="M53:S53" si="3">+M52-$D$13</f>
        <v>8670.9503600000007</v>
      </c>
      <c r="N53" s="746">
        <f t="shared" si="3"/>
        <v>7305.2566640000005</v>
      </c>
      <c r="O53" s="729">
        <f t="shared" si="3"/>
        <v>7646.680088000001</v>
      </c>
      <c r="P53" s="729">
        <f t="shared" si="3"/>
        <v>7988.1035120000006</v>
      </c>
      <c r="Q53" s="729">
        <f t="shared" si="3"/>
        <v>8329.5269360000002</v>
      </c>
      <c r="R53" s="729">
        <f t="shared" si="3"/>
        <v>8670.9503600000007</v>
      </c>
      <c r="S53" s="729">
        <f t="shared" si="3"/>
        <v>9012.3737840000013</v>
      </c>
    </row>
    <row r="54" spans="12:19" x14ac:dyDescent="0.25">
      <c r="M54" s="752"/>
      <c r="O54" s="750"/>
      <c r="P54" s="750"/>
      <c r="Q54" s="750"/>
      <c r="R54" s="750"/>
      <c r="S54" s="750"/>
    </row>
    <row r="55" spans="12:19" x14ac:dyDescent="0.25">
      <c r="L55" s="749" t="s">
        <v>750</v>
      </c>
      <c r="M55" s="752"/>
    </row>
    <row r="56" spans="12:19" x14ac:dyDescent="0.25">
      <c r="L56" s="728" t="s">
        <v>762</v>
      </c>
      <c r="M56" s="752"/>
      <c r="N56" s="751">
        <f t="shared" ref="N56:S56" si="4">N53/$D$24</f>
        <v>5.9544192497450794</v>
      </c>
      <c r="O56" s="751">
        <f t="shared" si="4"/>
        <v>6.2327090213006651</v>
      </c>
      <c r="P56" s="751">
        <f t="shared" si="4"/>
        <v>6.5109987928562498</v>
      </c>
      <c r="Q56" s="751">
        <f t="shared" si="4"/>
        <v>6.7892885644118346</v>
      </c>
      <c r="R56" s="751">
        <f t="shared" si="4"/>
        <v>7.0675783359674202</v>
      </c>
      <c r="S56" s="751">
        <f t="shared" si="4"/>
        <v>7.3458681075230059</v>
      </c>
    </row>
    <row r="57" spans="12:19" x14ac:dyDescent="0.25">
      <c r="L57" s="716" t="s">
        <v>738</v>
      </c>
      <c r="M57" s="752"/>
      <c r="N57" s="751">
        <f t="shared" ref="N57:S57" si="5">+N53/$D$26</f>
        <v>1.184299874619392</v>
      </c>
      <c r="O57" s="751">
        <f t="shared" si="5"/>
        <v>1.2396501157995456</v>
      </c>
      <c r="P57" s="751">
        <f t="shared" si="5"/>
        <v>1.2950003569796991</v>
      </c>
      <c r="Q57" s="751">
        <f t="shared" si="5"/>
        <v>1.3503505981598525</v>
      </c>
      <c r="R57" s="751">
        <f t="shared" si="5"/>
        <v>1.4057008393400061</v>
      </c>
      <c r="S57" s="751">
        <f t="shared" si="5"/>
        <v>1.4610510805201595</v>
      </c>
    </row>
    <row r="58" spans="12:19" x14ac:dyDescent="0.25">
      <c r="L58" s="716" t="s">
        <v>739</v>
      </c>
      <c r="M58" s="752"/>
      <c r="N58" s="751">
        <f t="shared" ref="N58:S58" si="6">+N52/$D$25</f>
        <v>1.4234781074808776</v>
      </c>
      <c r="O58" s="751">
        <f t="shared" si="6"/>
        <v>1.5528852081609574</v>
      </c>
      <c r="P58" s="751">
        <f t="shared" si="6"/>
        <v>1.6822923088410369</v>
      </c>
      <c r="Q58" s="751">
        <f t="shared" si="6"/>
        <v>1.8116994095211165</v>
      </c>
      <c r="R58" s="751">
        <f t="shared" si="6"/>
        <v>1.9411065102011964</v>
      </c>
      <c r="S58" s="751">
        <f t="shared" si="6"/>
        <v>2.0705136108812763</v>
      </c>
    </row>
    <row r="59" spans="12:19" x14ac:dyDescent="0.25">
      <c r="L59" s="716" t="s">
        <v>740</v>
      </c>
      <c r="M59" s="752"/>
      <c r="N59" s="751">
        <f t="shared" ref="N59:S59" si="7">N52/$D$23</f>
        <v>9.0634902367466097</v>
      </c>
      <c r="O59" s="751">
        <f t="shared" si="7"/>
        <v>9.8874438946326659</v>
      </c>
      <c r="P59" s="751">
        <f t="shared" si="7"/>
        <v>10.71139755251872</v>
      </c>
      <c r="Q59" s="751">
        <f t="shared" si="7"/>
        <v>11.535351210404773</v>
      </c>
      <c r="R59" s="751">
        <f t="shared" si="7"/>
        <v>12.359304868290831</v>
      </c>
      <c r="S59" s="751">
        <f t="shared" si="7"/>
        <v>13.183258526176887</v>
      </c>
    </row>
    <row r="60" spans="12:19" x14ac:dyDescent="0.25">
      <c r="M60" s="752"/>
      <c r="N60" s="751"/>
      <c r="O60" s="751"/>
      <c r="P60" s="751"/>
      <c r="Q60" s="751"/>
      <c r="R60" s="751"/>
      <c r="S60" s="751"/>
    </row>
    <row r="61" spans="12:19" hidden="1" x14ac:dyDescent="0.25">
      <c r="L61" s="716" t="s">
        <v>749</v>
      </c>
      <c r="M61" s="752"/>
      <c r="N61" s="750">
        <v>0.1</v>
      </c>
      <c r="O61" s="750">
        <v>0.2</v>
      </c>
      <c r="P61" s="750">
        <v>0.3</v>
      </c>
      <c r="Q61" s="750">
        <v>0.4</v>
      </c>
      <c r="R61" s="750">
        <v>0.5</v>
      </c>
      <c r="S61" s="750">
        <v>0.6</v>
      </c>
    </row>
    <row r="62" spans="12:19" x14ac:dyDescent="0.25">
      <c r="L62" s="754" t="s">
        <v>751</v>
      </c>
      <c r="M62" s="752">
        <f>+K19</f>
        <v>-1837.5555489283347</v>
      </c>
      <c r="N62" s="755">
        <f t="dataTable" ref="N62:S62" dt2D="0" dtr="1" r1="D9"/>
        <v>-1837.5555489283347</v>
      </c>
      <c r="O62" s="755">
        <v>-1837.5555489283347</v>
      </c>
      <c r="P62" s="755">
        <v>-1837.5555489283347</v>
      </c>
      <c r="Q62" s="755">
        <v>-1837.5555489283347</v>
      </c>
      <c r="R62" s="755">
        <v>-1837.5555489283347</v>
      </c>
      <c r="S62" s="755">
        <v>-1837.5555489283347</v>
      </c>
    </row>
    <row r="63" spans="12:19" hidden="1" x14ac:dyDescent="0.25">
      <c r="L63" s="754" t="s">
        <v>749</v>
      </c>
      <c r="M63" s="756"/>
      <c r="N63" s="757">
        <v>0.1</v>
      </c>
      <c r="O63" s="757">
        <v>0.2</v>
      </c>
      <c r="P63" s="757">
        <v>0.3</v>
      </c>
      <c r="Q63" s="757">
        <v>0.4</v>
      </c>
      <c r="R63" s="757">
        <v>0.5</v>
      </c>
      <c r="S63" s="757">
        <v>0.6</v>
      </c>
    </row>
    <row r="64" spans="12:19" x14ac:dyDescent="0.25">
      <c r="L64" s="716" t="s">
        <v>763</v>
      </c>
      <c r="M64" s="758">
        <f>+K20</f>
        <v>1741.4940910716646</v>
      </c>
      <c r="N64" s="755">
        <f t="dataTable" ref="N64:S64" dt2D="0" dtr="1" r1="D9"/>
        <v>3107.1877870716648</v>
      </c>
      <c r="O64" s="755">
        <v>2765.7643630716643</v>
      </c>
      <c r="P64" s="755">
        <v>2424.3409390716647</v>
      </c>
      <c r="Q64" s="755">
        <v>2082.9175150716651</v>
      </c>
      <c r="R64" s="755">
        <v>1741.4940910716646</v>
      </c>
      <c r="S64" s="755">
        <v>1400.070667071664</v>
      </c>
    </row>
  </sheetData>
  <pageMargins left="0.75" right="0.75" top="1" bottom="1" header="0.5" footer="0.5"/>
  <pageSetup scale="69" fitToHeight="2" orientation="landscape" r:id="rId1"/>
  <headerFooter alignWithMargins="0">
    <oddFooter>&amp;L&amp;P&amp;C&amp;D&amp;T&amp;R&amp;F</oddFooter>
  </headerFooter>
  <rowBreaks count="1" manualBreakCount="1">
    <brk id="45" max="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view="pageBreakPreview" zoomScale="70" zoomScaleNormal="100" workbookViewId="0">
      <selection activeCell="A43" sqref="A43"/>
    </sheetView>
  </sheetViews>
  <sheetFormatPr defaultColWidth="8" defaultRowHeight="13.2" x14ac:dyDescent="0.25"/>
  <cols>
    <col min="1" max="1" width="2.88671875" style="716" customWidth="1"/>
    <col min="2" max="2" width="25.44140625" style="716" customWidth="1"/>
    <col min="3" max="3" width="7.33203125" style="716" bestFit="1" customWidth="1"/>
    <col min="4" max="4" width="21" style="716" bestFit="1" customWidth="1"/>
    <col min="5" max="5" width="13" style="716" bestFit="1" customWidth="1"/>
    <col min="6" max="7" width="15.33203125" style="716" bestFit="1" customWidth="1"/>
    <col min="8" max="8" width="21.109375" style="716" bestFit="1" customWidth="1"/>
    <col min="9" max="9" width="21.6640625" style="716" customWidth="1"/>
    <col min="10" max="10" width="10" style="716" customWidth="1"/>
    <col min="11" max="11" width="11.6640625" style="716" bestFit="1" customWidth="1"/>
    <col min="12" max="12" width="28.88671875" style="716" customWidth="1"/>
    <col min="13" max="13" width="3.33203125" style="716" customWidth="1"/>
    <col min="14" max="19" width="15.6640625" style="716" customWidth="1"/>
    <col min="20" max="16384" width="8" style="716"/>
  </cols>
  <sheetData>
    <row r="1" spans="2:15" ht="22.8" x14ac:dyDescent="0.4">
      <c r="B1" s="717" t="s">
        <v>746</v>
      </c>
    </row>
    <row r="2" spans="2:15" ht="15.6" x14ac:dyDescent="0.3">
      <c r="B2" s="719" t="s">
        <v>382</v>
      </c>
    </row>
    <row r="3" spans="2:15" x14ac:dyDescent="0.25">
      <c r="B3" s="720" t="s">
        <v>725</v>
      </c>
    </row>
    <row r="4" spans="2:15" x14ac:dyDescent="0.25">
      <c r="B4" s="720"/>
    </row>
    <row r="5" spans="2:15" x14ac:dyDescent="0.25">
      <c r="E5" s="721" t="s">
        <v>850</v>
      </c>
      <c r="H5" s="721" t="s">
        <v>870</v>
      </c>
      <c r="I5" s="721" t="s">
        <v>873</v>
      </c>
    </row>
    <row r="6" spans="2:15" x14ac:dyDescent="0.25">
      <c r="D6" s="721" t="s">
        <v>856</v>
      </c>
      <c r="E6" s="721" t="s">
        <v>539</v>
      </c>
      <c r="F6" s="721" t="s">
        <v>852</v>
      </c>
      <c r="G6" s="721" t="s">
        <v>855</v>
      </c>
      <c r="H6" s="721" t="s">
        <v>871</v>
      </c>
      <c r="I6" s="721" t="s">
        <v>874</v>
      </c>
      <c r="J6" s="721"/>
      <c r="K6" s="721" t="s">
        <v>747</v>
      </c>
    </row>
    <row r="7" spans="2:15" s="722" customFormat="1" x14ac:dyDescent="0.25">
      <c r="B7" s="723" t="s">
        <v>727</v>
      </c>
      <c r="D7" s="722" t="s">
        <v>728</v>
      </c>
      <c r="E7" s="722" t="s">
        <v>851</v>
      </c>
      <c r="F7" s="722" t="s">
        <v>853</v>
      </c>
      <c r="G7" s="722" t="s">
        <v>854</v>
      </c>
      <c r="H7" s="722" t="s">
        <v>872</v>
      </c>
      <c r="I7" s="722" t="s">
        <v>875</v>
      </c>
      <c r="J7" s="722" t="s">
        <v>2</v>
      </c>
      <c r="K7" s="722" t="s">
        <v>748</v>
      </c>
    </row>
    <row r="8" spans="2:15" s="722" customFormat="1" x14ac:dyDescent="0.25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5" s="722" customFormat="1" x14ac:dyDescent="0.25">
      <c r="B9" s="724" t="s">
        <v>688</v>
      </c>
      <c r="D9" s="880">
        <f>'Full BreakUp'!G12</f>
        <v>0.5</v>
      </c>
    </row>
    <row r="10" spans="2:15" s="722" customFormat="1" x14ac:dyDescent="0.25">
      <c r="B10" s="724" t="s">
        <v>731</v>
      </c>
      <c r="D10" s="863">
        <f>D8*(1+D9)</f>
        <v>32.160000000000004</v>
      </c>
    </row>
    <row r="11" spans="2:15" s="722" customFormat="1" x14ac:dyDescent="0.25">
      <c r="B11" s="724" t="s">
        <v>732</v>
      </c>
      <c r="D11" s="727">
        <f>+'Financial Data Slide'!E26</f>
        <v>159.24600000000001</v>
      </c>
    </row>
    <row r="12" spans="2:15" x14ac:dyDescent="0.25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5448.3550888841646</v>
      </c>
      <c r="J12" s="746">
        <f>J14-J13</f>
        <v>6100.4009999999998</v>
      </c>
      <c r="K12" s="729">
        <f>+J12+D12</f>
        <v>979.04963999999927</v>
      </c>
    </row>
    <row r="13" spans="2:15" ht="17.399999999999999" x14ac:dyDescent="0.4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3">
        <f>IF((D13+E20+F20+G20+H20)&gt;0,0,-(D13+E20+F20+G20+H20))</f>
        <v>151.64491111583501</v>
      </c>
      <c r="J13" s="733">
        <f>-D13</f>
        <v>3549.5990000000002</v>
      </c>
      <c r="K13" s="733">
        <v>0</v>
      </c>
      <c r="O13" s="746"/>
    </row>
    <row r="14" spans="2:15" x14ac:dyDescent="0.25">
      <c r="B14" s="716" t="s">
        <v>37</v>
      </c>
      <c r="D14" s="734">
        <f>+D13+D12</f>
        <v>-8670.9503600000007</v>
      </c>
      <c r="E14" s="734">
        <f>'Full BreakUp'!E23</f>
        <v>1400</v>
      </c>
      <c r="F14" s="734">
        <f>'Full BreakUp'!E29</f>
        <v>750</v>
      </c>
      <c r="G14" s="734">
        <f>'Full BreakUp'!E35</f>
        <v>1600</v>
      </c>
      <c r="H14" s="734">
        <f>'Full BreakUp'!E41</f>
        <v>300</v>
      </c>
      <c r="I14" s="734">
        <f>'Full BreakUp'!E47</f>
        <v>5600</v>
      </c>
      <c r="J14" s="734">
        <f>+SUM(E14:I14)</f>
        <v>9650</v>
      </c>
      <c r="K14" s="729">
        <f>+J14+D14</f>
        <v>979.04963999999927</v>
      </c>
      <c r="O14" s="729"/>
    </row>
    <row r="15" spans="2:15" x14ac:dyDescent="0.25">
      <c r="D15" s="734"/>
      <c r="E15" s="734"/>
      <c r="F15" s="734"/>
      <c r="G15" s="734"/>
      <c r="H15" s="734"/>
      <c r="I15" s="734"/>
      <c r="J15" s="734"/>
      <c r="K15" s="729"/>
      <c r="O15" s="729"/>
    </row>
    <row r="16" spans="2:15" ht="17.399999999999999" x14ac:dyDescent="0.4">
      <c r="B16" s="735" t="s">
        <v>753</v>
      </c>
      <c r="D16" s="733" t="s">
        <v>478</v>
      </c>
      <c r="E16" s="732">
        <f>-'Tax Basis'!H9</f>
        <v>-1223.5921020408161</v>
      </c>
      <c r="F16" s="732">
        <f>-'Tax Basis'!G9</f>
        <v>-159.07838614564733</v>
      </c>
      <c r="G16" s="732">
        <f>-'Tax Basis'!F9</f>
        <v>-442.67877373137264</v>
      </c>
      <c r="H16" s="732">
        <f>-'Tax Basis'!M9</f>
        <v>-74.385435841777991</v>
      </c>
      <c r="I16" s="732">
        <f>+D12</f>
        <v>-5121.3513600000006</v>
      </c>
      <c r="J16" s="733"/>
      <c r="K16" s="733">
        <v>0</v>
      </c>
    </row>
    <row r="17" spans="2:11" ht="15.6" x14ac:dyDescent="0.25">
      <c r="B17" s="735" t="s">
        <v>754</v>
      </c>
      <c r="D17" s="736" t="s">
        <v>478</v>
      </c>
      <c r="E17" s="734">
        <f>'Full BreakUp'!E25</f>
        <v>338.54478257271876</v>
      </c>
      <c r="F17" s="734">
        <f>'Full BreakUp'!E31</f>
        <v>590.9216138543527</v>
      </c>
      <c r="G17" s="734">
        <f>'Full BreakUp'!E37</f>
        <v>538.54478257271876</v>
      </c>
      <c r="H17" s="734">
        <f>'Full BreakUp'!E43</f>
        <v>225.61456415822201</v>
      </c>
      <c r="I17" s="734">
        <f>'Full BreakUp'!E49</f>
        <v>479.24581249999937</v>
      </c>
      <c r="J17" s="747"/>
      <c r="K17" s="747">
        <v>0</v>
      </c>
    </row>
    <row r="18" spans="2:11" x14ac:dyDescent="0.25">
      <c r="B18" s="735"/>
      <c r="D18" s="736"/>
      <c r="E18" s="734"/>
      <c r="F18" s="734"/>
      <c r="G18" s="734"/>
      <c r="H18" s="734"/>
      <c r="I18" s="734"/>
      <c r="J18" s="747"/>
      <c r="K18" s="747"/>
    </row>
    <row r="19" spans="2:11" x14ac:dyDescent="0.25">
      <c r="B19" s="737" t="s">
        <v>733</v>
      </c>
      <c r="C19" s="738">
        <v>0.38500000000000001</v>
      </c>
      <c r="D19" s="734">
        <v>0</v>
      </c>
      <c r="E19" s="734">
        <f>-C19*E17</f>
        <v>-130.33974129049673</v>
      </c>
      <c r="F19" s="734">
        <f>-C19*F17</f>
        <v>-227.5048213339258</v>
      </c>
      <c r="G19" s="734">
        <f>-$C$19*G17</f>
        <v>-207.33974129049673</v>
      </c>
      <c r="H19" s="734">
        <f>-$C$19*H17</f>
        <v>-86.861607200915472</v>
      </c>
      <c r="I19" s="734">
        <f>-$C$19*I17</f>
        <v>-184.50963781249976</v>
      </c>
      <c r="J19" s="747"/>
      <c r="K19" s="748">
        <f>SUM(E19:I19)</f>
        <v>-836.55554892833447</v>
      </c>
    </row>
    <row r="20" spans="2:11" ht="14.4" customHeight="1" thickBot="1" x14ac:dyDescent="0.3">
      <c r="B20" s="737" t="s">
        <v>734</v>
      </c>
      <c r="D20" s="740">
        <f>+D14</f>
        <v>-8670.9503600000007</v>
      </c>
      <c r="E20" s="740">
        <f>+E14+E19</f>
        <v>1269.6602587095033</v>
      </c>
      <c r="F20" s="740">
        <f>+F14+F19</f>
        <v>522.49517866607425</v>
      </c>
      <c r="G20" s="740">
        <f>+G14+G19</f>
        <v>1392.6602587095033</v>
      </c>
      <c r="H20" s="740">
        <f>+H14+H19</f>
        <v>213.13839279908453</v>
      </c>
      <c r="I20" s="740">
        <f>+I14+I19</f>
        <v>5415.4903621875001</v>
      </c>
      <c r="J20" s="747"/>
      <c r="K20" s="740">
        <f>+K14+K19</f>
        <v>142.4940910716648</v>
      </c>
    </row>
    <row r="21" spans="2:11" ht="13.8" thickTop="1" x14ac:dyDescent="0.25">
      <c r="B21" s="737"/>
      <c r="D21" s="734"/>
      <c r="E21" s="734"/>
      <c r="F21" s="734"/>
      <c r="G21" s="734"/>
      <c r="H21" s="734"/>
      <c r="I21" s="734"/>
      <c r="J21" s="747"/>
      <c r="K21" s="741"/>
    </row>
    <row r="22" spans="2:11" ht="15.6" x14ac:dyDescent="0.25">
      <c r="B22" s="723" t="s">
        <v>755</v>
      </c>
      <c r="D22" s="734"/>
      <c r="E22" s="734"/>
      <c r="F22" s="734"/>
      <c r="G22" s="734"/>
      <c r="H22" s="734"/>
      <c r="I22" s="734"/>
      <c r="J22" s="734"/>
      <c r="K22" s="741"/>
    </row>
    <row r="23" spans="2:11" x14ac:dyDescent="0.25">
      <c r="B23" s="742" t="s">
        <v>735</v>
      </c>
      <c r="D23" s="734">
        <f>+'Corp I-S&amp;B-S'!J28</f>
        <v>414.37212000000068</v>
      </c>
      <c r="E23" s="734">
        <f t="shared" ref="E23:F25" si="0">+$D23*(E$26/$D$26)</f>
        <v>171.89238512541169</v>
      </c>
      <c r="F23" s="734">
        <f t="shared" si="0"/>
        <v>25.334167523822771</v>
      </c>
      <c r="G23" s="736" t="s">
        <v>478</v>
      </c>
      <c r="H23" s="734">
        <f t="shared" ref="H23:I25" si="1">+$D23*(H$26/$D$26)</f>
        <v>242.47973487458901</v>
      </c>
      <c r="I23" s="734">
        <f t="shared" si="1"/>
        <v>146.64637205038764</v>
      </c>
      <c r="J23" s="734">
        <f>+D23</f>
        <v>414.37212000000068</v>
      </c>
      <c r="K23" s="741"/>
    </row>
    <row r="24" spans="2:11" x14ac:dyDescent="0.25">
      <c r="B24" s="742" t="s">
        <v>736</v>
      </c>
      <c r="D24" s="734">
        <f>+'Corp I-S&amp;B-S'!J44</f>
        <v>1226.8630000000005</v>
      </c>
      <c r="E24" s="734">
        <f t="shared" si="0"/>
        <v>508.93483686141269</v>
      </c>
      <c r="F24" s="734">
        <f t="shared" si="0"/>
        <v>75.008793474763067</v>
      </c>
      <c r="G24" s="734">
        <f>+'Sum of Parts-Slide'!D21</f>
        <v>101.72876486385822</v>
      </c>
      <c r="H24" s="734">
        <f t="shared" si="1"/>
        <v>717.92816313858793</v>
      </c>
      <c r="I24" s="734">
        <f t="shared" si="1"/>
        <v>434.18704895699665</v>
      </c>
      <c r="J24" s="734">
        <f>+D24</f>
        <v>1226.8630000000005</v>
      </c>
      <c r="K24" s="741"/>
    </row>
    <row r="25" spans="2:11" x14ac:dyDescent="0.25">
      <c r="B25" s="716" t="s">
        <v>737</v>
      </c>
      <c r="D25" s="734">
        <f>+'Corp I-S&amp;B-S'!N56</f>
        <v>2638.3670000000002</v>
      </c>
      <c r="E25" s="734">
        <f t="shared" si="0"/>
        <v>1094.463586175094</v>
      </c>
      <c r="F25" s="734">
        <f t="shared" si="0"/>
        <v>161.3062953350375</v>
      </c>
      <c r="G25" s="734">
        <f>+$D25*(G26/$D$26)</f>
        <v>448.87853557105547</v>
      </c>
      <c r="H25" s="734">
        <f t="shared" si="1"/>
        <v>1543.9034138249065</v>
      </c>
      <c r="I25" s="734">
        <f t="shared" si="1"/>
        <v>933.71858291881335</v>
      </c>
      <c r="J25" s="734">
        <f>+D25</f>
        <v>2638.3670000000002</v>
      </c>
    </row>
    <row r="26" spans="2:11" ht="15.6" x14ac:dyDescent="0.25">
      <c r="B26" s="742" t="s">
        <v>756</v>
      </c>
      <c r="D26" s="734">
        <f>+'Corp I-S&amp;B-S'!N20</f>
        <v>6168.4179999999997</v>
      </c>
      <c r="E26" s="734">
        <f>+'Tax Basis'!H7</f>
        <v>2558.8209999999999</v>
      </c>
      <c r="F26" s="734">
        <f>+'Tax Basis'!G7</f>
        <v>377.12898003119403</v>
      </c>
      <c r="G26" s="734">
        <f>+'Tax Basis'!F7</f>
        <v>1049.4637169999999</v>
      </c>
      <c r="H26" s="734">
        <f>+'Tax Basis'!D7</f>
        <v>3609.5970000000002</v>
      </c>
      <c r="I26" s="734">
        <f>+'Tax Basis'!E7</f>
        <v>2183.0043029688059</v>
      </c>
      <c r="J26" s="734">
        <f>+D26</f>
        <v>6168.4179999999997</v>
      </c>
    </row>
    <row r="27" spans="2:11" ht="15.6" x14ac:dyDescent="0.25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'Sum of Parts-Slide'!D36</f>
        <v>1785.8400000000001</v>
      </c>
      <c r="I27" s="734">
        <f>'Sum of Parts-Slide'!D30</f>
        <v>9503.41</v>
      </c>
      <c r="J27" s="734">
        <f>+D27</f>
        <v>11289.25</v>
      </c>
    </row>
    <row r="28" spans="2:11" x14ac:dyDescent="0.25">
      <c r="B28" s="742"/>
      <c r="D28" s="734"/>
      <c r="E28" s="734"/>
      <c r="F28" s="734"/>
      <c r="G28" s="734"/>
      <c r="H28" s="734"/>
      <c r="I28" s="734"/>
      <c r="J28" s="734"/>
    </row>
    <row r="29" spans="2:11" ht="15.6" x14ac:dyDescent="0.25">
      <c r="B29" s="743" t="s">
        <v>758</v>
      </c>
      <c r="D29" s="734"/>
      <c r="E29" s="734"/>
      <c r="F29" s="734"/>
      <c r="G29" s="734"/>
      <c r="H29" s="734"/>
      <c r="I29" s="734"/>
      <c r="J29" s="734"/>
    </row>
    <row r="30" spans="2:11" ht="15.6" x14ac:dyDescent="0.25">
      <c r="B30" s="728" t="s">
        <v>759</v>
      </c>
      <c r="D30" s="744">
        <f>+ABS(D14/D24)</f>
        <v>7.0675783359674202</v>
      </c>
      <c r="E30" s="745">
        <f>+E14/E24</f>
        <v>2.7508433272789143</v>
      </c>
      <c r="F30" s="745">
        <f>+F14/F24</f>
        <v>9.9988276741491617</v>
      </c>
      <c r="G30" s="744">
        <f>+G14/G24</f>
        <v>15.728098165167456</v>
      </c>
      <c r="H30" s="745">
        <f>+H14/H24</f>
        <v>0.41786910641376857</v>
      </c>
      <c r="I30" s="745">
        <f>+I14/I24</f>
        <v>12.897667061816584</v>
      </c>
      <c r="J30" s="744">
        <f>+ABS(J14/J24)</f>
        <v>7.8655889043845937</v>
      </c>
    </row>
    <row r="31" spans="2:11" x14ac:dyDescent="0.25">
      <c r="B31" s="716" t="s">
        <v>738</v>
      </c>
      <c r="D31" s="745">
        <f>ABS(D14/D26)</f>
        <v>1.4057008393400061</v>
      </c>
      <c r="E31" s="744">
        <f>+E14/E26</f>
        <v>0.54712697761977103</v>
      </c>
      <c r="F31" s="744">
        <f>+F14/F26</f>
        <v>1.9887095389433189</v>
      </c>
      <c r="G31" s="745">
        <f>+G14/G26</f>
        <v>1.5245882006990816</v>
      </c>
      <c r="H31" s="745">
        <f>+H14/H26</f>
        <v>8.3111771203267279E-2</v>
      </c>
      <c r="I31" s="745">
        <f>+I14/I26</f>
        <v>2.5652720850729454</v>
      </c>
      <c r="J31" s="745">
        <f>ABS(J14/J26)</f>
        <v>1.5644205694231488</v>
      </c>
    </row>
    <row r="32" spans="2:11" x14ac:dyDescent="0.25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0" t="s">
        <v>478</v>
      </c>
      <c r="H32" s="730" t="s">
        <v>478</v>
      </c>
      <c r="I32" s="730" t="s">
        <v>478</v>
      </c>
      <c r="J32" s="745">
        <f>ABS(J12/J25)</f>
        <v>2.3121881830692996</v>
      </c>
    </row>
    <row r="33" spans="1:12" x14ac:dyDescent="0.25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0" t="s">
        <v>478</v>
      </c>
      <c r="H33" s="730" t="s">
        <v>478</v>
      </c>
      <c r="I33" s="730" t="s">
        <v>478</v>
      </c>
      <c r="J33" s="744">
        <f>ABS(J12/J23)</f>
        <v>14.722035353150666</v>
      </c>
    </row>
    <row r="34" spans="1:12" x14ac:dyDescent="0.25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864">
        <f>H14/H27*1000</f>
        <v>167.98817363257626</v>
      </c>
      <c r="I34" s="864">
        <f>I14/I27*1000</f>
        <v>589.26217010525693</v>
      </c>
      <c r="J34" s="736" t="s">
        <v>478</v>
      </c>
    </row>
    <row r="37" spans="1:12" x14ac:dyDescent="0.25">
      <c r="A37" s="716">
        <v>1</v>
      </c>
      <c r="B37" s="728" t="s">
        <v>846</v>
      </c>
    </row>
    <row r="38" spans="1:12" x14ac:dyDescent="0.25">
      <c r="A38" s="716">
        <v>2</v>
      </c>
      <c r="B38" s="728" t="s">
        <v>772</v>
      </c>
    </row>
    <row r="39" spans="1:12" x14ac:dyDescent="0.25">
      <c r="A39" s="716">
        <v>3</v>
      </c>
      <c r="B39" s="716" t="s">
        <v>742</v>
      </c>
    </row>
    <row r="40" spans="1:12" x14ac:dyDescent="0.25">
      <c r="A40" s="716">
        <v>4</v>
      </c>
      <c r="B40" s="594" t="s">
        <v>705</v>
      </c>
    </row>
    <row r="41" spans="1:12" x14ac:dyDescent="0.25">
      <c r="A41" s="716">
        <v>5</v>
      </c>
      <c r="B41" s="716" t="s">
        <v>743</v>
      </c>
    </row>
    <row r="42" spans="1:12" x14ac:dyDescent="0.25">
      <c r="A42" s="716">
        <v>6</v>
      </c>
      <c r="B42" s="728" t="s">
        <v>847</v>
      </c>
    </row>
    <row r="43" spans="1:12" x14ac:dyDescent="0.25">
      <c r="A43" s="716">
        <v>7</v>
      </c>
      <c r="B43" s="716" t="s">
        <v>764</v>
      </c>
    </row>
    <row r="44" spans="1:12" x14ac:dyDescent="0.25">
      <c r="A44" s="716">
        <v>8</v>
      </c>
      <c r="B44" s="716" t="s">
        <v>744</v>
      </c>
    </row>
    <row r="45" spans="1:12" x14ac:dyDescent="0.25">
      <c r="A45" s="716">
        <v>9</v>
      </c>
      <c r="B45" s="716" t="s">
        <v>745</v>
      </c>
    </row>
    <row r="47" spans="1:12" ht="22.8" x14ac:dyDescent="0.4">
      <c r="L47" s="717" t="s">
        <v>760</v>
      </c>
    </row>
    <row r="48" spans="1:12" ht="15.6" x14ac:dyDescent="0.3">
      <c r="L48" s="719" t="s">
        <v>382</v>
      </c>
    </row>
    <row r="49" spans="12:19" x14ac:dyDescent="0.25">
      <c r="L49" s="720" t="s">
        <v>725</v>
      </c>
    </row>
    <row r="51" spans="12:19" s="749" customFormat="1" x14ac:dyDescent="0.25">
      <c r="L51" s="749" t="s">
        <v>761</v>
      </c>
      <c r="M51" s="752"/>
      <c r="N51" s="753">
        <v>0.1</v>
      </c>
      <c r="O51" s="753">
        <v>0.2</v>
      </c>
      <c r="P51" s="753">
        <v>0.3</v>
      </c>
      <c r="Q51" s="753">
        <v>0.4</v>
      </c>
      <c r="R51" s="753">
        <v>0.5</v>
      </c>
      <c r="S51" s="753">
        <v>0.6</v>
      </c>
    </row>
    <row r="52" spans="12:19" x14ac:dyDescent="0.25">
      <c r="L52" s="716" t="str">
        <f>+B12</f>
        <v>Equity Value</v>
      </c>
      <c r="M52" s="752">
        <f>-D12</f>
        <v>5121.3513600000006</v>
      </c>
      <c r="N52" s="734">
        <f t="shared" ref="N52:S52" si="2">+$D$8*(1+N51)*$D$11</f>
        <v>3755.6576640000008</v>
      </c>
      <c r="O52" s="734">
        <f t="shared" si="2"/>
        <v>4097.0810880000008</v>
      </c>
      <c r="P52" s="734">
        <f t="shared" si="2"/>
        <v>4438.5045120000004</v>
      </c>
      <c r="Q52" s="734">
        <f t="shared" si="2"/>
        <v>4779.927936</v>
      </c>
      <c r="R52" s="734">
        <f t="shared" si="2"/>
        <v>5121.3513600000006</v>
      </c>
      <c r="S52" s="734">
        <f t="shared" si="2"/>
        <v>5462.7747840000011</v>
      </c>
    </row>
    <row r="53" spans="12:19" x14ac:dyDescent="0.25">
      <c r="L53" s="716" t="s">
        <v>37</v>
      </c>
      <c r="M53" s="752">
        <f t="shared" ref="M53:S53" si="3">+M52-$D$13</f>
        <v>8670.9503600000007</v>
      </c>
      <c r="N53" s="746">
        <f t="shared" si="3"/>
        <v>7305.2566640000005</v>
      </c>
      <c r="O53" s="729">
        <f t="shared" si="3"/>
        <v>7646.680088000001</v>
      </c>
      <c r="P53" s="729">
        <f t="shared" si="3"/>
        <v>7988.1035120000006</v>
      </c>
      <c r="Q53" s="729">
        <f t="shared" si="3"/>
        <v>8329.5269360000002</v>
      </c>
      <c r="R53" s="729">
        <f t="shared" si="3"/>
        <v>8670.9503600000007</v>
      </c>
      <c r="S53" s="729">
        <f t="shared" si="3"/>
        <v>9012.3737840000013</v>
      </c>
    </row>
    <row r="54" spans="12:19" x14ac:dyDescent="0.25">
      <c r="M54" s="752"/>
      <c r="O54" s="750"/>
      <c r="P54" s="750"/>
      <c r="Q54" s="750"/>
      <c r="R54" s="750"/>
      <c r="S54" s="750"/>
    </row>
    <row r="55" spans="12:19" x14ac:dyDescent="0.25">
      <c r="L55" s="749" t="s">
        <v>750</v>
      </c>
      <c r="M55" s="752"/>
    </row>
    <row r="56" spans="12:19" x14ac:dyDescent="0.25">
      <c r="L56" s="728" t="s">
        <v>762</v>
      </c>
      <c r="M56" s="752"/>
      <c r="N56" s="751">
        <f t="shared" ref="N56:S56" si="4">N53/$D$24</f>
        <v>5.9544192497450794</v>
      </c>
      <c r="O56" s="751">
        <f t="shared" si="4"/>
        <v>6.2327090213006651</v>
      </c>
      <c r="P56" s="751">
        <f t="shared" si="4"/>
        <v>6.5109987928562498</v>
      </c>
      <c r="Q56" s="751">
        <f t="shared" si="4"/>
        <v>6.7892885644118346</v>
      </c>
      <c r="R56" s="751">
        <f t="shared" si="4"/>
        <v>7.0675783359674202</v>
      </c>
      <c r="S56" s="751">
        <f t="shared" si="4"/>
        <v>7.3458681075230059</v>
      </c>
    </row>
    <row r="57" spans="12:19" x14ac:dyDescent="0.25">
      <c r="L57" s="716" t="s">
        <v>738</v>
      </c>
      <c r="M57" s="752"/>
      <c r="N57" s="751">
        <f t="shared" ref="N57:S57" si="5">+N53/$D$26</f>
        <v>1.184299874619392</v>
      </c>
      <c r="O57" s="751">
        <f t="shared" si="5"/>
        <v>1.2396501157995456</v>
      </c>
      <c r="P57" s="751">
        <f t="shared" si="5"/>
        <v>1.2950003569796991</v>
      </c>
      <c r="Q57" s="751">
        <f t="shared" si="5"/>
        <v>1.3503505981598525</v>
      </c>
      <c r="R57" s="751">
        <f t="shared" si="5"/>
        <v>1.4057008393400061</v>
      </c>
      <c r="S57" s="751">
        <f t="shared" si="5"/>
        <v>1.4610510805201595</v>
      </c>
    </row>
    <row r="58" spans="12:19" x14ac:dyDescent="0.25">
      <c r="L58" s="716" t="s">
        <v>739</v>
      </c>
      <c r="M58" s="752"/>
      <c r="N58" s="751">
        <f t="shared" ref="N58:S58" si="6">+N52/$D$25</f>
        <v>1.4234781074808776</v>
      </c>
      <c r="O58" s="751">
        <f t="shared" si="6"/>
        <v>1.5528852081609574</v>
      </c>
      <c r="P58" s="751">
        <f t="shared" si="6"/>
        <v>1.6822923088410369</v>
      </c>
      <c r="Q58" s="751">
        <f t="shared" si="6"/>
        <v>1.8116994095211165</v>
      </c>
      <c r="R58" s="751">
        <f t="shared" si="6"/>
        <v>1.9411065102011964</v>
      </c>
      <c r="S58" s="751">
        <f t="shared" si="6"/>
        <v>2.0705136108812763</v>
      </c>
    </row>
    <row r="59" spans="12:19" x14ac:dyDescent="0.25">
      <c r="L59" s="716" t="s">
        <v>740</v>
      </c>
      <c r="M59" s="752"/>
      <c r="N59" s="751">
        <f t="shared" ref="N59:S59" si="7">N52/$D$23</f>
        <v>9.0634902367466097</v>
      </c>
      <c r="O59" s="751">
        <f t="shared" si="7"/>
        <v>9.8874438946326659</v>
      </c>
      <c r="P59" s="751">
        <f t="shared" si="7"/>
        <v>10.71139755251872</v>
      </c>
      <c r="Q59" s="751">
        <f t="shared" si="7"/>
        <v>11.535351210404773</v>
      </c>
      <c r="R59" s="751">
        <f t="shared" si="7"/>
        <v>12.359304868290831</v>
      </c>
      <c r="S59" s="751">
        <f t="shared" si="7"/>
        <v>13.183258526176887</v>
      </c>
    </row>
    <row r="60" spans="12:19" x14ac:dyDescent="0.25">
      <c r="M60" s="752"/>
      <c r="N60" s="879">
        <f t="shared" ref="N60:S60" si="8">N51</f>
        <v>0.1</v>
      </c>
      <c r="O60" s="879">
        <f t="shared" si="8"/>
        <v>0.2</v>
      </c>
      <c r="P60" s="879">
        <f t="shared" si="8"/>
        <v>0.3</v>
      </c>
      <c r="Q60" s="879">
        <f t="shared" si="8"/>
        <v>0.4</v>
      </c>
      <c r="R60" s="879">
        <f t="shared" si="8"/>
        <v>0.5</v>
      </c>
      <c r="S60" s="879">
        <f t="shared" si="8"/>
        <v>0.6</v>
      </c>
    </row>
    <row r="61" spans="12:19" hidden="1" x14ac:dyDescent="0.25">
      <c r="L61" s="716" t="s">
        <v>749</v>
      </c>
      <c r="M61" s="752"/>
      <c r="N61" s="750">
        <f t="dataTable" ref="N61:S64" dt2D="0" dtr="1" r1="D9"/>
        <v>0</v>
      </c>
      <c r="O61" s="750">
        <v>0</v>
      </c>
      <c r="P61" s="750">
        <v>0</v>
      </c>
      <c r="Q61" s="750">
        <v>0</v>
      </c>
      <c r="R61" s="750">
        <v>0</v>
      </c>
      <c r="S61" s="750">
        <v>0</v>
      </c>
    </row>
    <row r="62" spans="12:19" x14ac:dyDescent="0.25">
      <c r="L62" s="754" t="s">
        <v>751</v>
      </c>
      <c r="M62" s="752">
        <f>+K19</f>
        <v>-836.55554892833447</v>
      </c>
      <c r="N62" s="755">
        <v>-836.55554892833447</v>
      </c>
      <c r="O62" s="755">
        <v>-836.55554892833447</v>
      </c>
      <c r="P62" s="755">
        <v>-836.55554892833447</v>
      </c>
      <c r="Q62" s="755">
        <v>-836.55554892833447</v>
      </c>
      <c r="R62" s="755">
        <v>-836.55554892833447</v>
      </c>
      <c r="S62" s="755">
        <v>-836.55554892833447</v>
      </c>
    </row>
    <row r="63" spans="12:19" hidden="1" x14ac:dyDescent="0.25">
      <c r="L63" s="754" t="s">
        <v>749</v>
      </c>
      <c r="M63" s="756"/>
      <c r="N63" s="757">
        <v>0</v>
      </c>
      <c r="O63" s="757">
        <v>0</v>
      </c>
      <c r="P63" s="757">
        <v>0</v>
      </c>
      <c r="Q63" s="757">
        <v>0</v>
      </c>
      <c r="R63" s="757">
        <v>0</v>
      </c>
      <c r="S63" s="757">
        <v>0</v>
      </c>
    </row>
    <row r="64" spans="12:19" x14ac:dyDescent="0.25">
      <c r="L64" s="716" t="s">
        <v>763</v>
      </c>
      <c r="M64" s="752">
        <f>+K20</f>
        <v>142.4940910716648</v>
      </c>
      <c r="N64" s="755">
        <v>1508.1877870716651</v>
      </c>
      <c r="O64" s="755">
        <v>1166.7643630716645</v>
      </c>
      <c r="P64" s="755">
        <v>825.34093907166493</v>
      </c>
      <c r="Q64" s="755">
        <v>483.91751507166532</v>
      </c>
      <c r="R64" s="755">
        <v>142.4940910716648</v>
      </c>
      <c r="S64" s="755">
        <v>-198.92933292833573</v>
      </c>
    </row>
  </sheetData>
  <pageMargins left="0.75" right="0.75" top="1" bottom="1" header="0.5" footer="0.5"/>
  <pageSetup scale="69" fitToHeight="2" orientation="landscape" r:id="rId1"/>
  <headerFooter alignWithMargins="0">
    <oddFooter>&amp;L&amp;P&amp;C&amp;D&amp;T&amp;R&amp;F</oddFooter>
  </headerFooter>
  <rowBreaks count="1" manualBreakCount="1">
    <brk id="47" max="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zoomScale="70" zoomScaleNormal="75" zoomScaleSheetLayoutView="50" workbookViewId="0">
      <selection activeCell="D42" sqref="D42"/>
    </sheetView>
  </sheetViews>
  <sheetFormatPr defaultColWidth="9.109375" defaultRowHeight="13.2" x14ac:dyDescent="0.25"/>
  <cols>
    <col min="1" max="1" width="2.33203125" style="594" customWidth="1"/>
    <col min="2" max="2" width="51.109375" style="594" customWidth="1"/>
    <col min="3" max="3" width="26.33203125" style="594" customWidth="1"/>
    <col min="4" max="4" width="12.5546875" style="594" customWidth="1"/>
    <col min="5" max="5" width="10.33203125" style="594" customWidth="1"/>
    <col min="6" max="6" width="11.6640625" style="594" bestFit="1" customWidth="1"/>
    <col min="7" max="7" width="10.88671875" style="594" customWidth="1"/>
    <col min="8" max="8" width="12.109375" style="594" customWidth="1"/>
    <col min="9" max="9" width="1.109375" style="594" hidden="1" customWidth="1"/>
    <col min="10" max="10" width="4.109375" style="594" bestFit="1" customWidth="1"/>
    <col min="11" max="11" width="27.33203125" style="594" customWidth="1"/>
    <col min="12" max="16384" width="9.109375" style="594"/>
  </cols>
  <sheetData>
    <row r="1" spans="2:12" ht="17.399999999999999" x14ac:dyDescent="0.3">
      <c r="B1" s="593" t="s">
        <v>723</v>
      </c>
    </row>
    <row r="2" spans="2:12" x14ac:dyDescent="0.25">
      <c r="B2" s="595" t="s">
        <v>17</v>
      </c>
      <c r="C2" s="596" t="s">
        <v>665</v>
      </c>
    </row>
    <row r="3" spans="2:12" x14ac:dyDescent="0.25">
      <c r="B3" s="594">
        <v>1</v>
      </c>
      <c r="C3" s="594" t="s">
        <v>565</v>
      </c>
    </row>
    <row r="4" spans="2:12" x14ac:dyDescent="0.25">
      <c r="B4" s="594">
        <v>2</v>
      </c>
      <c r="C4" s="594" t="s">
        <v>817</v>
      </c>
    </row>
    <row r="5" spans="2:12" x14ac:dyDescent="0.25">
      <c r="B5" s="594">
        <v>3</v>
      </c>
      <c r="C5" s="594" t="s">
        <v>841</v>
      </c>
    </row>
    <row r="6" spans="2:12" x14ac:dyDescent="0.25">
      <c r="B6" s="594">
        <v>4</v>
      </c>
      <c r="C6" s="594" t="s">
        <v>877</v>
      </c>
    </row>
    <row r="7" spans="2:12" x14ac:dyDescent="0.25">
      <c r="B7" s="594">
        <v>5</v>
      </c>
      <c r="C7" s="594" t="s">
        <v>878</v>
      </c>
    </row>
    <row r="8" spans="2:12" x14ac:dyDescent="0.25">
      <c r="B8" s="594">
        <v>6</v>
      </c>
      <c r="C8" s="594" t="s">
        <v>876</v>
      </c>
    </row>
    <row r="11" spans="2:12" x14ac:dyDescent="0.25">
      <c r="G11" s="597"/>
      <c r="H11" s="597"/>
      <c r="J11" s="597"/>
      <c r="L11" s="594" t="s">
        <v>808</v>
      </c>
    </row>
    <row r="12" spans="2:12" x14ac:dyDescent="0.25">
      <c r="B12" s="594" t="s">
        <v>572</v>
      </c>
      <c r="C12" s="594" t="s">
        <v>40</v>
      </c>
      <c r="F12" s="598">
        <f>+'accretion-dilutionIQ'!D6</f>
        <v>21.4375</v>
      </c>
      <c r="H12" s="597"/>
      <c r="J12" s="597"/>
    </row>
    <row r="13" spans="2:12" x14ac:dyDescent="0.25">
      <c r="B13" s="594" t="s">
        <v>678</v>
      </c>
      <c r="C13" s="594" t="s">
        <v>688</v>
      </c>
      <c r="F13" s="778">
        <v>0.5</v>
      </c>
      <c r="H13" s="597"/>
      <c r="J13" s="597"/>
    </row>
    <row r="14" spans="2:12" x14ac:dyDescent="0.25">
      <c r="C14" s="594" t="s">
        <v>689</v>
      </c>
      <c r="F14" s="598">
        <f>+F12*(1+F13)</f>
        <v>32.15625</v>
      </c>
      <c r="H14" s="597"/>
      <c r="J14" s="597"/>
    </row>
    <row r="15" spans="2:12" x14ac:dyDescent="0.25">
      <c r="C15" s="594" t="s">
        <v>38</v>
      </c>
      <c r="F15" s="779">
        <f>+'Corp I-S&amp;B-S'!J41</f>
        <v>159.24600000000001</v>
      </c>
      <c r="H15" s="597"/>
      <c r="J15" s="597"/>
    </row>
    <row r="16" spans="2:12" x14ac:dyDescent="0.25">
      <c r="C16" s="594" t="s">
        <v>566</v>
      </c>
      <c r="F16" s="600">
        <f>+F15*F14</f>
        <v>5120.7541875000006</v>
      </c>
      <c r="H16" s="600"/>
      <c r="I16" s="601"/>
      <c r="K16" s="601"/>
    </row>
    <row r="17" spans="1:11" x14ac:dyDescent="0.25">
      <c r="C17" s="594" t="s">
        <v>702</v>
      </c>
      <c r="F17" s="600">
        <f>+'Corp I-S&amp;B-S'!$C$71</f>
        <v>3549.5990000000002</v>
      </c>
      <c r="H17" s="600"/>
      <c r="J17" s="603"/>
    </row>
    <row r="18" spans="1:11" x14ac:dyDescent="0.25">
      <c r="C18" s="594" t="s">
        <v>37</v>
      </c>
      <c r="F18" s="630">
        <f>+F17+F16</f>
        <v>8670.3531875000008</v>
      </c>
      <c r="H18" s="600"/>
      <c r="J18" s="603"/>
    </row>
    <row r="19" spans="1:11" x14ac:dyDescent="0.25">
      <c r="G19" s="630"/>
      <c r="H19" s="600"/>
      <c r="J19" s="603"/>
    </row>
    <row r="20" spans="1:11" x14ac:dyDescent="0.25">
      <c r="E20" s="631" t="s">
        <v>685</v>
      </c>
      <c r="F20" s="631"/>
      <c r="G20" s="631" t="s">
        <v>686</v>
      </c>
      <c r="I20" s="631"/>
      <c r="J20" s="605"/>
      <c r="K20" s="596" t="s">
        <v>687</v>
      </c>
    </row>
    <row r="21" spans="1:11" x14ac:dyDescent="0.25">
      <c r="E21" s="631" t="s">
        <v>701</v>
      </c>
      <c r="F21" s="631"/>
      <c r="G21" s="631" t="s">
        <v>701</v>
      </c>
      <c r="I21" s="631"/>
      <c r="J21" s="605"/>
      <c r="K21" s="596"/>
    </row>
    <row r="22" spans="1:11" x14ac:dyDescent="0.25">
      <c r="E22" s="631"/>
      <c r="F22" s="631"/>
      <c r="G22" s="631"/>
      <c r="I22" s="631"/>
      <c r="J22" s="605"/>
      <c r="K22" s="596"/>
    </row>
    <row r="23" spans="1:11" x14ac:dyDescent="0.25">
      <c r="A23" s="594">
        <v>2</v>
      </c>
      <c r="B23" s="594" t="str">
        <f>C4</f>
        <v>Sell PSI (entire Utility)</v>
      </c>
      <c r="C23" s="594" t="s">
        <v>37</v>
      </c>
      <c r="E23" s="606">
        <f>+'Sum of Parts-Slide'!M11</f>
        <v>1400</v>
      </c>
      <c r="F23" s="601"/>
      <c r="G23" s="606">
        <f>+'Sum of Parts-Slide'!O11</f>
        <v>1550</v>
      </c>
      <c r="I23" s="601"/>
      <c r="J23" s="605"/>
    </row>
    <row r="24" spans="1:11" x14ac:dyDescent="0.25">
      <c r="B24" s="594" t="s">
        <v>679</v>
      </c>
      <c r="C24" s="594" t="s">
        <v>709</v>
      </c>
      <c r="E24" s="606">
        <f>+'Tax Basis'!$F$9+'Tax Basis'!$J$9</f>
        <v>1061.4552174272812</v>
      </c>
      <c r="G24" s="606">
        <f>+'Tax Basis'!$F$9+'Tax Basis'!$J$9</f>
        <v>1061.4552174272812</v>
      </c>
      <c r="J24" s="605"/>
    </row>
    <row r="25" spans="1:11" x14ac:dyDescent="0.25">
      <c r="B25" s="594" t="s">
        <v>680</v>
      </c>
      <c r="C25" s="594" t="s">
        <v>570</v>
      </c>
      <c r="E25" s="606">
        <f>+E23-E24</f>
        <v>338.54478257271876</v>
      </c>
      <c r="G25" s="606">
        <f>+G23-G24</f>
        <v>488.54478257271876</v>
      </c>
    </row>
    <row r="26" spans="1:11" x14ac:dyDescent="0.25">
      <c r="C26" s="594" t="s">
        <v>569</v>
      </c>
      <c r="D26" s="597">
        <v>0.38500000000000001</v>
      </c>
      <c r="E26" s="606">
        <f>+E25*$D$33</f>
        <v>130.33974129049673</v>
      </c>
      <c r="F26" s="601"/>
      <c r="G26" s="606">
        <f>+G25*$D$33</f>
        <v>188.08974129049673</v>
      </c>
      <c r="I26" s="601"/>
    </row>
    <row r="27" spans="1:11" x14ac:dyDescent="0.25">
      <c r="C27" s="594" t="s">
        <v>571</v>
      </c>
      <c r="E27" s="606">
        <f>+E23-E26</f>
        <v>1269.6602587095033</v>
      </c>
      <c r="F27" s="601"/>
      <c r="G27" s="606">
        <f>+G23-G26</f>
        <v>1361.9102587095033</v>
      </c>
      <c r="I27" s="601"/>
      <c r="J27" s="605"/>
      <c r="K27" s="601"/>
    </row>
    <row r="28" spans="1:11" x14ac:dyDescent="0.25">
      <c r="E28" s="606"/>
      <c r="F28" s="601"/>
      <c r="G28" s="601"/>
      <c r="H28" s="606"/>
      <c r="I28" s="601"/>
      <c r="J28" s="605"/>
      <c r="K28" s="601"/>
    </row>
    <row r="29" spans="1:11" x14ac:dyDescent="0.25">
      <c r="E29" s="606"/>
      <c r="F29" s="601"/>
      <c r="G29" s="601"/>
      <c r="H29" s="606"/>
      <c r="I29" s="601"/>
      <c r="J29" s="605"/>
      <c r="K29" s="601"/>
    </row>
    <row r="30" spans="1:11" x14ac:dyDescent="0.25">
      <c r="A30" s="594">
        <v>3</v>
      </c>
      <c r="B30" s="594" t="str">
        <f>C5</f>
        <v>Sell CG&amp;E Gas (LDC)</v>
      </c>
      <c r="C30" s="594" t="s">
        <v>37</v>
      </c>
      <c r="E30" s="606">
        <f>'Sum of Parts-Slide'!M21</f>
        <v>750</v>
      </c>
      <c r="F30" s="601"/>
      <c r="G30" s="606">
        <f>'Sum of Parts-Slide'!O21</f>
        <v>900</v>
      </c>
      <c r="I30" s="601"/>
      <c r="J30" s="607"/>
      <c r="K30" s="601"/>
    </row>
    <row r="31" spans="1:11" x14ac:dyDescent="0.25">
      <c r="B31" s="594" t="s">
        <v>679</v>
      </c>
      <c r="C31" s="594" t="s">
        <v>709</v>
      </c>
      <c r="E31" s="606">
        <f>+'Tax Basis'!$G$9</f>
        <v>159.07838614564733</v>
      </c>
      <c r="G31" s="606">
        <f>+'Tax Basis'!$G$9</f>
        <v>159.07838614564733</v>
      </c>
      <c r="J31" s="605"/>
    </row>
    <row r="32" spans="1:11" x14ac:dyDescent="0.25">
      <c r="B32" s="594" t="s">
        <v>680</v>
      </c>
      <c r="C32" s="594" t="s">
        <v>570</v>
      </c>
      <c r="E32" s="606">
        <f>+E30-E31</f>
        <v>590.9216138543527</v>
      </c>
      <c r="G32" s="606">
        <f>+G30-G31</f>
        <v>740.9216138543527</v>
      </c>
      <c r="J32" s="605"/>
    </row>
    <row r="33" spans="1:11" x14ac:dyDescent="0.25">
      <c r="C33" s="594" t="s">
        <v>569</v>
      </c>
      <c r="D33" s="597">
        <v>0.38500000000000001</v>
      </c>
      <c r="E33" s="606">
        <f>+$D$33*E32</f>
        <v>227.5048213339258</v>
      </c>
      <c r="F33" s="601"/>
      <c r="G33" s="606">
        <f>+$D$33*G32</f>
        <v>285.2548213339258</v>
      </c>
      <c r="I33" s="601"/>
      <c r="J33" s="605"/>
    </row>
    <row r="34" spans="1:11" x14ac:dyDescent="0.25">
      <c r="C34" s="594" t="s">
        <v>571</v>
      </c>
      <c r="E34" s="606">
        <f>+E30-E33</f>
        <v>522.49517866607425</v>
      </c>
      <c r="F34" s="601"/>
      <c r="G34" s="606">
        <f>+G30-G33</f>
        <v>614.74517866607425</v>
      </c>
      <c r="I34" s="601"/>
      <c r="J34" s="605"/>
    </row>
    <row r="35" spans="1:11" x14ac:dyDescent="0.25">
      <c r="E35" s="715"/>
      <c r="G35" s="715"/>
      <c r="I35" s="601"/>
      <c r="J35" s="605"/>
      <c r="K35" s="601"/>
    </row>
    <row r="36" spans="1:11" x14ac:dyDescent="0.25">
      <c r="A36" s="594">
        <v>4</v>
      </c>
      <c r="B36" s="594" t="str">
        <f>C6</f>
        <v>Sell CG&amp;E T&amp;D Assets</v>
      </c>
      <c r="C36" s="594" t="s">
        <v>37</v>
      </c>
      <c r="E36" s="606">
        <f>+'Sum of Parts-Slide'!M24</f>
        <v>1600</v>
      </c>
      <c r="F36" s="601"/>
      <c r="G36" s="606">
        <f>+'Sum of Parts-Slide'!O24</f>
        <v>1800</v>
      </c>
      <c r="I36" s="601"/>
      <c r="J36" s="605"/>
    </row>
    <row r="37" spans="1:11" x14ac:dyDescent="0.25">
      <c r="B37" s="594" t="s">
        <v>679</v>
      </c>
      <c r="C37" s="594" t="s">
        <v>709</v>
      </c>
      <c r="E37" s="606">
        <f>+'Tax Basis'!$F$9+'Tax Basis'!$J$9</f>
        <v>1061.4552174272812</v>
      </c>
      <c r="G37" s="606">
        <f>+'Tax Basis'!$F$9+'Tax Basis'!$J$9</f>
        <v>1061.4552174272812</v>
      </c>
      <c r="J37" s="605"/>
    </row>
    <row r="38" spans="1:11" x14ac:dyDescent="0.25">
      <c r="B38" s="594" t="s">
        <v>680</v>
      </c>
      <c r="C38" s="594" t="s">
        <v>570</v>
      </c>
      <c r="E38" s="606">
        <f>+E36-E37</f>
        <v>538.54478257271876</v>
      </c>
      <c r="G38" s="606">
        <f>+G36-G37</f>
        <v>738.54478257271876</v>
      </c>
    </row>
    <row r="39" spans="1:11" x14ac:dyDescent="0.25">
      <c r="C39" s="594" t="s">
        <v>569</v>
      </c>
      <c r="D39" s="597">
        <v>0.38500000000000001</v>
      </c>
      <c r="E39" s="606">
        <f>+E38*$D$39</f>
        <v>207.33974129049673</v>
      </c>
      <c r="F39" s="601"/>
      <c r="G39" s="606">
        <f>+G38*$D$39</f>
        <v>284.3397412904967</v>
      </c>
      <c r="I39" s="601"/>
    </row>
    <row r="40" spans="1:11" x14ac:dyDescent="0.25">
      <c r="E40" s="715"/>
      <c r="F40" s="601"/>
      <c r="G40" s="715"/>
      <c r="I40" s="601"/>
    </row>
    <row r="41" spans="1:11" x14ac:dyDescent="0.25">
      <c r="A41" s="594">
        <v>5</v>
      </c>
      <c r="B41" s="594" t="str">
        <f>C7</f>
        <v>Transfer CG&amp;E peaking+mid-gen.to ENE subsidiary (pay taxes)</v>
      </c>
      <c r="C41" s="594" t="s">
        <v>37</v>
      </c>
      <c r="E41" s="606">
        <f>'Sum of Parts-Slide'!M36</f>
        <v>300</v>
      </c>
      <c r="F41" s="601"/>
      <c r="G41" s="606">
        <f>+'Sum of Parts-Slide'!O36</f>
        <v>500</v>
      </c>
      <c r="I41" s="601"/>
      <c r="J41" s="605"/>
    </row>
    <row r="42" spans="1:11" x14ac:dyDescent="0.25">
      <c r="B42" s="594" t="s">
        <v>879</v>
      </c>
      <c r="C42" s="594" t="s">
        <v>860</v>
      </c>
      <c r="E42" s="606">
        <f>'Tax Basis'!M9</f>
        <v>74.385435841777991</v>
      </c>
      <c r="G42" s="606">
        <f>'Tax Basis'!M9</f>
        <v>74.385435841777991</v>
      </c>
      <c r="J42" s="605"/>
    </row>
    <row r="43" spans="1:11" x14ac:dyDescent="0.25">
      <c r="C43" s="594" t="s">
        <v>570</v>
      </c>
      <c r="E43" s="606">
        <f>+E41-E42</f>
        <v>225.61456415822201</v>
      </c>
      <c r="G43" s="606">
        <f>+G41-G42</f>
        <v>425.61456415822204</v>
      </c>
      <c r="J43" s="605"/>
      <c r="K43" s="601"/>
    </row>
    <row r="44" spans="1:11" x14ac:dyDescent="0.25">
      <c r="C44" s="594" t="s">
        <v>569</v>
      </c>
      <c r="D44" s="597">
        <v>0.38500000000000001</v>
      </c>
      <c r="E44" s="606">
        <f>+$D$50*E43</f>
        <v>86.861607200915472</v>
      </c>
      <c r="F44" s="601"/>
      <c r="G44" s="606">
        <f>+$D$50*G43</f>
        <v>163.8616072009155</v>
      </c>
      <c r="I44" s="601"/>
      <c r="J44" s="605"/>
    </row>
    <row r="45" spans="1:11" x14ac:dyDescent="0.25">
      <c r="C45" s="594" t="s">
        <v>571</v>
      </c>
      <c r="E45" s="606">
        <f>E41-E44</f>
        <v>213.13839279908453</v>
      </c>
      <c r="F45" s="601"/>
      <c r="G45" s="606">
        <f>G41-G44</f>
        <v>336.1383927990845</v>
      </c>
      <c r="I45" s="601"/>
    </row>
    <row r="46" spans="1:11" x14ac:dyDescent="0.25">
      <c r="E46" s="715"/>
      <c r="F46" s="601"/>
      <c r="G46" s="715"/>
      <c r="I46" s="601"/>
    </row>
    <row r="47" spans="1:11" x14ac:dyDescent="0.25">
      <c r="A47" s="594">
        <v>6</v>
      </c>
      <c r="B47" s="594" t="str">
        <f>C8</f>
        <v>Sell  Cinergy Stock (CG&amp;E baseload generation)</v>
      </c>
      <c r="C47" s="594" t="s">
        <v>37</v>
      </c>
      <c r="E47" s="606">
        <f>+'Sum of Parts-Slide'!M30</f>
        <v>5600</v>
      </c>
      <c r="F47" s="601"/>
      <c r="G47" s="606">
        <f>+'Sum of Parts-Slide'!O30</f>
        <v>7500</v>
      </c>
      <c r="I47" s="601"/>
      <c r="J47" s="605"/>
    </row>
    <row r="48" spans="1:11" x14ac:dyDescent="0.25">
      <c r="B48" s="594" t="s">
        <v>858</v>
      </c>
      <c r="C48" s="594" t="s">
        <v>860</v>
      </c>
      <c r="E48" s="606">
        <f>F16</f>
        <v>5120.7541875000006</v>
      </c>
      <c r="G48" s="606">
        <f>F16</f>
        <v>5120.7541875000006</v>
      </c>
      <c r="J48" s="605"/>
    </row>
    <row r="49" spans="3:13" x14ac:dyDescent="0.25">
      <c r="C49" s="594" t="s">
        <v>570</v>
      </c>
      <c r="E49" s="606">
        <f>+E47-E48</f>
        <v>479.24581249999937</v>
      </c>
      <c r="G49" s="606">
        <f>+G47-G48</f>
        <v>2379.2458124999994</v>
      </c>
      <c r="J49" s="605"/>
      <c r="K49" s="601"/>
    </row>
    <row r="50" spans="3:13" x14ac:dyDescent="0.25">
      <c r="C50" s="594" t="s">
        <v>569</v>
      </c>
      <c r="D50" s="597">
        <v>0.38500000000000001</v>
      </c>
      <c r="E50" s="606">
        <f>+$D$50*E49</f>
        <v>184.50963781249976</v>
      </c>
      <c r="F50" s="601"/>
      <c r="G50" s="606">
        <f>+$D$50*G49</f>
        <v>916.00963781249982</v>
      </c>
      <c r="I50" s="601"/>
      <c r="J50" s="605"/>
    </row>
    <row r="51" spans="3:13" x14ac:dyDescent="0.25">
      <c r="C51" s="594" t="s">
        <v>571</v>
      </c>
      <c r="E51" s="606">
        <f>E47-E50</f>
        <v>5415.4903621875001</v>
      </c>
      <c r="F51" s="601"/>
      <c r="G51" s="606">
        <f>G47-G50</f>
        <v>6583.9903621875001</v>
      </c>
      <c r="I51" s="601"/>
    </row>
    <row r="52" spans="3:13" x14ac:dyDescent="0.25">
      <c r="E52" s="715"/>
      <c r="G52" s="715"/>
      <c r="J52" s="605"/>
      <c r="K52" s="601"/>
    </row>
    <row r="53" spans="3:13" x14ac:dyDescent="0.25">
      <c r="E53" s="715"/>
      <c r="G53" s="715"/>
      <c r="J53" s="605"/>
      <c r="K53" s="601"/>
    </row>
    <row r="54" spans="3:13" x14ac:dyDescent="0.25">
      <c r="C54" s="594" t="s">
        <v>696</v>
      </c>
      <c r="D54" s="632">
        <v>2.5000000000000001E-3</v>
      </c>
      <c r="E54" s="715">
        <f>+$D$54*($F$16+$F$17)</f>
        <v>21.675882968750003</v>
      </c>
      <c r="G54" s="715">
        <f>+$D$54*($F$16+$F$17)</f>
        <v>21.675882968750003</v>
      </c>
      <c r="J54" s="605"/>
    </row>
    <row r="55" spans="3:13" x14ac:dyDescent="0.25">
      <c r="C55" s="594" t="s">
        <v>695</v>
      </c>
      <c r="E55" s="608">
        <f>+$F$18+E44-E39-E34-E27-E51+E54</f>
        <v>1363.9051368160931</v>
      </c>
      <c r="F55" s="607"/>
      <c r="G55" s="608">
        <f>+$F$18+G44-G39-G34-G27-G51+G54</f>
        <v>10.905136816092991</v>
      </c>
      <c r="J55" s="605"/>
    </row>
    <row r="56" spans="3:13" x14ac:dyDescent="0.25">
      <c r="C56" s="594" t="s">
        <v>703</v>
      </c>
      <c r="E56" s="608">
        <f>+'Sum of Parts-Slide'!M36</f>
        <v>300</v>
      </c>
      <c r="F56" s="607"/>
      <c r="G56" s="608">
        <f>+'Sum of Parts-Slide'!O36</f>
        <v>500</v>
      </c>
      <c r="J56" s="605"/>
    </row>
    <row r="57" spans="3:13" x14ac:dyDescent="0.25">
      <c r="E57" s="606"/>
      <c r="G57" s="606"/>
      <c r="J57" s="605"/>
    </row>
    <row r="58" spans="3:13" x14ac:dyDescent="0.25">
      <c r="C58" s="596" t="s">
        <v>683</v>
      </c>
      <c r="E58" s="608">
        <f>+E56-E55</f>
        <v>-1063.9051368160931</v>
      </c>
      <c r="F58" s="607"/>
      <c r="G58" s="608">
        <f>+G56-G55</f>
        <v>489.09486318390702</v>
      </c>
      <c r="H58" s="607"/>
      <c r="I58" s="601"/>
      <c r="J58" s="605"/>
    </row>
    <row r="59" spans="3:13" x14ac:dyDescent="0.25">
      <c r="D59" s="597"/>
      <c r="E59" s="608"/>
      <c r="F59" s="601"/>
      <c r="G59" s="608"/>
      <c r="I59" s="601"/>
      <c r="J59" s="605"/>
    </row>
    <row r="60" spans="3:13" ht="15.6" x14ac:dyDescent="0.3">
      <c r="C60" s="633" t="s">
        <v>697</v>
      </c>
      <c r="E60" s="608"/>
      <c r="F60" s="601"/>
      <c r="G60" s="601"/>
      <c r="H60" s="608"/>
      <c r="K60" s="684"/>
      <c r="L60" s="684"/>
      <c r="M60" s="684"/>
    </row>
    <row r="61" spans="3:13" ht="15.6" x14ac:dyDescent="0.3">
      <c r="C61" s="634" t="s">
        <v>700</v>
      </c>
      <c r="E61" s="608"/>
      <c r="F61" s="601"/>
      <c r="G61" s="601"/>
      <c r="H61" s="608"/>
    </row>
    <row r="62" spans="3:13" ht="15.6" x14ac:dyDescent="0.3">
      <c r="C62" s="634" t="s">
        <v>698</v>
      </c>
      <c r="D62" s="596"/>
      <c r="E62" s="635"/>
      <c r="H62" s="636"/>
      <c r="J62" s="605"/>
    </row>
    <row r="63" spans="3:13" ht="15.6" x14ac:dyDescent="0.3">
      <c r="C63" s="634" t="s">
        <v>710</v>
      </c>
      <c r="E63" s="637"/>
      <c r="F63" s="637"/>
      <c r="G63" s="637"/>
      <c r="H63" s="637"/>
      <c r="I63" s="637"/>
      <c r="J63" s="605"/>
      <c r="K63" s="601"/>
    </row>
    <row r="64" spans="3:13" ht="15.6" x14ac:dyDescent="0.3">
      <c r="C64" s="634" t="s">
        <v>861</v>
      </c>
      <c r="E64" s="606"/>
      <c r="F64" s="606"/>
      <c r="G64" s="606"/>
      <c r="H64" s="606"/>
      <c r="I64" s="606"/>
      <c r="J64" s="605"/>
      <c r="K64" s="601"/>
    </row>
    <row r="65" spans="1:11" x14ac:dyDescent="0.25">
      <c r="E65" s="610"/>
      <c r="J65" s="605"/>
      <c r="K65" s="601"/>
    </row>
    <row r="66" spans="1:11" x14ac:dyDescent="0.25">
      <c r="B66" s="594" t="s">
        <v>699</v>
      </c>
    </row>
    <row r="67" spans="1:11" x14ac:dyDescent="0.25">
      <c r="A67" s="612">
        <v>1</v>
      </c>
      <c r="B67" s="594" t="s">
        <v>690</v>
      </c>
    </row>
    <row r="68" spans="1:11" x14ac:dyDescent="0.25">
      <c r="A68" s="594">
        <v>2</v>
      </c>
      <c r="B68" s="594" t="s">
        <v>704</v>
      </c>
    </row>
    <row r="69" spans="1:11" x14ac:dyDescent="0.25">
      <c r="A69" s="594">
        <v>3</v>
      </c>
      <c r="B69" s="594" t="s">
        <v>859</v>
      </c>
    </row>
  </sheetData>
  <pageMargins left="0.75" right="0.75" top="1" bottom="1" header="0.5" footer="0.5"/>
  <pageSetup scale="52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view="pageBreakPreview" zoomScale="70" zoomScaleNormal="100" workbookViewId="0">
      <selection activeCell="A17" sqref="A17"/>
    </sheetView>
  </sheetViews>
  <sheetFormatPr defaultColWidth="8" defaultRowHeight="13.2" x14ac:dyDescent="0.25"/>
  <cols>
    <col min="1" max="1" width="2.88671875" style="716" customWidth="1"/>
    <col min="2" max="2" width="32" style="716" customWidth="1"/>
    <col min="3" max="3" width="7.33203125" style="716" bestFit="1" customWidth="1"/>
    <col min="4" max="4" width="17.109375" style="716" bestFit="1" customWidth="1"/>
    <col min="5" max="6" width="15.6640625" style="716" customWidth="1"/>
    <col min="7" max="7" width="15.88671875" style="716" bestFit="1" customWidth="1"/>
    <col min="8" max="8" width="15" style="716" bestFit="1" customWidth="1"/>
    <col min="9" max="9" width="21.109375" style="716" bestFit="1" customWidth="1"/>
    <col min="10" max="10" width="18.88671875" style="716" bestFit="1" customWidth="1"/>
    <col min="11" max="12" width="8" style="716" customWidth="1"/>
    <col min="13" max="13" width="22.5546875" style="716" bestFit="1" customWidth="1"/>
    <col min="14" max="14" width="13.6640625" style="716" bestFit="1" customWidth="1"/>
    <col min="15" max="16" width="16.109375" style="716" bestFit="1" customWidth="1"/>
    <col min="17" max="17" width="23" style="716" bestFit="1" customWidth="1"/>
    <col min="18" max="18" width="7.6640625" style="716" bestFit="1" customWidth="1"/>
    <col min="19" max="19" width="12.5546875" style="716" bestFit="1" customWidth="1"/>
    <col min="20" max="16384" width="8" style="716"/>
  </cols>
  <sheetData>
    <row r="1" spans="2:19" ht="22.8" x14ac:dyDescent="0.4">
      <c r="B1" s="717" t="s">
        <v>724</v>
      </c>
    </row>
    <row r="2" spans="2:19" ht="15.6" x14ac:dyDescent="0.3">
      <c r="B2" s="719" t="s">
        <v>381</v>
      </c>
    </row>
    <row r="3" spans="2:19" x14ac:dyDescent="0.25">
      <c r="B3" s="720" t="s">
        <v>725</v>
      </c>
    </row>
    <row r="4" spans="2:19" x14ac:dyDescent="0.25">
      <c r="B4" s="720"/>
      <c r="E4" s="721"/>
      <c r="G4" s="721"/>
      <c r="H4" s="721" t="s">
        <v>883</v>
      </c>
      <c r="I4" s="721"/>
    </row>
    <row r="5" spans="2:19" x14ac:dyDescent="0.25">
      <c r="E5" s="721" t="s">
        <v>862</v>
      </c>
      <c r="F5" s="721"/>
      <c r="G5" s="721"/>
      <c r="H5" s="721" t="s">
        <v>864</v>
      </c>
      <c r="I5" s="721" t="s">
        <v>886</v>
      </c>
      <c r="N5" s="721"/>
      <c r="Q5" s="721"/>
    </row>
    <row r="6" spans="2:19" x14ac:dyDescent="0.25">
      <c r="D6" s="721" t="s">
        <v>884</v>
      </c>
      <c r="E6" s="721" t="s">
        <v>539</v>
      </c>
      <c r="F6" s="721" t="s">
        <v>863</v>
      </c>
      <c r="G6" s="721" t="s">
        <v>882</v>
      </c>
      <c r="H6" s="721" t="s">
        <v>773</v>
      </c>
      <c r="I6" s="721" t="s">
        <v>880</v>
      </c>
      <c r="J6" s="721" t="s">
        <v>726</v>
      </c>
      <c r="M6" s="721"/>
      <c r="N6" s="721"/>
      <c r="O6" s="721"/>
      <c r="P6" s="721"/>
      <c r="Q6" s="721"/>
      <c r="R6" s="721"/>
      <c r="S6" s="721"/>
    </row>
    <row r="7" spans="2:19" s="722" customFormat="1" x14ac:dyDescent="0.25">
      <c r="B7" s="723" t="s">
        <v>727</v>
      </c>
      <c r="D7" s="722" t="s">
        <v>885</v>
      </c>
      <c r="E7" s="722" t="s">
        <v>851</v>
      </c>
      <c r="F7" s="722" t="s">
        <v>853</v>
      </c>
      <c r="G7" s="722" t="s">
        <v>854</v>
      </c>
      <c r="H7" s="722" t="s">
        <v>774</v>
      </c>
      <c r="I7" s="722" t="s">
        <v>881</v>
      </c>
      <c r="J7" s="722" t="s">
        <v>729</v>
      </c>
    </row>
    <row r="8" spans="2:19" s="722" customFormat="1" x14ac:dyDescent="0.25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9" s="722" customFormat="1" x14ac:dyDescent="0.25">
      <c r="B9" s="724" t="s">
        <v>688</v>
      </c>
      <c r="D9" s="811">
        <v>0.5</v>
      </c>
    </row>
    <row r="10" spans="2:19" s="722" customFormat="1" x14ac:dyDescent="0.25">
      <c r="B10" s="724" t="s">
        <v>731</v>
      </c>
      <c r="D10" s="863">
        <f>D8*(1+D9)</f>
        <v>32.160000000000004</v>
      </c>
    </row>
    <row r="11" spans="2:19" s="722" customFormat="1" x14ac:dyDescent="0.25">
      <c r="B11" s="724" t="s">
        <v>732</v>
      </c>
      <c r="D11" s="727">
        <f>+'Financial Data Slide'!E26</f>
        <v>159.24600000000001</v>
      </c>
    </row>
    <row r="12" spans="2:19" x14ac:dyDescent="0.25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7278.8550888841646</v>
      </c>
      <c r="J12" s="729"/>
    </row>
    <row r="13" spans="2:19" ht="17.399999999999999" x14ac:dyDescent="0.4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2">
        <f>-(D13+E20+F20+G20+H20)</f>
        <v>221.14491111583504</v>
      </c>
      <c r="J13" s="732"/>
    </row>
    <row r="14" spans="2:19" x14ac:dyDescent="0.25">
      <c r="B14" s="716" t="s">
        <v>37</v>
      </c>
      <c r="D14" s="734">
        <f>+D13+D12</f>
        <v>-8670.9503600000007</v>
      </c>
      <c r="E14" s="734">
        <f>'Expected Transaction'!G23</f>
        <v>1550</v>
      </c>
      <c r="F14" s="734">
        <f>'Expected Transaction'!G30</f>
        <v>900</v>
      </c>
      <c r="G14" s="734">
        <f>'Expected Transaction'!G36</f>
        <v>1800</v>
      </c>
      <c r="H14" s="759">
        <f>'Expected Transaction'!G41</f>
        <v>500</v>
      </c>
      <c r="I14" s="734">
        <f>'Expected Transaction'!G47</f>
        <v>7500</v>
      </c>
    </row>
    <row r="15" spans="2:19" x14ac:dyDescent="0.25">
      <c r="D15" s="734"/>
      <c r="E15" s="734"/>
      <c r="F15" s="734"/>
      <c r="G15" s="734"/>
      <c r="I15" s="734"/>
    </row>
    <row r="16" spans="2:19" ht="17.399999999999999" x14ac:dyDescent="0.4">
      <c r="B16" s="735" t="s">
        <v>753</v>
      </c>
      <c r="D16" s="733" t="s">
        <v>478</v>
      </c>
      <c r="E16" s="732">
        <f>-'Expected Transaction'!G24</f>
        <v>-1061.4552174272812</v>
      </c>
      <c r="F16" s="732">
        <f>-'Expected Transaction'!G31</f>
        <v>-159.07838614564733</v>
      </c>
      <c r="G16" s="732">
        <f>-'Expected Transaction'!G37</f>
        <v>-1061.4552174272812</v>
      </c>
      <c r="H16" s="732">
        <f>-'Expected Transaction'!G42</f>
        <v>-74.385435841777991</v>
      </c>
      <c r="I16" s="732">
        <f>D12</f>
        <v>-5121.3513600000006</v>
      </c>
      <c r="J16" s="732"/>
    </row>
    <row r="17" spans="2:10" ht="15.6" x14ac:dyDescent="0.25">
      <c r="B17" s="735" t="s">
        <v>754</v>
      </c>
      <c r="D17" s="736" t="s">
        <v>478</v>
      </c>
      <c r="E17" s="734">
        <f>+SUM(E14:E16)</f>
        <v>488.54478257271876</v>
      </c>
      <c r="F17" s="734">
        <f>+SUM(F14:F16)</f>
        <v>740.9216138543527</v>
      </c>
      <c r="G17" s="734">
        <f>SUM(G14:G16)</f>
        <v>738.54478257271876</v>
      </c>
      <c r="H17" s="734">
        <f>+H14+H16</f>
        <v>425.61456415822204</v>
      </c>
      <c r="I17" s="734">
        <f>+I12+I16</f>
        <v>2157.503728884164</v>
      </c>
      <c r="J17" s="734"/>
    </row>
    <row r="18" spans="2:10" x14ac:dyDescent="0.25">
      <c r="B18" s="735"/>
      <c r="D18" s="736"/>
      <c r="E18" s="734"/>
      <c r="F18" s="734"/>
      <c r="G18" s="734"/>
      <c r="H18" s="734"/>
      <c r="I18" s="734"/>
      <c r="J18" s="734"/>
    </row>
    <row r="19" spans="2:10" x14ac:dyDescent="0.25">
      <c r="B19" s="737" t="s">
        <v>733</v>
      </c>
      <c r="C19" s="738">
        <v>0.38500000000000001</v>
      </c>
      <c r="D19" s="734">
        <v>0</v>
      </c>
      <c r="E19" s="734">
        <f>-C19*E17</f>
        <v>-188.08974129049673</v>
      </c>
      <c r="F19" s="734">
        <f>-$C$19*F17</f>
        <v>-285.2548213339258</v>
      </c>
      <c r="G19" s="739">
        <f>-$C$19*G17</f>
        <v>-284.3397412904967</v>
      </c>
      <c r="H19" s="739">
        <f>-H17*$C$19</f>
        <v>-163.8616072009155</v>
      </c>
      <c r="I19" s="739">
        <f>-$C$19*I17</f>
        <v>-830.63893562040323</v>
      </c>
      <c r="J19" s="731">
        <f>+SUM(E19:I19)</f>
        <v>-1752.1848467362379</v>
      </c>
    </row>
    <row r="20" spans="2:10" ht="13.8" thickBot="1" x14ac:dyDescent="0.3">
      <c r="B20" s="737" t="s">
        <v>734</v>
      </c>
      <c r="D20" s="740">
        <f>+D14</f>
        <v>-8670.9503600000007</v>
      </c>
      <c r="E20" s="740">
        <f>+E14+E19</f>
        <v>1361.9102587095033</v>
      </c>
      <c r="F20" s="740">
        <f>+F14+F19</f>
        <v>614.74517866607425</v>
      </c>
      <c r="G20" s="740">
        <f>+G14+G19</f>
        <v>1515.6602587095033</v>
      </c>
      <c r="H20" s="740">
        <f>+H19</f>
        <v>-163.8616072009155</v>
      </c>
      <c r="I20" s="740">
        <f>+I12+I19</f>
        <v>6448.216153263761</v>
      </c>
      <c r="J20" s="740">
        <f>+SUM(D20:I20)</f>
        <v>1105.7198821479251</v>
      </c>
    </row>
    <row r="21" spans="2:10" ht="13.8" thickTop="1" x14ac:dyDescent="0.25">
      <c r="B21" s="737"/>
      <c r="D21" s="734"/>
      <c r="E21" s="734"/>
      <c r="F21" s="734"/>
      <c r="G21" s="734"/>
      <c r="H21" s="741"/>
      <c r="I21" s="734"/>
      <c r="J21" s="741"/>
    </row>
    <row r="22" spans="2:10" ht="15.6" x14ac:dyDescent="0.25">
      <c r="B22" s="723" t="s">
        <v>755</v>
      </c>
      <c r="D22" s="734"/>
      <c r="E22" s="734"/>
      <c r="F22" s="734"/>
      <c r="G22" s="734"/>
      <c r="H22" s="741"/>
      <c r="I22" s="734"/>
      <c r="J22" s="741"/>
    </row>
    <row r="23" spans="2:10" x14ac:dyDescent="0.25">
      <c r="B23" s="742" t="s">
        <v>735</v>
      </c>
      <c r="D23" s="734">
        <f>+'Corp I-S&amp;B-S'!J28</f>
        <v>414.37212000000068</v>
      </c>
      <c r="E23" s="734">
        <f>+$D23*(E$26/$D$26)</f>
        <v>171.89238512541169</v>
      </c>
      <c r="F23" s="736" t="s">
        <v>478</v>
      </c>
      <c r="G23" s="734">
        <f t="shared" ref="G23:I25" si="0">+$D23*(G$26/$D$26)</f>
        <v>70.499195300378588</v>
      </c>
      <c r="H23" s="734">
        <f t="shared" si="0"/>
        <v>11.29268887658014</v>
      </c>
      <c r="I23" s="734">
        <f t="shared" si="0"/>
        <v>171.89238512541169</v>
      </c>
      <c r="J23" s="734"/>
    </row>
    <row r="24" spans="2:10" x14ac:dyDescent="0.25">
      <c r="B24" s="742" t="s">
        <v>736</v>
      </c>
      <c r="D24" s="734">
        <f>+'Corp I-S&amp;B-S'!J44</f>
        <v>1226.8630000000005</v>
      </c>
      <c r="E24" s="734">
        <f>+$D24*(E$26/$D$26)</f>
        <v>508.93483686141269</v>
      </c>
      <c r="F24" s="734">
        <f>+'Sum of Parts-Slide'!D21</f>
        <v>101.72876486385822</v>
      </c>
      <c r="G24" s="734">
        <f t="shared" si="0"/>
        <v>208.73232070682815</v>
      </c>
      <c r="H24" s="734">
        <f t="shared" si="0"/>
        <v>33.435121439125112</v>
      </c>
      <c r="I24" s="734">
        <f t="shared" si="0"/>
        <v>508.93483686141269</v>
      </c>
      <c r="J24" s="734"/>
    </row>
    <row r="25" spans="2:10" x14ac:dyDescent="0.25">
      <c r="B25" s="716" t="s">
        <v>737</v>
      </c>
      <c r="D25" s="734">
        <f>+'Corp I-S&amp;B-S'!N56</f>
        <v>2638.3670000000002</v>
      </c>
      <c r="E25" s="734">
        <f>+$D25*(E$26/$D$26)</f>
        <v>1094.463586175094</v>
      </c>
      <c r="F25" s="734">
        <f>+$D25*(F26/$D$26)</f>
        <v>161.3062953350375</v>
      </c>
      <c r="G25" s="734">
        <f t="shared" si="0"/>
        <v>448.87853557105547</v>
      </c>
      <c r="H25" s="734">
        <f t="shared" si="0"/>
        <v>71.902177379202215</v>
      </c>
      <c r="I25" s="734">
        <f t="shared" si="0"/>
        <v>1094.463586175094</v>
      </c>
      <c r="J25" s="734"/>
    </row>
    <row r="26" spans="2:10" ht="15.6" x14ac:dyDescent="0.25">
      <c r="B26" s="742" t="s">
        <v>756</v>
      </c>
      <c r="D26" s="734">
        <f>+'Corp I-S&amp;B-S'!N20</f>
        <v>6168.4179999999997</v>
      </c>
      <c r="E26" s="734">
        <f>'Tax Basis'!H7</f>
        <v>2558.8209999999999</v>
      </c>
      <c r="F26" s="734">
        <f>'Tax Basis'!G7</f>
        <v>377.12898003119403</v>
      </c>
      <c r="G26" s="734">
        <f>+'Tax Basis'!F7</f>
        <v>1049.4637169999999</v>
      </c>
      <c r="H26" s="734">
        <f>'Tax Basis'!M7</f>
        <v>168.10500024638867</v>
      </c>
      <c r="I26" s="734">
        <f>+'Tax Basis'!H7</f>
        <v>2558.8209999999999</v>
      </c>
      <c r="J26" s="734"/>
    </row>
    <row r="27" spans="2:10" ht="15.6" x14ac:dyDescent="0.25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+'Sum of Parts-Slide'!D36</f>
        <v>1785.8400000000001</v>
      </c>
      <c r="I27" s="734">
        <f>'Sum of Parts-Slide'!D30</f>
        <v>9503.41</v>
      </c>
      <c r="J27" s="734">
        <f>+'Sum of Parts-Slide'!D36</f>
        <v>1785.8400000000001</v>
      </c>
    </row>
    <row r="28" spans="2:10" x14ac:dyDescent="0.25">
      <c r="B28" s="742"/>
      <c r="D28" s="734"/>
      <c r="E28" s="734"/>
      <c r="F28" s="734"/>
      <c r="G28" s="734"/>
      <c r="H28" s="746"/>
      <c r="I28" s="734"/>
    </row>
    <row r="29" spans="2:10" ht="15.6" x14ac:dyDescent="0.25">
      <c r="B29" s="743" t="s">
        <v>758</v>
      </c>
      <c r="D29" s="734"/>
      <c r="E29" s="734"/>
      <c r="F29" s="734"/>
      <c r="G29" s="734"/>
      <c r="I29" s="734"/>
    </row>
    <row r="30" spans="2:10" ht="15.6" x14ac:dyDescent="0.25">
      <c r="B30" s="728" t="s">
        <v>759</v>
      </c>
      <c r="D30" s="744">
        <f>+ABS(D14/D24)</f>
        <v>7.0675783359674202</v>
      </c>
      <c r="E30" s="745">
        <f>+E14/E24</f>
        <v>3.045576540915941</v>
      </c>
      <c r="F30" s="744">
        <f>+F14/F24</f>
        <v>8.8470552179066946</v>
      </c>
      <c r="G30" s="745">
        <f>+G14/G24</f>
        <v>8.6234848245095836</v>
      </c>
      <c r="H30" s="745">
        <f>+H14/H24</f>
        <v>14.954334797627203</v>
      </c>
      <c r="I30" s="745">
        <f>+I14/I24</f>
        <v>14.736660681851328</v>
      </c>
      <c r="J30" s="745"/>
    </row>
    <row r="31" spans="2:10" x14ac:dyDescent="0.25">
      <c r="B31" s="716" t="s">
        <v>738</v>
      </c>
      <c r="D31" s="745">
        <f>ABS(D14/D26)</f>
        <v>1.4057008393400061</v>
      </c>
      <c r="E31" s="744">
        <f>+E14/E26</f>
        <v>0.60574772522188935</v>
      </c>
      <c r="F31" s="745">
        <f>+F14/F26</f>
        <v>2.3864514467319826</v>
      </c>
      <c r="G31" s="745">
        <f>+G14/G26</f>
        <v>1.7151617257864669</v>
      </c>
      <c r="H31" s="745">
        <f>+H14/H26</f>
        <v>2.9743315146316789</v>
      </c>
      <c r="I31" s="745">
        <f>+I14/I26</f>
        <v>2.931037380105916</v>
      </c>
      <c r="J31" s="745"/>
    </row>
    <row r="32" spans="2:10" x14ac:dyDescent="0.25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6" t="s">
        <v>478</v>
      </c>
      <c r="H32" s="736" t="s">
        <v>478</v>
      </c>
      <c r="I32" s="736" t="s">
        <v>478</v>
      </c>
      <c r="J32" s="745"/>
    </row>
    <row r="33" spans="1:14" x14ac:dyDescent="0.25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6" t="s">
        <v>478</v>
      </c>
      <c r="H33" s="736" t="s">
        <v>478</v>
      </c>
      <c r="I33" s="736" t="s">
        <v>478</v>
      </c>
      <c r="J33" s="745"/>
    </row>
    <row r="34" spans="1:14" x14ac:dyDescent="0.25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736" t="s">
        <v>478</v>
      </c>
      <c r="I34" s="864">
        <f>I20/I27*1000</f>
        <v>678.51604353213861</v>
      </c>
      <c r="J34" s="726">
        <f>-J20/J27*1000</f>
        <v>-619.15954517085788</v>
      </c>
    </row>
    <row r="37" spans="1:14" x14ac:dyDescent="0.25">
      <c r="A37" s="716">
        <v>1</v>
      </c>
      <c r="B37" s="728" t="s">
        <v>846</v>
      </c>
    </row>
    <row r="38" spans="1:14" x14ac:dyDescent="0.25">
      <c r="A38" s="716">
        <v>2</v>
      </c>
      <c r="B38" s="728" t="s">
        <v>772</v>
      </c>
    </row>
    <row r="39" spans="1:14" x14ac:dyDescent="0.25">
      <c r="A39" s="716">
        <v>3</v>
      </c>
      <c r="B39" s="716" t="s">
        <v>742</v>
      </c>
    </row>
    <row r="40" spans="1:14" x14ac:dyDescent="0.25">
      <c r="A40" s="716">
        <v>4</v>
      </c>
      <c r="B40" s="594" t="s">
        <v>705</v>
      </c>
    </row>
    <row r="41" spans="1:14" x14ac:dyDescent="0.25">
      <c r="A41" s="716">
        <v>5</v>
      </c>
      <c r="B41" s="716" t="s">
        <v>743</v>
      </c>
    </row>
    <row r="42" spans="1:14" x14ac:dyDescent="0.25">
      <c r="A42" s="716">
        <v>6</v>
      </c>
      <c r="B42" s="728" t="s">
        <v>887</v>
      </c>
      <c r="N42" s="718"/>
    </row>
    <row r="43" spans="1:14" x14ac:dyDescent="0.25">
      <c r="A43" s="716">
        <v>7</v>
      </c>
      <c r="B43" s="716" t="s">
        <v>764</v>
      </c>
    </row>
    <row r="44" spans="1:14" x14ac:dyDescent="0.25">
      <c r="A44" s="716">
        <v>8</v>
      </c>
      <c r="B44" s="716" t="s">
        <v>744</v>
      </c>
    </row>
    <row r="45" spans="1:14" x14ac:dyDescent="0.25">
      <c r="A45" s="716">
        <v>9</v>
      </c>
      <c r="B45" s="716" t="s">
        <v>745</v>
      </c>
    </row>
  </sheetData>
  <pageMargins left="0.75" right="0.75" top="1" bottom="1" header="0.5" footer="0.5"/>
  <pageSetup scale="75" orientation="landscape" r:id="rId1"/>
  <headerFooter alignWithMargins="0">
    <oddFooter>&amp;L&amp;P&amp;C&amp;D&amp;T&amp;R&amp;F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view="pageBreakPreview" zoomScale="70" zoomScaleNormal="100" workbookViewId="0">
      <selection activeCell="F12" sqref="F12"/>
    </sheetView>
  </sheetViews>
  <sheetFormatPr defaultColWidth="8" defaultRowHeight="13.2" x14ac:dyDescent="0.25"/>
  <cols>
    <col min="1" max="1" width="2.88671875" style="716" customWidth="1"/>
    <col min="2" max="2" width="32" style="716" customWidth="1"/>
    <col min="3" max="3" width="7.33203125" style="716" bestFit="1" customWidth="1"/>
    <col min="4" max="4" width="17.109375" style="716" bestFit="1" customWidth="1"/>
    <col min="5" max="6" width="15.6640625" style="716" customWidth="1"/>
    <col min="7" max="7" width="17.33203125" style="716" customWidth="1"/>
    <col min="8" max="8" width="15.6640625" style="716" customWidth="1"/>
    <col min="9" max="9" width="21.109375" style="716" bestFit="1" customWidth="1"/>
    <col min="10" max="10" width="18.88671875" style="716" bestFit="1" customWidth="1"/>
    <col min="11" max="12" width="8" style="716" customWidth="1"/>
    <col min="13" max="13" width="22.5546875" style="716" customWidth="1"/>
    <col min="14" max="14" width="13.6640625" style="716" customWidth="1"/>
    <col min="15" max="16" width="16.109375" style="716" customWidth="1"/>
    <col min="17" max="17" width="23" style="716" customWidth="1"/>
    <col min="18" max="18" width="7.6640625" style="716" customWidth="1"/>
    <col min="19" max="19" width="12.5546875" style="716" customWidth="1"/>
    <col min="20" max="16384" width="8" style="716"/>
  </cols>
  <sheetData>
    <row r="1" spans="2:19" ht="22.8" x14ac:dyDescent="0.4">
      <c r="B1" s="717" t="s">
        <v>724</v>
      </c>
    </row>
    <row r="2" spans="2:19" ht="15.6" x14ac:dyDescent="0.3">
      <c r="B2" s="719" t="s">
        <v>382</v>
      </c>
    </row>
    <row r="3" spans="2:19" x14ac:dyDescent="0.25">
      <c r="B3" s="720" t="s">
        <v>725</v>
      </c>
    </row>
    <row r="4" spans="2:19" x14ac:dyDescent="0.25">
      <c r="B4" s="720"/>
      <c r="E4" s="721"/>
      <c r="G4" s="721"/>
      <c r="H4" s="721" t="s">
        <v>883</v>
      </c>
      <c r="I4" s="721"/>
    </row>
    <row r="5" spans="2:19" x14ac:dyDescent="0.25">
      <c r="E5" s="721" t="s">
        <v>862</v>
      </c>
      <c r="F5" s="721"/>
      <c r="G5" s="721"/>
      <c r="H5" s="721" t="s">
        <v>864</v>
      </c>
      <c r="I5" s="721" t="s">
        <v>886</v>
      </c>
      <c r="N5" s="721"/>
      <c r="Q5" s="721"/>
    </row>
    <row r="6" spans="2:19" x14ac:dyDescent="0.25">
      <c r="D6" s="721" t="s">
        <v>884</v>
      </c>
      <c r="E6" s="721" t="s">
        <v>539</v>
      </c>
      <c r="F6" s="721" t="s">
        <v>863</v>
      </c>
      <c r="G6" s="721" t="s">
        <v>882</v>
      </c>
      <c r="H6" s="721" t="s">
        <v>773</v>
      </c>
      <c r="I6" s="721" t="s">
        <v>880</v>
      </c>
      <c r="J6" s="721" t="s">
        <v>726</v>
      </c>
      <c r="M6" s="721"/>
      <c r="N6" s="721"/>
      <c r="O6" s="721"/>
      <c r="P6" s="721"/>
      <c r="Q6" s="721"/>
      <c r="R6" s="721"/>
      <c r="S6" s="721"/>
    </row>
    <row r="7" spans="2:19" s="722" customFormat="1" x14ac:dyDescent="0.25">
      <c r="B7" s="723" t="s">
        <v>727</v>
      </c>
      <c r="D7" s="722" t="s">
        <v>885</v>
      </c>
      <c r="E7" s="722" t="s">
        <v>851</v>
      </c>
      <c r="F7" s="722" t="s">
        <v>853</v>
      </c>
      <c r="G7" s="722" t="s">
        <v>854</v>
      </c>
      <c r="H7" s="722" t="s">
        <v>774</v>
      </c>
      <c r="I7" s="722" t="s">
        <v>881</v>
      </c>
      <c r="J7" s="722" t="s">
        <v>729</v>
      </c>
    </row>
    <row r="8" spans="2:19" s="722" customFormat="1" x14ac:dyDescent="0.25">
      <c r="B8" s="724" t="s">
        <v>730</v>
      </c>
      <c r="C8" s="725">
        <f>+'Corp I-S&amp;B-S'!C54</f>
        <v>36600</v>
      </c>
      <c r="D8" s="881">
        <f>+'Financial Data Slide'!K19</f>
        <v>21.44</v>
      </c>
    </row>
    <row r="9" spans="2:19" s="722" customFormat="1" x14ac:dyDescent="0.25">
      <c r="B9" s="724" t="s">
        <v>688</v>
      </c>
      <c r="D9" s="811">
        <v>0.5</v>
      </c>
    </row>
    <row r="10" spans="2:19" s="722" customFormat="1" x14ac:dyDescent="0.25">
      <c r="B10" s="724" t="s">
        <v>731</v>
      </c>
      <c r="D10" s="863">
        <f>D8*(1+D9)</f>
        <v>32.160000000000004</v>
      </c>
    </row>
    <row r="11" spans="2:19" s="722" customFormat="1" x14ac:dyDescent="0.25">
      <c r="B11" s="724" t="s">
        <v>732</v>
      </c>
      <c r="D11" s="727">
        <f>+'Financial Data Slide'!E26</f>
        <v>159.24600000000001</v>
      </c>
    </row>
    <row r="12" spans="2:19" x14ac:dyDescent="0.25">
      <c r="B12" s="728" t="s">
        <v>36</v>
      </c>
      <c r="D12" s="729">
        <f>-D11*D10</f>
        <v>-5121.3513600000006</v>
      </c>
      <c r="E12" s="730" t="s">
        <v>478</v>
      </c>
      <c r="F12" s="730" t="s">
        <v>478</v>
      </c>
      <c r="G12" s="730" t="s">
        <v>478</v>
      </c>
      <c r="H12" s="730" t="s">
        <v>478</v>
      </c>
      <c r="I12" s="731">
        <f>+I14-I13</f>
        <v>5148.3550888841646</v>
      </c>
      <c r="J12" s="729"/>
    </row>
    <row r="13" spans="2:19" ht="17.399999999999999" x14ac:dyDescent="0.4">
      <c r="B13" s="728" t="s">
        <v>752</v>
      </c>
      <c r="D13" s="732">
        <f>-'Corp I-S&amp;B-S'!C71</f>
        <v>-3549.5990000000002</v>
      </c>
      <c r="E13" s="733" t="s">
        <v>478</v>
      </c>
      <c r="F13" s="733" t="s">
        <v>478</v>
      </c>
      <c r="G13" s="733" t="s">
        <v>478</v>
      </c>
      <c r="H13" s="733" t="s">
        <v>478</v>
      </c>
      <c r="I13" s="732">
        <f>-(D13+E20+F20+G20+H20)</f>
        <v>451.64491111583504</v>
      </c>
      <c r="J13" s="732"/>
    </row>
    <row r="14" spans="2:19" x14ac:dyDescent="0.25">
      <c r="B14" s="716" t="s">
        <v>37</v>
      </c>
      <c r="D14" s="734">
        <f>+D13+D12</f>
        <v>-8670.9503600000007</v>
      </c>
      <c r="E14" s="734">
        <f>'Expected Transaction'!E23</f>
        <v>1400</v>
      </c>
      <c r="F14" s="734">
        <f>'Expected Transaction'!E30</f>
        <v>750</v>
      </c>
      <c r="G14" s="734">
        <f>'Expected Transaction'!E36</f>
        <v>1600</v>
      </c>
      <c r="H14" s="759">
        <f>'Expected Transaction'!E41</f>
        <v>300</v>
      </c>
      <c r="I14" s="734">
        <f>'Expected Transaction'!E47</f>
        <v>5600</v>
      </c>
    </row>
    <row r="15" spans="2:19" x14ac:dyDescent="0.25">
      <c r="D15" s="734"/>
      <c r="E15" s="734"/>
      <c r="F15" s="734"/>
      <c r="G15" s="734"/>
      <c r="I15" s="734"/>
    </row>
    <row r="16" spans="2:19" ht="17.399999999999999" x14ac:dyDescent="0.4">
      <c r="B16" s="735" t="s">
        <v>753</v>
      </c>
      <c r="D16" s="733" t="s">
        <v>478</v>
      </c>
      <c r="E16" s="732">
        <f>-'Expected Transaction'!G24</f>
        <v>-1061.4552174272812</v>
      </c>
      <c r="F16" s="732">
        <f>-'Expected Transaction'!G31</f>
        <v>-159.07838614564733</v>
      </c>
      <c r="G16" s="732">
        <f>-'Expected Transaction'!G37</f>
        <v>-1061.4552174272812</v>
      </c>
      <c r="H16" s="732">
        <f>-'Expected Transaction'!G42</f>
        <v>-74.385435841777991</v>
      </c>
      <c r="I16" s="732">
        <f>D12</f>
        <v>-5121.3513600000006</v>
      </c>
      <c r="J16" s="732"/>
    </row>
    <row r="17" spans="2:10" ht="15.6" x14ac:dyDescent="0.25">
      <c r="B17" s="735" t="s">
        <v>754</v>
      </c>
      <c r="D17" s="736" t="s">
        <v>478</v>
      </c>
      <c r="E17" s="734">
        <f>+SUM(E14:E16)</f>
        <v>338.54478257271876</v>
      </c>
      <c r="F17" s="734">
        <f>+SUM(F14:F16)</f>
        <v>590.9216138543527</v>
      </c>
      <c r="G17" s="734">
        <f>SUM(G14:G16)</f>
        <v>538.54478257271876</v>
      </c>
      <c r="H17" s="734">
        <f>+H14+H16</f>
        <v>225.61456415822201</v>
      </c>
      <c r="I17" s="734">
        <f>+I12+I16</f>
        <v>27.003728884164047</v>
      </c>
      <c r="J17" s="734"/>
    </row>
    <row r="18" spans="2:10" x14ac:dyDescent="0.25">
      <c r="B18" s="735"/>
      <c r="D18" s="736"/>
      <c r="E18" s="734"/>
      <c r="F18" s="734"/>
      <c r="G18" s="734"/>
      <c r="H18" s="734"/>
      <c r="I18" s="734"/>
      <c r="J18" s="734"/>
    </row>
    <row r="19" spans="2:10" x14ac:dyDescent="0.25">
      <c r="B19" s="737" t="s">
        <v>733</v>
      </c>
      <c r="C19" s="738">
        <v>0.38500000000000001</v>
      </c>
      <c r="D19" s="734">
        <v>0</v>
      </c>
      <c r="E19" s="734">
        <f>-C19*E17</f>
        <v>-130.33974129049673</v>
      </c>
      <c r="F19" s="734">
        <f>-$C$19*F17</f>
        <v>-227.5048213339258</v>
      </c>
      <c r="G19" s="739">
        <f>-$C$19*G17</f>
        <v>-207.33974129049673</v>
      </c>
      <c r="H19" s="739">
        <f>-H17*$C$19</f>
        <v>-86.861607200915472</v>
      </c>
      <c r="I19" s="739">
        <f>-$C$19*I17</f>
        <v>-10.396435620403158</v>
      </c>
      <c r="J19" s="731">
        <f>+SUM(E19:I19)</f>
        <v>-662.44234673623794</v>
      </c>
    </row>
    <row r="20" spans="2:10" ht="13.8" thickBot="1" x14ac:dyDescent="0.3">
      <c r="B20" s="737" t="s">
        <v>734</v>
      </c>
      <c r="D20" s="740">
        <f>+D14</f>
        <v>-8670.9503600000007</v>
      </c>
      <c r="E20" s="740">
        <f>+E14+E19</f>
        <v>1269.6602587095033</v>
      </c>
      <c r="F20" s="740">
        <f>+F14+F19</f>
        <v>522.49517866607425</v>
      </c>
      <c r="G20" s="740">
        <f>+G14+G19</f>
        <v>1392.6602587095033</v>
      </c>
      <c r="H20" s="740">
        <f>+H19</f>
        <v>-86.861607200915472</v>
      </c>
      <c r="I20" s="740">
        <f>+I12+I19</f>
        <v>5137.9586532637613</v>
      </c>
      <c r="J20" s="740">
        <f>+SUM(D20:I20)</f>
        <v>-435.03761785207462</v>
      </c>
    </row>
    <row r="21" spans="2:10" ht="13.8" thickTop="1" x14ac:dyDescent="0.25">
      <c r="B21" s="737"/>
      <c r="D21" s="734"/>
      <c r="E21" s="734"/>
      <c r="F21" s="734"/>
      <c r="G21" s="734"/>
      <c r="H21" s="741"/>
      <c r="I21" s="734"/>
      <c r="J21" s="741"/>
    </row>
    <row r="22" spans="2:10" ht="15.6" x14ac:dyDescent="0.25">
      <c r="B22" s="723" t="s">
        <v>755</v>
      </c>
      <c r="D22" s="734"/>
      <c r="E22" s="734"/>
      <c r="F22" s="734"/>
      <c r="G22" s="734"/>
      <c r="H22" s="741"/>
      <c r="I22" s="734"/>
      <c r="J22" s="741"/>
    </row>
    <row r="23" spans="2:10" x14ac:dyDescent="0.25">
      <c r="B23" s="742" t="s">
        <v>735</v>
      </c>
      <c r="D23" s="734">
        <f>+'Corp I-S&amp;B-S'!J28</f>
        <v>414.37212000000068</v>
      </c>
      <c r="E23" s="734">
        <f>+$D23*(E$26/$D$26)</f>
        <v>171.89238512541169</v>
      </c>
      <c r="F23" s="736" t="s">
        <v>478</v>
      </c>
      <c r="G23" s="734">
        <f t="shared" ref="G23:I25" si="0">+$D23*(G$26/$D$26)</f>
        <v>70.499195300378588</v>
      </c>
      <c r="H23" s="734">
        <f t="shared" si="0"/>
        <v>11.29268887658014</v>
      </c>
      <c r="I23" s="734">
        <f t="shared" si="0"/>
        <v>171.89238512541169</v>
      </c>
      <c r="J23" s="734"/>
    </row>
    <row r="24" spans="2:10" x14ac:dyDescent="0.25">
      <c r="B24" s="742" t="s">
        <v>736</v>
      </c>
      <c r="D24" s="734">
        <f>+'Corp I-S&amp;B-S'!J44</f>
        <v>1226.8630000000005</v>
      </c>
      <c r="E24" s="734">
        <f>+$D24*(E$26/$D$26)</f>
        <v>508.93483686141269</v>
      </c>
      <c r="F24" s="734">
        <f>+'Sum of Parts-Slide'!D21</f>
        <v>101.72876486385822</v>
      </c>
      <c r="G24" s="734">
        <f t="shared" si="0"/>
        <v>208.73232070682815</v>
      </c>
      <c r="H24" s="734">
        <f t="shared" si="0"/>
        <v>33.435121439125112</v>
      </c>
      <c r="I24" s="734">
        <f t="shared" si="0"/>
        <v>508.93483686141269</v>
      </c>
      <c r="J24" s="734"/>
    </row>
    <row r="25" spans="2:10" x14ac:dyDescent="0.25">
      <c r="B25" s="716" t="s">
        <v>737</v>
      </c>
      <c r="D25" s="734">
        <f>+'Corp I-S&amp;B-S'!N56</f>
        <v>2638.3670000000002</v>
      </c>
      <c r="E25" s="734">
        <f>+$D25*(E$26/$D$26)</f>
        <v>1094.463586175094</v>
      </c>
      <c r="F25" s="734">
        <f>+$D25*(F26/$D$26)</f>
        <v>161.3062953350375</v>
      </c>
      <c r="G25" s="734">
        <f t="shared" si="0"/>
        <v>448.87853557105547</v>
      </c>
      <c r="H25" s="734">
        <f t="shared" si="0"/>
        <v>71.902177379202215</v>
      </c>
      <c r="I25" s="734">
        <f t="shared" si="0"/>
        <v>1094.463586175094</v>
      </c>
      <c r="J25" s="734"/>
    </row>
    <row r="26" spans="2:10" ht="15.6" x14ac:dyDescent="0.25">
      <c r="B26" s="742" t="s">
        <v>756</v>
      </c>
      <c r="D26" s="734">
        <f>+'Corp I-S&amp;B-S'!N20</f>
        <v>6168.4179999999997</v>
      </c>
      <c r="E26" s="734">
        <f>'Tax Basis'!H7</f>
        <v>2558.8209999999999</v>
      </c>
      <c r="F26" s="734">
        <f>'Tax Basis'!G7</f>
        <v>377.12898003119403</v>
      </c>
      <c r="G26" s="734">
        <f>+'Tax Basis'!F7</f>
        <v>1049.4637169999999</v>
      </c>
      <c r="H26" s="734">
        <f>'Tax Basis'!M7</f>
        <v>168.10500024638867</v>
      </c>
      <c r="I26" s="734">
        <f>+'Tax Basis'!H7</f>
        <v>2558.8209999999999</v>
      </c>
      <c r="J26" s="734"/>
    </row>
    <row r="27" spans="2:10" ht="15.6" x14ac:dyDescent="0.25">
      <c r="B27" s="742" t="s">
        <v>757</v>
      </c>
      <c r="D27" s="734">
        <f>+'Sum of Parts-Slide'!D30+'Sum of Parts-Slide'!D36</f>
        <v>11289.25</v>
      </c>
      <c r="E27" s="734"/>
      <c r="F27" s="734"/>
      <c r="G27" s="734"/>
      <c r="H27" s="734">
        <f>+'Sum of Parts-Slide'!D36</f>
        <v>1785.8400000000001</v>
      </c>
      <c r="I27" s="734">
        <f>'Sum of Parts-Slide'!D30</f>
        <v>9503.41</v>
      </c>
      <c r="J27" s="734">
        <f>+'Sum of Parts-Slide'!D36</f>
        <v>1785.8400000000001</v>
      </c>
    </row>
    <row r="28" spans="2:10" x14ac:dyDescent="0.25">
      <c r="B28" s="742"/>
      <c r="D28" s="734"/>
      <c r="E28" s="734"/>
      <c r="F28" s="734"/>
      <c r="G28" s="734"/>
      <c r="H28" s="746"/>
      <c r="I28" s="734"/>
    </row>
    <row r="29" spans="2:10" ht="15.6" x14ac:dyDescent="0.25">
      <c r="B29" s="743" t="s">
        <v>758</v>
      </c>
      <c r="D29" s="734"/>
      <c r="E29" s="734"/>
      <c r="F29" s="734"/>
      <c r="G29" s="734"/>
      <c r="I29" s="734"/>
    </row>
    <row r="30" spans="2:10" ht="15.6" x14ac:dyDescent="0.25">
      <c r="B30" s="728" t="s">
        <v>759</v>
      </c>
      <c r="D30" s="744">
        <f>+ABS(D14/D24)</f>
        <v>7.0675783359674202</v>
      </c>
      <c r="E30" s="745">
        <f>+E14/E24</f>
        <v>2.7508433272789143</v>
      </c>
      <c r="F30" s="744">
        <f>+F14/F24</f>
        <v>7.3725460149222455</v>
      </c>
      <c r="G30" s="745">
        <f>+G14/G24</f>
        <v>7.6653198440085184</v>
      </c>
      <c r="H30" s="745">
        <f>+H14/H24</f>
        <v>8.9726008785763227</v>
      </c>
      <c r="I30" s="745">
        <f>+I14/I24</f>
        <v>11.003373309115657</v>
      </c>
      <c r="J30" s="745"/>
    </row>
    <row r="31" spans="2:10" x14ac:dyDescent="0.25">
      <c r="B31" s="716" t="s">
        <v>738</v>
      </c>
      <c r="D31" s="745">
        <f>ABS(D14/D26)</f>
        <v>1.4057008393400061</v>
      </c>
      <c r="E31" s="744">
        <f>+E14/E26</f>
        <v>0.54712697761977103</v>
      </c>
      <c r="F31" s="745">
        <f>+F14/F26</f>
        <v>1.9887095389433189</v>
      </c>
      <c r="G31" s="745">
        <f>+G14/G26</f>
        <v>1.5245882006990816</v>
      </c>
      <c r="H31" s="745">
        <f>+H14/H26</f>
        <v>1.7845989087790075</v>
      </c>
      <c r="I31" s="745">
        <f>+I14/I26</f>
        <v>2.1885079104790841</v>
      </c>
      <c r="J31" s="745"/>
    </row>
    <row r="32" spans="2:10" x14ac:dyDescent="0.25">
      <c r="B32" s="716" t="s">
        <v>739</v>
      </c>
      <c r="D32" s="745">
        <f>ABS(D12/D25)</f>
        <v>1.9411065102011964</v>
      </c>
      <c r="E32" s="730" t="s">
        <v>478</v>
      </c>
      <c r="F32" s="730" t="s">
        <v>478</v>
      </c>
      <c r="G32" s="736" t="s">
        <v>478</v>
      </c>
      <c r="H32" s="736" t="s">
        <v>478</v>
      </c>
      <c r="I32" s="736" t="s">
        <v>478</v>
      </c>
      <c r="J32" s="745"/>
    </row>
    <row r="33" spans="1:14" x14ac:dyDescent="0.25">
      <c r="B33" s="716" t="s">
        <v>740</v>
      </c>
      <c r="D33" s="744">
        <f>ABS(D12/D23)</f>
        <v>12.359304868290831</v>
      </c>
      <c r="E33" s="730" t="s">
        <v>478</v>
      </c>
      <c r="F33" s="730" t="s">
        <v>478</v>
      </c>
      <c r="G33" s="736" t="s">
        <v>478</v>
      </c>
      <c r="H33" s="736" t="s">
        <v>478</v>
      </c>
      <c r="I33" s="736" t="s">
        <v>478</v>
      </c>
      <c r="J33" s="745"/>
    </row>
    <row r="34" spans="1:14" x14ac:dyDescent="0.25">
      <c r="B34" s="716" t="s">
        <v>741</v>
      </c>
      <c r="D34" s="736" t="s">
        <v>478</v>
      </c>
      <c r="E34" s="736" t="s">
        <v>478</v>
      </c>
      <c r="F34" s="736" t="s">
        <v>478</v>
      </c>
      <c r="G34" s="736" t="s">
        <v>478</v>
      </c>
      <c r="H34" s="736" t="s">
        <v>478</v>
      </c>
      <c r="I34" s="864">
        <f>I20/I27*1000</f>
        <v>540.64369034522997</v>
      </c>
      <c r="J34" s="729">
        <f>-J20/J27*1000</f>
        <v>243.60391628145555</v>
      </c>
    </row>
    <row r="37" spans="1:14" x14ac:dyDescent="0.25">
      <c r="A37" s="716">
        <v>1</v>
      </c>
      <c r="B37" s="728" t="s">
        <v>846</v>
      </c>
    </row>
    <row r="38" spans="1:14" x14ac:dyDescent="0.25">
      <c r="A38" s="716">
        <v>2</v>
      </c>
      <c r="B38" s="728" t="s">
        <v>772</v>
      </c>
    </row>
    <row r="39" spans="1:14" x14ac:dyDescent="0.25">
      <c r="A39" s="716">
        <v>3</v>
      </c>
      <c r="B39" s="716" t="s">
        <v>742</v>
      </c>
    </row>
    <row r="40" spans="1:14" x14ac:dyDescent="0.25">
      <c r="A40" s="716">
        <v>4</v>
      </c>
      <c r="B40" s="594" t="s">
        <v>705</v>
      </c>
    </row>
    <row r="41" spans="1:14" x14ac:dyDescent="0.25">
      <c r="A41" s="716">
        <v>5</v>
      </c>
      <c r="B41" s="716" t="s">
        <v>743</v>
      </c>
    </row>
    <row r="42" spans="1:14" x14ac:dyDescent="0.25">
      <c r="A42" s="716">
        <v>6</v>
      </c>
      <c r="B42" s="728" t="s">
        <v>866</v>
      </c>
      <c r="N42" s="718"/>
    </row>
    <row r="43" spans="1:14" x14ac:dyDescent="0.25">
      <c r="A43" s="716">
        <v>7</v>
      </c>
      <c r="B43" s="716" t="s">
        <v>764</v>
      </c>
    </row>
    <row r="44" spans="1:14" x14ac:dyDescent="0.25">
      <c r="A44" s="716">
        <v>8</v>
      </c>
      <c r="B44" s="716" t="s">
        <v>744</v>
      </c>
    </row>
    <row r="45" spans="1:14" x14ac:dyDescent="0.25">
      <c r="A45" s="716">
        <v>9</v>
      </c>
      <c r="B45" s="716" t="s">
        <v>745</v>
      </c>
    </row>
  </sheetData>
  <pageMargins left="0.75" right="0.75" top="1" bottom="1" header="0.5" footer="0.5"/>
  <pageSetup scale="74" orientation="landscape" r:id="rId1"/>
  <headerFooter alignWithMargins="0">
    <oddFooter>&amp;L&amp;P&amp;C&amp;D&amp;T&amp;R&amp;F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44"/>
  <sheetViews>
    <sheetView view="pageBreakPreview" zoomScale="60" zoomScaleNormal="100" workbookViewId="0">
      <selection activeCell="C7" sqref="C7"/>
    </sheetView>
  </sheetViews>
  <sheetFormatPr defaultColWidth="9.109375" defaultRowHeight="13.2" x14ac:dyDescent="0.25"/>
  <cols>
    <col min="1" max="1" width="2.44140625" style="628" customWidth="1"/>
    <col min="2" max="2" width="50.88671875" style="628" customWidth="1"/>
    <col min="3" max="3" width="13" style="628" customWidth="1"/>
    <col min="4" max="4" width="9.109375" style="628"/>
    <col min="5" max="5" width="11.33203125" style="628" bestFit="1" customWidth="1"/>
    <col min="6" max="6" width="11.5546875" style="628" bestFit="1" customWidth="1"/>
    <col min="7" max="9" width="15.6640625" style="628" customWidth="1"/>
    <col min="10" max="10" width="11.33203125" style="628" bestFit="1" customWidth="1"/>
    <col min="11" max="11" width="11.109375" style="628" bestFit="1" customWidth="1"/>
    <col min="12" max="16384" width="9.109375" style="628"/>
  </cols>
  <sheetData>
    <row r="1" spans="1:13" ht="17.399999999999999" x14ac:dyDescent="0.3">
      <c r="A1" s="593" t="s">
        <v>650</v>
      </c>
      <c r="B1" s="594"/>
      <c r="C1" s="594"/>
      <c r="D1" s="594"/>
      <c r="E1" s="594"/>
      <c r="F1" s="594"/>
      <c r="G1" s="594"/>
      <c r="H1" s="594"/>
      <c r="I1" s="594"/>
      <c r="J1" s="594"/>
      <c r="K1" s="594"/>
    </row>
    <row r="2" spans="1:13" x14ac:dyDescent="0.25">
      <c r="A2" s="594"/>
      <c r="B2" s="594"/>
      <c r="C2" s="594"/>
      <c r="D2" s="594"/>
      <c r="E2" s="594"/>
      <c r="F2" s="594"/>
      <c r="G2" s="594"/>
      <c r="H2" s="594"/>
      <c r="I2" s="594"/>
      <c r="J2" s="594"/>
      <c r="K2" s="594"/>
    </row>
    <row r="3" spans="1:13" ht="24.75" customHeight="1" x14ac:dyDescent="0.3">
      <c r="A3" s="647" t="s">
        <v>768</v>
      </c>
      <c r="B3" s="594"/>
      <c r="C3" s="775">
        <f>+'Corp I-S&amp;B-S'!D54</f>
        <v>21.4375</v>
      </c>
      <c r="D3" s="594"/>
      <c r="E3" s="594"/>
      <c r="F3" s="594"/>
      <c r="G3" s="594"/>
      <c r="H3" s="594"/>
      <c r="I3" s="594"/>
      <c r="J3" s="594"/>
      <c r="K3" s="594"/>
    </row>
    <row r="4" spans="1:13" x14ac:dyDescent="0.25">
      <c r="A4" s="594"/>
      <c r="B4" s="594"/>
      <c r="C4" s="594"/>
      <c r="D4" s="594"/>
      <c r="E4" s="594"/>
      <c r="F4" s="594"/>
      <c r="G4" s="594"/>
      <c r="H4" s="594"/>
      <c r="I4" s="594"/>
      <c r="J4" s="594"/>
      <c r="K4" s="594"/>
    </row>
    <row r="5" spans="1:13" ht="18" x14ac:dyDescent="0.35">
      <c r="A5" s="594"/>
      <c r="B5" s="594"/>
      <c r="C5" s="944" t="s">
        <v>531</v>
      </c>
      <c r="D5" s="944"/>
      <c r="E5" s="944"/>
      <c r="F5" s="762"/>
      <c r="G5" s="944" t="s">
        <v>769</v>
      </c>
      <c r="H5" s="944"/>
      <c r="I5" s="944"/>
      <c r="J5" s="594"/>
      <c r="K5" s="594"/>
    </row>
    <row r="6" spans="1:13" ht="19.2" x14ac:dyDescent="0.35">
      <c r="A6" s="777" t="s">
        <v>782</v>
      </c>
      <c r="B6" s="620"/>
      <c r="C6" s="648"/>
      <c r="D6" s="648"/>
      <c r="E6" s="648"/>
      <c r="F6" s="595"/>
      <c r="G6" s="648"/>
      <c r="H6" s="648"/>
      <c r="I6" s="648"/>
      <c r="J6" s="594"/>
      <c r="K6" s="594"/>
    </row>
    <row r="7" spans="1:13" ht="19.2" x14ac:dyDescent="0.35">
      <c r="A7" s="647"/>
      <c r="B7" s="593" t="s">
        <v>251</v>
      </c>
      <c r="C7" s="760">
        <f>'Corporate Comparable Trading'!I29</f>
        <v>24.240141270680667</v>
      </c>
      <c r="D7" s="761" t="s">
        <v>119</v>
      </c>
      <c r="E7" s="760">
        <f>'Corporate Comparable Trading'!K29</f>
        <v>29.276529173276927</v>
      </c>
      <c r="F7" s="762"/>
      <c r="G7" s="763">
        <f>'Corporate Comparable Trading'!I33</f>
        <v>0.13073545285973956</v>
      </c>
      <c r="H7" s="761" t="s">
        <v>119</v>
      </c>
      <c r="I7" s="763">
        <f>'Corporate Comparable Trading'!K33</f>
        <v>0.36566899933653302</v>
      </c>
      <c r="J7" s="594"/>
      <c r="K7" s="594"/>
    </row>
    <row r="8" spans="1:13" ht="19.2" x14ac:dyDescent="0.35">
      <c r="A8" s="647"/>
      <c r="B8" s="593" t="s">
        <v>252</v>
      </c>
      <c r="C8" s="760">
        <f>'Corporate Compac Valuation'!I29</f>
        <v>34.312917075873187</v>
      </c>
      <c r="D8" s="761" t="s">
        <v>119</v>
      </c>
      <c r="E8" s="760">
        <f>'Corporate Compac Valuation'!K29</f>
        <v>42.182273173679839</v>
      </c>
      <c r="F8" s="762"/>
      <c r="G8" s="763">
        <f>'Corporate Compac Valuation'!I33</f>
        <v>0.6006025458133265</v>
      </c>
      <c r="H8" s="761" t="s">
        <v>119</v>
      </c>
      <c r="I8" s="763">
        <f>'Corporate Compac Valuation'!K33</f>
        <v>0.96768621218331607</v>
      </c>
      <c r="J8" s="594"/>
      <c r="K8" s="594"/>
    </row>
    <row r="9" spans="1:13" ht="9.75" customHeight="1" x14ac:dyDescent="0.25">
      <c r="A9" s="594"/>
      <c r="B9" s="649"/>
      <c r="C9" s="649"/>
      <c r="D9" s="649"/>
      <c r="E9" s="649"/>
      <c r="F9" s="649"/>
      <c r="G9" s="649"/>
      <c r="H9" s="649"/>
      <c r="I9" s="649"/>
      <c r="J9" s="649"/>
      <c r="K9" s="594"/>
    </row>
    <row r="10" spans="1:13" ht="19.2" x14ac:dyDescent="0.35">
      <c r="A10" s="777" t="s">
        <v>771</v>
      </c>
      <c r="B10" s="620"/>
      <c r="C10" s="764"/>
      <c r="D10" s="764"/>
      <c r="E10" s="764"/>
      <c r="F10" s="762"/>
      <c r="G10" s="764"/>
      <c r="H10" s="764"/>
      <c r="I10" s="764"/>
      <c r="J10" s="594"/>
      <c r="K10" s="594"/>
    </row>
    <row r="11" spans="1:13" ht="18" x14ac:dyDescent="0.35">
      <c r="A11" s="594"/>
      <c r="B11" s="593" t="s">
        <v>788</v>
      </c>
      <c r="C11" s="760">
        <f>'Sum of Parts-Slide'!M49</f>
        <v>27.318745839769914</v>
      </c>
      <c r="D11" s="761" t="s">
        <v>119</v>
      </c>
      <c r="E11" s="760">
        <f>'Sum of Parts-Slide'!O49</f>
        <v>34.540277306808328</v>
      </c>
      <c r="F11" s="762"/>
      <c r="G11" s="763">
        <f>+'Sum of Parts-Slide'!M52</f>
        <v>0.27434382926040413</v>
      </c>
      <c r="H11" s="761" t="s">
        <v>119</v>
      </c>
      <c r="I11" s="763">
        <f>+'Sum of Parts-Slide'!O52</f>
        <v>0.61120827087152552</v>
      </c>
      <c r="J11" s="594"/>
      <c r="K11" s="594"/>
    </row>
    <row r="12" spans="1:13" ht="6.75" customHeight="1" x14ac:dyDescent="0.25">
      <c r="A12" s="594"/>
      <c r="B12" s="594"/>
      <c r="C12" s="594"/>
      <c r="D12" s="594"/>
      <c r="E12" s="594"/>
      <c r="F12" s="594"/>
      <c r="G12" s="594"/>
      <c r="H12" s="594"/>
      <c r="I12" s="594"/>
      <c r="J12" s="594"/>
      <c r="K12" s="594"/>
    </row>
    <row r="13" spans="1:13" ht="23.4" thickBot="1" x14ac:dyDescent="0.45">
      <c r="A13" s="639" t="s">
        <v>479</v>
      </c>
      <c r="B13" s="650"/>
      <c r="C13" s="651"/>
      <c r="D13" s="652"/>
      <c r="E13" s="942" t="s">
        <v>480</v>
      </c>
      <c r="F13" s="943"/>
      <c r="G13" s="943"/>
      <c r="H13" s="943"/>
      <c r="I13" s="943"/>
      <c r="J13" s="943"/>
      <c r="K13" s="943"/>
    </row>
    <row r="14" spans="1:13" x14ac:dyDescent="0.25">
      <c r="A14" s="594"/>
      <c r="B14" s="595"/>
      <c r="C14" s="780" t="s">
        <v>784</v>
      </c>
      <c r="D14" s="653"/>
      <c r="E14" s="654">
        <v>0</v>
      </c>
      <c r="F14" s="654">
        <v>0.2</v>
      </c>
      <c r="G14" s="654">
        <v>0.25</v>
      </c>
      <c r="H14" s="654">
        <v>0.3</v>
      </c>
      <c r="I14" s="654">
        <v>0.35</v>
      </c>
      <c r="J14" s="654">
        <v>0.4</v>
      </c>
      <c r="K14" s="654">
        <v>0.45</v>
      </c>
      <c r="M14" s="655" t="s">
        <v>483</v>
      </c>
    </row>
    <row r="15" spans="1:13" ht="15.6" x14ac:dyDescent="0.25">
      <c r="A15" s="594"/>
      <c r="B15" s="595"/>
      <c r="C15" s="781" t="s">
        <v>785</v>
      </c>
      <c r="D15" s="653"/>
      <c r="E15" s="656">
        <f>C3</f>
        <v>21.4375</v>
      </c>
      <c r="F15" s="765">
        <f t="shared" ref="F15:K15" si="0">$E$15*(1+F14)</f>
        <v>25.724999999999998</v>
      </c>
      <c r="G15" s="765">
        <f t="shared" si="0"/>
        <v>26.796875</v>
      </c>
      <c r="H15" s="765">
        <f t="shared" si="0"/>
        <v>27.868750000000002</v>
      </c>
      <c r="I15" s="765">
        <f t="shared" si="0"/>
        <v>28.940625000000001</v>
      </c>
      <c r="J15" s="765">
        <f t="shared" si="0"/>
        <v>30.012499999999999</v>
      </c>
      <c r="K15" s="765">
        <f t="shared" si="0"/>
        <v>31.084374999999998</v>
      </c>
      <c r="M15" s="657" t="s">
        <v>481</v>
      </c>
    </row>
    <row r="16" spans="1:13" ht="19.5" customHeight="1" x14ac:dyDescent="0.25">
      <c r="A16" s="766" t="s">
        <v>482</v>
      </c>
      <c r="B16" s="767"/>
      <c r="C16" s="782"/>
      <c r="D16" s="768"/>
      <c r="E16" s="769">
        <f>E15*'Corp I-S&amp;B-S'!$H$41</f>
        <v>3413.8361250000003</v>
      </c>
      <c r="F16" s="769">
        <f>F15*'Corp I-S&amp;B-S'!$H$41</f>
        <v>4096.6033500000003</v>
      </c>
      <c r="G16" s="769">
        <f>G15*'Corp I-S&amp;B-S'!$H$41</f>
        <v>4267.2951562500002</v>
      </c>
      <c r="H16" s="769">
        <f>H15*'Corp I-S&amp;B-S'!$H$41</f>
        <v>4437.986962500001</v>
      </c>
      <c r="I16" s="769">
        <f>I15*'Corp I-S&amp;B-S'!$H$41</f>
        <v>4608.67876875</v>
      </c>
      <c r="J16" s="769">
        <f>J15*'Corp I-S&amp;B-S'!$H$41</f>
        <v>4779.3705749999999</v>
      </c>
      <c r="K16" s="770">
        <f>K15*'Corp I-S&amp;B-S'!$H$41</f>
        <v>4950.0623812499998</v>
      </c>
    </row>
    <row r="17" spans="1:13" ht="15" customHeight="1" x14ac:dyDescent="0.25">
      <c r="A17" s="594"/>
      <c r="B17" s="595" t="s">
        <v>794</v>
      </c>
      <c r="C17" s="783">
        <f>'Trading Comps'!Y20</f>
        <v>13.608032433171042</v>
      </c>
      <c r="D17" s="658"/>
      <c r="E17" s="659">
        <f t="shared" ref="E17:K17" si="1">E15/$M$17</f>
        <v>8.4576049633213675</v>
      </c>
      <c r="F17" s="659">
        <f t="shared" si="1"/>
        <v>10.149125955985639</v>
      </c>
      <c r="G17" s="659">
        <f t="shared" si="1"/>
        <v>10.572006204151709</v>
      </c>
      <c r="H17" s="659">
        <f t="shared" si="1"/>
        <v>10.994886452317779</v>
      </c>
      <c r="I17" s="659">
        <f t="shared" si="1"/>
        <v>11.417766700483845</v>
      </c>
      <c r="J17" s="659">
        <f t="shared" si="1"/>
        <v>11.840646948649914</v>
      </c>
      <c r="K17" s="659">
        <f t="shared" si="1"/>
        <v>12.263527196815982</v>
      </c>
      <c r="M17" s="660">
        <f>'Corp I-S&amp;B-S'!I33</f>
        <v>2.5347010285972646</v>
      </c>
    </row>
    <row r="18" spans="1:13" ht="15.6" x14ac:dyDescent="0.25">
      <c r="A18" s="594"/>
      <c r="B18" s="595" t="s">
        <v>795</v>
      </c>
      <c r="C18" s="783">
        <f>'Trading Comps'!AA20</f>
        <v>11.328828568225926</v>
      </c>
      <c r="D18" s="658"/>
      <c r="E18" s="659">
        <f t="shared" ref="E18:K18" si="2">E15/$M$18</f>
        <v>8.2385758120020114</v>
      </c>
      <c r="F18" s="659">
        <f t="shared" si="2"/>
        <v>9.8862909744024119</v>
      </c>
      <c r="G18" s="659">
        <f t="shared" si="2"/>
        <v>10.298219765002514</v>
      </c>
      <c r="H18" s="659">
        <f t="shared" si="2"/>
        <v>10.710148555602615</v>
      </c>
      <c r="I18" s="659">
        <f t="shared" si="2"/>
        <v>11.122077346202715</v>
      </c>
      <c r="J18" s="659">
        <f t="shared" si="2"/>
        <v>11.534006136802814</v>
      </c>
      <c r="K18" s="659">
        <f t="shared" si="2"/>
        <v>11.945934927402915</v>
      </c>
      <c r="M18" s="660">
        <f>'Corp I-S&amp;B-S'!J33</f>
        <v>2.6020880901247168</v>
      </c>
    </row>
    <row r="19" spans="1:13" ht="15.6" hidden="1" x14ac:dyDescent="0.25">
      <c r="A19" s="594"/>
      <c r="B19" s="595" t="s">
        <v>796</v>
      </c>
      <c r="C19" s="783" t="s">
        <v>786</v>
      </c>
      <c r="D19" s="658"/>
      <c r="E19" s="659">
        <f t="shared" ref="E19:K20" si="3">E$16/$M19</f>
        <v>3.5121770833333334</v>
      </c>
      <c r="F19" s="659">
        <f t="shared" si="3"/>
        <v>4.2146125000000003</v>
      </c>
      <c r="G19" s="659">
        <f t="shared" si="3"/>
        <v>4.390221354166667</v>
      </c>
      <c r="H19" s="659">
        <f t="shared" si="3"/>
        <v>4.5658302083333346</v>
      </c>
      <c r="I19" s="659">
        <f t="shared" si="3"/>
        <v>4.7414390624999996</v>
      </c>
      <c r="J19" s="659">
        <f t="shared" si="3"/>
        <v>4.9170479166666663</v>
      </c>
      <c r="K19" s="659">
        <f t="shared" si="3"/>
        <v>5.092656770833333</v>
      </c>
      <c r="M19" s="661">
        <v>972</v>
      </c>
    </row>
    <row r="20" spans="1:13" ht="15.6" hidden="1" x14ac:dyDescent="0.25">
      <c r="A20" s="594"/>
      <c r="B20" s="595" t="s">
        <v>797</v>
      </c>
      <c r="C20" s="783" t="s">
        <v>786</v>
      </c>
      <c r="D20" s="658"/>
      <c r="E20" s="659">
        <f t="shared" si="3"/>
        <v>2.4263227611940299</v>
      </c>
      <c r="F20" s="659">
        <f t="shared" si="3"/>
        <v>2.9115873134328361</v>
      </c>
      <c r="G20" s="659">
        <f t="shared" si="3"/>
        <v>3.0329034514925373</v>
      </c>
      <c r="H20" s="659">
        <f t="shared" si="3"/>
        <v>3.1542195895522394</v>
      </c>
      <c r="I20" s="659">
        <f t="shared" si="3"/>
        <v>3.2755357276119401</v>
      </c>
      <c r="J20" s="659">
        <f t="shared" si="3"/>
        <v>3.3968518656716418</v>
      </c>
      <c r="K20" s="659">
        <f t="shared" si="3"/>
        <v>3.518168003731343</v>
      </c>
      <c r="M20" s="661">
        <v>1407</v>
      </c>
    </row>
    <row r="21" spans="1:13" x14ac:dyDescent="0.25">
      <c r="A21" s="594"/>
      <c r="B21" s="595" t="s">
        <v>798</v>
      </c>
      <c r="C21" s="783">
        <f>'SSB Comps'!M50</f>
        <v>1.1185837494840447</v>
      </c>
      <c r="D21" s="658"/>
      <c r="E21" s="659">
        <f>E$16/$M21</f>
        <v>1.2939201123270569</v>
      </c>
      <c r="F21" s="659">
        <f t="shared" ref="F21:K21" si="4">F$16/$M21</f>
        <v>1.5527041347924682</v>
      </c>
      <c r="G21" s="659">
        <f t="shared" si="4"/>
        <v>1.617400140408821</v>
      </c>
      <c r="H21" s="659">
        <f t="shared" si="4"/>
        <v>1.6820961460251742</v>
      </c>
      <c r="I21" s="659">
        <f t="shared" si="4"/>
        <v>1.7467921516415266</v>
      </c>
      <c r="J21" s="659">
        <f t="shared" si="4"/>
        <v>1.8114881572578794</v>
      </c>
      <c r="K21" s="659">
        <f t="shared" si="4"/>
        <v>1.8761841628742322</v>
      </c>
      <c r="M21" s="662">
        <f>+'Corp I-S&amp;B-S'!N56</f>
        <v>2638.3670000000002</v>
      </c>
    </row>
    <row r="22" spans="1:13" x14ac:dyDescent="0.25">
      <c r="A22" s="594"/>
      <c r="B22" s="595"/>
      <c r="C22" s="784"/>
      <c r="D22" s="658"/>
      <c r="E22" s="659"/>
      <c r="F22" s="659"/>
      <c r="G22" s="659"/>
      <c r="H22" s="659"/>
      <c r="I22" s="659"/>
      <c r="J22" s="659"/>
      <c r="K22" s="659"/>
      <c r="M22" s="662"/>
    </row>
    <row r="23" spans="1:13" ht="18" customHeight="1" thickBot="1" x14ac:dyDescent="0.3">
      <c r="A23" s="766" t="s">
        <v>37</v>
      </c>
      <c r="B23" s="771"/>
      <c r="C23" s="785"/>
      <c r="D23" s="772"/>
      <c r="E23" s="769">
        <f>E16+'Corp I-S&amp;B-S'!$C$71</f>
        <v>6963.435125</v>
      </c>
      <c r="F23" s="769">
        <f>F16+'Corp I-S&amp;B-S'!$C$71</f>
        <v>7646.2023500000005</v>
      </c>
      <c r="G23" s="769">
        <f>G16+'Corp I-S&amp;B-S'!$C$71</f>
        <v>7816.8941562500004</v>
      </c>
      <c r="H23" s="769">
        <f>H16+'Corp I-S&amp;B-S'!$C$71</f>
        <v>7987.5859625000012</v>
      </c>
      <c r="I23" s="769">
        <f>I16+'Corp I-S&amp;B-S'!$C$71</f>
        <v>8158.2777687500002</v>
      </c>
      <c r="J23" s="769">
        <f>J16+'Corp I-S&amp;B-S'!$C$71</f>
        <v>8328.9695749999992</v>
      </c>
      <c r="K23" s="770">
        <f>K16+'Corp I-S&amp;B-S'!$C$71</f>
        <v>8499.66138125</v>
      </c>
      <c r="M23" s="663"/>
    </row>
    <row r="24" spans="1:13" ht="16.5" customHeight="1" x14ac:dyDescent="0.25">
      <c r="A24" s="594"/>
      <c r="B24" s="594" t="s">
        <v>790</v>
      </c>
      <c r="C24" s="783">
        <f>'SSB Comps'!T50</f>
        <v>5.5193120443318939</v>
      </c>
      <c r="D24" s="658"/>
      <c r="E24" s="659">
        <f t="shared" ref="E24:K24" si="5">E$23/$M24</f>
        <v>6.6504706277296695</v>
      </c>
      <c r="F24" s="659">
        <f t="shared" si="5"/>
        <v>7.3025515754126564</v>
      </c>
      <c r="G24" s="659">
        <f t="shared" si="5"/>
        <v>7.4655718123334029</v>
      </c>
      <c r="H24" s="659">
        <f t="shared" si="5"/>
        <v>7.6285920492541504</v>
      </c>
      <c r="I24" s="659">
        <f t="shared" si="5"/>
        <v>7.791612286174896</v>
      </c>
      <c r="J24" s="659">
        <f t="shared" si="5"/>
        <v>7.9546325230956416</v>
      </c>
      <c r="K24" s="659">
        <f t="shared" si="5"/>
        <v>8.117652760016389</v>
      </c>
      <c r="M24" s="662">
        <f>'Corp I-S&amp;B-S'!I44</f>
        <v>1047.059</v>
      </c>
    </row>
    <row r="25" spans="1:13" ht="15.6" x14ac:dyDescent="0.25">
      <c r="A25" s="594"/>
      <c r="B25" s="594" t="s">
        <v>791</v>
      </c>
      <c r="C25" s="783">
        <f>'SSB Comps'!U50</f>
        <v>5.2766755681310489</v>
      </c>
      <c r="D25" s="658"/>
      <c r="E25" s="659">
        <f t="shared" ref="E25:K25" si="6">E23/$M25</f>
        <v>5.6758049798551244</v>
      </c>
      <c r="F25" s="659">
        <f t="shared" si="6"/>
        <v>6.2323196232994205</v>
      </c>
      <c r="G25" s="659">
        <f t="shared" si="6"/>
        <v>6.3714482841604951</v>
      </c>
      <c r="H25" s="659">
        <f t="shared" si="6"/>
        <v>6.5105769450215698</v>
      </c>
      <c r="I25" s="659">
        <f t="shared" si="6"/>
        <v>6.6497056058826427</v>
      </c>
      <c r="J25" s="659">
        <f t="shared" si="6"/>
        <v>6.7888342667437165</v>
      </c>
      <c r="K25" s="659">
        <f t="shared" si="6"/>
        <v>6.9279629276047912</v>
      </c>
      <c r="M25" s="662">
        <f>'Corp I-S&amp;B-S'!J44</f>
        <v>1226.8630000000005</v>
      </c>
    </row>
    <row r="26" spans="1:13" ht="15.6" x14ac:dyDescent="0.25">
      <c r="A26" s="594"/>
      <c r="B26" s="594" t="s">
        <v>792</v>
      </c>
      <c r="C26" s="783">
        <f>'SSB Comps'!R50</f>
        <v>8.3435131011979937</v>
      </c>
      <c r="D26" s="658"/>
      <c r="E26" s="659">
        <f t="shared" ref="E26:K27" si="7">E$23/$M26</f>
        <v>10.043797516828768</v>
      </c>
      <c r="F26" s="659">
        <f t="shared" si="7"/>
        <v>11.02859534088074</v>
      </c>
      <c r="G26" s="659">
        <f t="shared" si="7"/>
        <v>11.274794796893731</v>
      </c>
      <c r="H26" s="659">
        <f t="shared" si="7"/>
        <v>11.520994252906727</v>
      </c>
      <c r="I26" s="659">
        <f t="shared" si="7"/>
        <v>11.767193708919718</v>
      </c>
      <c r="J26" s="659">
        <f t="shared" si="7"/>
        <v>12.013393164932708</v>
      </c>
      <c r="K26" s="659">
        <f t="shared" si="7"/>
        <v>12.259592620945703</v>
      </c>
      <c r="M26" s="662">
        <f>'Corp I-S&amp;B-S'!I16</f>
        <v>693.30699999999979</v>
      </c>
    </row>
    <row r="27" spans="1:13" ht="15.6" x14ac:dyDescent="0.25">
      <c r="A27" s="594"/>
      <c r="B27" s="594" t="s">
        <v>793</v>
      </c>
      <c r="C27" s="786">
        <f>'SSB Comps'!S50</f>
        <v>8.0660531415019605</v>
      </c>
      <c r="D27" s="658"/>
      <c r="E27" s="659">
        <f t="shared" si="7"/>
        <v>8.0225478206370298</v>
      </c>
      <c r="F27" s="659">
        <f t="shared" si="7"/>
        <v>8.8091614121474624</v>
      </c>
      <c r="G27" s="659">
        <f t="shared" si="7"/>
        <v>9.0058148100250701</v>
      </c>
      <c r="H27" s="659">
        <f t="shared" si="7"/>
        <v>9.2024682079026796</v>
      </c>
      <c r="I27" s="659">
        <f t="shared" si="7"/>
        <v>9.3991216057802855</v>
      </c>
      <c r="J27" s="659">
        <f t="shared" si="7"/>
        <v>9.5957750036578933</v>
      </c>
      <c r="K27" s="659">
        <f t="shared" si="7"/>
        <v>9.792428401535501</v>
      </c>
      <c r="M27" s="662">
        <f>'Corp I-S&amp;B-S'!J16</f>
        <v>867.98300000000108</v>
      </c>
    </row>
    <row r="28" spans="1:13" x14ac:dyDescent="0.25">
      <c r="A28" s="594"/>
      <c r="B28" s="594"/>
      <c r="C28" s="594"/>
      <c r="D28" s="594"/>
      <c r="E28" s="942" t="s">
        <v>480</v>
      </c>
      <c r="F28" s="943"/>
      <c r="G28" s="943"/>
      <c r="H28" s="943"/>
      <c r="I28" s="943"/>
      <c r="J28" s="943"/>
      <c r="K28" s="943"/>
      <c r="M28" s="662"/>
    </row>
    <row r="29" spans="1:13" ht="23.25" customHeight="1" x14ac:dyDescent="0.3">
      <c r="A29" s="639" t="s">
        <v>563</v>
      </c>
      <c r="B29" s="619"/>
      <c r="C29" s="619"/>
      <c r="D29" s="612" t="s">
        <v>564</v>
      </c>
      <c r="E29" s="654">
        <v>0</v>
      </c>
      <c r="F29" s="654">
        <v>0.2</v>
      </c>
      <c r="G29" s="654">
        <v>0.25</v>
      </c>
      <c r="H29" s="654">
        <v>0.3</v>
      </c>
      <c r="I29" s="654">
        <v>0.35</v>
      </c>
      <c r="J29" s="654">
        <v>0.4</v>
      </c>
      <c r="K29" s="654">
        <v>0.45</v>
      </c>
    </row>
    <row r="30" spans="1:13" ht="18.75" customHeight="1" x14ac:dyDescent="0.25">
      <c r="A30" s="619"/>
      <c r="B30" s="594"/>
      <c r="C30" s="594"/>
      <c r="D30" s="664">
        <v>2000</v>
      </c>
      <c r="E30" s="629">
        <f>+'accretion-dilutionIQ'!J27</f>
        <v>0.44346872457592057</v>
      </c>
      <c r="F30" s="629">
        <f>+'accretion-dilutionIQ'!K27</f>
        <v>0.39222056487636281</v>
      </c>
      <c r="G30" s="629">
        <f>+'accretion-dilutionIQ'!L27</f>
        <v>0.37952928530602703</v>
      </c>
      <c r="H30" s="629">
        <f>+'accretion-dilutionIQ'!M27</f>
        <v>0.36688576455454225</v>
      </c>
      <c r="I30" s="629">
        <f>+'accretion-dilutionIQ'!N27</f>
        <v>0.35428973354488225</v>
      </c>
      <c r="J30" s="629">
        <f>+'accretion-dilutionIQ'!O27</f>
        <v>0.34174092521756672</v>
      </c>
      <c r="K30" s="629">
        <f>+'accretion-dilutionIQ'!P27</f>
        <v>0.3292390745117888</v>
      </c>
    </row>
    <row r="31" spans="1:13" x14ac:dyDescent="0.25">
      <c r="A31" s="619"/>
      <c r="B31" s="594"/>
      <c r="C31" s="594"/>
      <c r="D31" s="664">
        <v>2001</v>
      </c>
      <c r="E31" s="629">
        <f>+'accretion-dilutionIQ'!J28</f>
        <v>0.42319011468161905</v>
      </c>
      <c r="F31" s="629">
        <f>+'accretion-dilutionIQ'!K28</f>
        <v>0.37269303629390627</v>
      </c>
      <c r="G31" s="629">
        <f>+'accretion-dilutionIQ'!L28</f>
        <v>0.36018280545251047</v>
      </c>
      <c r="H31" s="629">
        <f>+'accretion-dilutionIQ'!M28</f>
        <v>0.34771769653509121</v>
      </c>
      <c r="I31" s="629">
        <f>+'accretion-dilutionIQ'!N28</f>
        <v>0.33529746586234088</v>
      </c>
      <c r="J31" s="629">
        <f>+'accretion-dilutionIQ'!O28</f>
        <v>0.32292187150644036</v>
      </c>
      <c r="K31" s="629">
        <f>+'accretion-dilutionIQ'!P28</f>
        <v>0.31059067327535006</v>
      </c>
    </row>
    <row r="32" spans="1:13" x14ac:dyDescent="0.25">
      <c r="A32" s="619"/>
      <c r="B32" s="619"/>
      <c r="C32" s="619"/>
      <c r="D32" s="665"/>
      <c r="E32" s="665"/>
      <c r="F32" s="665"/>
      <c r="G32" s="665"/>
      <c r="H32" s="594"/>
      <c r="I32" s="594"/>
      <c r="J32" s="594"/>
      <c r="K32" s="594"/>
    </row>
    <row r="33" spans="1:11" x14ac:dyDescent="0.25">
      <c r="A33" s="619" t="s">
        <v>849</v>
      </c>
      <c r="B33" s="619"/>
      <c r="C33" s="619"/>
      <c r="D33" s="619"/>
      <c r="E33" s="619"/>
      <c r="F33" s="619"/>
      <c r="G33" s="619"/>
      <c r="H33" s="619"/>
      <c r="I33" s="619"/>
      <c r="J33" s="619"/>
      <c r="K33" s="619"/>
    </row>
    <row r="34" spans="1:11" x14ac:dyDescent="0.25">
      <c r="A34" s="619" t="s">
        <v>789</v>
      </c>
      <c r="B34" s="619"/>
      <c r="C34" s="619"/>
      <c r="D34" s="619"/>
      <c r="E34" s="619"/>
      <c r="F34" s="619"/>
      <c r="G34" s="619"/>
      <c r="H34" s="619"/>
      <c r="I34" s="619"/>
      <c r="J34" s="619"/>
      <c r="K34" s="619"/>
    </row>
    <row r="35" spans="1:11" x14ac:dyDescent="0.25">
      <c r="A35" s="619" t="s">
        <v>770</v>
      </c>
      <c r="B35" s="619"/>
      <c r="C35" s="619"/>
      <c r="D35" s="619"/>
      <c r="E35" s="619"/>
      <c r="F35" s="619"/>
      <c r="G35" s="619"/>
      <c r="H35" s="619"/>
      <c r="I35" s="619"/>
      <c r="J35" s="619"/>
      <c r="K35" s="619"/>
    </row>
    <row r="36" spans="1:11" x14ac:dyDescent="0.25">
      <c r="A36" s="619" t="s">
        <v>816</v>
      </c>
      <c r="B36" s="619"/>
      <c r="C36" s="619"/>
      <c r="D36" s="619"/>
      <c r="E36" s="619"/>
      <c r="F36" s="619"/>
      <c r="G36" s="619"/>
      <c r="H36" s="619"/>
      <c r="I36" s="619"/>
      <c r="J36" s="619"/>
      <c r="K36" s="619"/>
    </row>
    <row r="37" spans="1:11" x14ac:dyDescent="0.25">
      <c r="A37" s="619"/>
      <c r="B37" s="619"/>
      <c r="C37" s="619"/>
      <c r="D37" s="619"/>
      <c r="E37" s="619"/>
      <c r="F37" s="619"/>
      <c r="G37" s="619"/>
      <c r="H37" s="619"/>
      <c r="I37" s="619"/>
      <c r="J37" s="619"/>
      <c r="K37" s="619"/>
    </row>
    <row r="39" spans="1:11" x14ac:dyDescent="0.25">
      <c r="B39" s="838"/>
    </row>
    <row r="40" spans="1:11" x14ac:dyDescent="0.25">
      <c r="B40" s="838"/>
    </row>
    <row r="41" spans="1:11" x14ac:dyDescent="0.25">
      <c r="B41" s="838"/>
    </row>
    <row r="42" spans="1:11" x14ac:dyDescent="0.25">
      <c r="B42" s="838"/>
    </row>
    <row r="43" spans="1:11" x14ac:dyDescent="0.25">
      <c r="B43" s="838"/>
    </row>
    <row r="44" spans="1:11" x14ac:dyDescent="0.25">
      <c r="B44" s="256"/>
    </row>
  </sheetData>
  <mergeCells count="4">
    <mergeCell ref="E28:K28"/>
    <mergeCell ref="E13:K13"/>
    <mergeCell ref="C5:E5"/>
    <mergeCell ref="G5:I5"/>
  </mergeCells>
  <pageMargins left="0.75" right="0.75" top="1" bottom="1" header="0.5" footer="0.5"/>
  <pageSetup scale="72" orientation="landscape" r:id="rId1"/>
  <headerFooter alignWithMargins="0">
    <oddFooter>&amp;L&amp;D&amp;T&amp;RPage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2"/>
  <sheetViews>
    <sheetView view="pageBreakPreview" zoomScale="65" zoomScaleNormal="75" zoomScaleSheetLayoutView="65" workbookViewId="0">
      <selection activeCell="H52" sqref="H52"/>
    </sheetView>
  </sheetViews>
  <sheetFormatPr defaultRowHeight="13.2" outlineLevelCol="1" x14ac:dyDescent="0.25"/>
  <cols>
    <col min="1" max="1" width="47.88671875" bestFit="1" customWidth="1"/>
    <col min="2" max="2" width="3.44140625" customWidth="1"/>
    <col min="3" max="3" width="17.109375" customWidth="1"/>
    <col min="4" max="4" width="15.44140625" customWidth="1"/>
    <col min="5" max="5" width="13" customWidth="1"/>
    <col min="6" max="7" width="13" hidden="1" customWidth="1" outlineLevel="1"/>
    <col min="8" max="8" width="13.6640625" customWidth="1" collapsed="1"/>
    <col min="9" max="10" width="11.5546875" style="196" customWidth="1"/>
    <col min="11" max="11" width="10.88671875" style="196" customWidth="1"/>
    <col min="13" max="13" width="56.44140625" style="216" customWidth="1"/>
    <col min="14" max="14" width="11.109375" style="9" bestFit="1" customWidth="1"/>
  </cols>
  <sheetData>
    <row r="1" spans="1:14" x14ac:dyDescent="0.25">
      <c r="A1" s="1" t="s">
        <v>346</v>
      </c>
      <c r="B1" s="1"/>
      <c r="C1" s="1"/>
      <c r="D1" s="1"/>
      <c r="I1"/>
      <c r="J1"/>
      <c r="K1"/>
      <c r="M1" s="250" t="s">
        <v>347</v>
      </c>
    </row>
    <row r="2" spans="1:14" x14ac:dyDescent="0.25">
      <c r="I2"/>
      <c r="J2"/>
      <c r="K2"/>
    </row>
    <row r="3" spans="1:14" ht="13.8" thickBot="1" x14ac:dyDescent="0.3">
      <c r="A3" s="276" t="s">
        <v>351</v>
      </c>
      <c r="B3" s="276"/>
      <c r="C3" s="242" t="s">
        <v>407</v>
      </c>
      <c r="D3" s="242" t="s">
        <v>406</v>
      </c>
      <c r="E3" s="242" t="s">
        <v>291</v>
      </c>
      <c r="F3" s="242" t="s">
        <v>515</v>
      </c>
      <c r="G3" s="242" t="s">
        <v>514</v>
      </c>
      <c r="H3" s="242" t="s">
        <v>14</v>
      </c>
      <c r="I3" s="242" t="s">
        <v>416</v>
      </c>
      <c r="J3" s="242" t="s">
        <v>417</v>
      </c>
      <c r="K3" s="242" t="s">
        <v>418</v>
      </c>
      <c r="M3" s="248" t="s">
        <v>517</v>
      </c>
      <c r="N3" s="242" t="s">
        <v>518</v>
      </c>
    </row>
    <row r="4" spans="1:14" x14ac:dyDescent="0.25">
      <c r="A4" s="250" t="s">
        <v>292</v>
      </c>
      <c r="B4" s="250"/>
      <c r="C4" s="216"/>
      <c r="D4" s="216"/>
      <c r="E4" s="251"/>
      <c r="F4" s="251"/>
      <c r="G4" s="251"/>
      <c r="H4" s="196"/>
      <c r="M4" s="216" t="s">
        <v>306</v>
      </c>
      <c r="N4" s="331" t="s">
        <v>119</v>
      </c>
    </row>
    <row r="5" spans="1:14" x14ac:dyDescent="0.25">
      <c r="A5" s="216" t="s">
        <v>293</v>
      </c>
      <c r="B5" s="216"/>
      <c r="C5" s="221">
        <v>2768.7060000000001</v>
      </c>
      <c r="D5" s="221">
        <v>3861.6979999999999</v>
      </c>
      <c r="E5" s="221">
        <v>4747.2349999999997</v>
      </c>
      <c r="F5" s="221">
        <v>3782.857</v>
      </c>
      <c r="G5" s="221">
        <v>3307.462</v>
      </c>
      <c r="H5" s="155">
        <f>G5+E5-F5</f>
        <v>4271.84</v>
      </c>
      <c r="I5" s="155">
        <v>4312.8990000000003</v>
      </c>
      <c r="J5" s="155">
        <f>2675.95+1830.4</f>
        <v>4506.3500000000004</v>
      </c>
      <c r="K5" s="155">
        <f>2722.159+2013.44</f>
        <v>4735.5990000000002</v>
      </c>
      <c r="M5" s="216" t="s">
        <v>307</v>
      </c>
      <c r="N5" s="47">
        <v>57.485999999999997</v>
      </c>
    </row>
    <row r="6" spans="1:14" x14ac:dyDescent="0.25">
      <c r="A6" s="216" t="s">
        <v>294</v>
      </c>
      <c r="B6" s="216"/>
      <c r="C6" s="172">
        <v>474.03500000000003</v>
      </c>
      <c r="D6" s="172">
        <v>491.14499999999998</v>
      </c>
      <c r="E6" s="172">
        <v>1060.664</v>
      </c>
      <c r="F6" s="172">
        <v>686.923</v>
      </c>
      <c r="G6" s="172">
        <v>1125.8119999999999</v>
      </c>
      <c r="H6" s="189">
        <f>G6+E6-F6</f>
        <v>1499.5529999999997</v>
      </c>
      <c r="I6" s="189">
        <v>1596.146</v>
      </c>
      <c r="J6" s="189">
        <f>421.998+746.647</f>
        <v>1168.645</v>
      </c>
      <c r="K6" s="189">
        <f>432.548+821.312</f>
        <v>1253.8600000000001</v>
      </c>
      <c r="L6" s="205"/>
      <c r="M6" s="216" t="s">
        <v>308</v>
      </c>
      <c r="N6" s="47">
        <v>1.425</v>
      </c>
    </row>
    <row r="7" spans="1:14" x14ac:dyDescent="0.25">
      <c r="A7" s="216" t="s">
        <v>295</v>
      </c>
      <c r="B7" s="216"/>
      <c r="C7" s="286">
        <v>33.445999999999998</v>
      </c>
      <c r="D7" s="286">
        <v>34.258000000000003</v>
      </c>
      <c r="E7" s="286">
        <v>68.394999999999996</v>
      </c>
      <c r="F7" s="286">
        <v>23.100999999999999</v>
      </c>
      <c r="G7" s="286">
        <v>26.602</v>
      </c>
      <c r="H7" s="275">
        <f>G7+E7-F7</f>
        <v>71.896000000000001</v>
      </c>
      <c r="I7" s="275">
        <v>28.843</v>
      </c>
      <c r="J7" s="275">
        <v>75.405000000000001</v>
      </c>
      <c r="K7" s="275">
        <v>79.176000000000002</v>
      </c>
      <c r="M7" s="216" t="s">
        <v>519</v>
      </c>
      <c r="N7" s="47">
        <v>0.28999999999999998</v>
      </c>
    </row>
    <row r="8" spans="1:14" ht="39.6" x14ac:dyDescent="0.25">
      <c r="A8" s="216"/>
      <c r="B8" s="216"/>
      <c r="C8" s="274">
        <f t="shared" ref="C8:H8" si="0">SUM(C5:C7)</f>
        <v>3276.1869999999999</v>
      </c>
      <c r="D8" s="274">
        <f t="shared" si="0"/>
        <v>4387.1009999999997</v>
      </c>
      <c r="E8" s="274">
        <f t="shared" si="0"/>
        <v>5876.2939999999999</v>
      </c>
      <c r="F8" s="274">
        <f t="shared" si="0"/>
        <v>4492.8809999999994</v>
      </c>
      <c r="G8" s="274">
        <f t="shared" si="0"/>
        <v>4459.8759999999993</v>
      </c>
      <c r="H8" s="274">
        <f t="shared" si="0"/>
        <v>5843.2889999999998</v>
      </c>
      <c r="I8" s="274">
        <f>+SUM(I5:I7)</f>
        <v>5937.8879999999999</v>
      </c>
      <c r="J8" s="274">
        <f>+SUM(J5:J7)</f>
        <v>5750.4000000000005</v>
      </c>
      <c r="K8" s="274">
        <f>+SUM(K5:K7)</f>
        <v>6068.6350000000011</v>
      </c>
      <c r="M8" s="216" t="s">
        <v>520</v>
      </c>
      <c r="N8" s="47">
        <v>761.76800000000003</v>
      </c>
    </row>
    <row r="9" spans="1:14" x14ac:dyDescent="0.25">
      <c r="A9" s="250" t="s">
        <v>83</v>
      </c>
      <c r="B9" s="250"/>
      <c r="C9" s="279"/>
      <c r="D9" s="279"/>
      <c r="E9" s="279"/>
      <c r="F9" s="279"/>
      <c r="G9" s="279"/>
      <c r="H9" s="196"/>
      <c r="M9" s="216" t="s">
        <v>521</v>
      </c>
      <c r="N9" s="47">
        <v>208.93100000000001</v>
      </c>
    </row>
    <row r="10" spans="1:14" x14ac:dyDescent="0.25">
      <c r="A10" s="216" t="s">
        <v>296</v>
      </c>
      <c r="B10" s="216"/>
      <c r="C10" s="221">
        <v>872.08799999999997</v>
      </c>
      <c r="D10" s="221">
        <v>1912.7929999999999</v>
      </c>
      <c r="E10" s="221">
        <v>2846.3229999999999</v>
      </c>
      <c r="F10" s="221">
        <v>2318.6239999999998</v>
      </c>
      <c r="G10" s="221">
        <v>1775.586</v>
      </c>
      <c r="H10" s="155">
        <f>G10+E10-F10</f>
        <v>2303.2849999999999</v>
      </c>
      <c r="I10" s="155">
        <f>761.304+1498.993</f>
        <v>2260.297</v>
      </c>
      <c r="J10" s="155">
        <v>2413.8510000000001</v>
      </c>
      <c r="K10" s="155">
        <v>2611.877</v>
      </c>
      <c r="M10" s="216" t="s">
        <v>336</v>
      </c>
      <c r="N10" s="47">
        <v>135.81700000000001</v>
      </c>
    </row>
    <row r="11" spans="1:14" ht="13.8" thickBot="1" x14ac:dyDescent="0.3">
      <c r="A11" s="216" t="s">
        <v>297</v>
      </c>
      <c r="B11" s="216"/>
      <c r="C11" s="172">
        <v>249.11600000000001</v>
      </c>
      <c r="D11" s="172">
        <v>266.15800000000002</v>
      </c>
      <c r="E11" s="172">
        <v>857.01</v>
      </c>
      <c r="F11" s="172">
        <v>544.48800000000006</v>
      </c>
      <c r="G11" s="172">
        <v>977.17399999999998</v>
      </c>
      <c r="H11" s="189">
        <f>G11+E11-F11</f>
        <v>1289.6959999999999</v>
      </c>
      <c r="I11" s="189">
        <v>1383.9929999999999</v>
      </c>
      <c r="J11" s="189">
        <v>939.92600000000004</v>
      </c>
      <c r="K11" s="189">
        <v>1010.42</v>
      </c>
      <c r="M11" s="216" t="s">
        <v>309</v>
      </c>
      <c r="N11" s="332">
        <v>75.207999999999998</v>
      </c>
    </row>
    <row r="12" spans="1:14" ht="13.8" thickBot="1" x14ac:dyDescent="0.3">
      <c r="A12" s="216" t="s">
        <v>298</v>
      </c>
      <c r="B12" s="216"/>
      <c r="C12" s="172">
        <v>838.21799999999996</v>
      </c>
      <c r="D12" s="172">
        <v>869.86699999999996</v>
      </c>
      <c r="E12" s="172">
        <v>1006.3819999999999</v>
      </c>
      <c r="F12" s="172">
        <v>746.39200000000005</v>
      </c>
      <c r="G12" s="172">
        <v>726.31</v>
      </c>
      <c r="H12" s="189">
        <f>G12+E12-F12</f>
        <v>986.3</v>
      </c>
      <c r="I12" s="189">
        <f>775.239+205.8</f>
        <v>981.03899999999999</v>
      </c>
      <c r="J12" s="189">
        <v>889.60500000000002</v>
      </c>
      <c r="K12" s="189">
        <v>898.50099999999998</v>
      </c>
      <c r="N12" s="333">
        <v>1240.925</v>
      </c>
    </row>
    <row r="13" spans="1:14" x14ac:dyDescent="0.25">
      <c r="A13" s="216" t="s">
        <v>299</v>
      </c>
      <c r="B13" s="216"/>
      <c r="C13" s="172">
        <v>294.85199999999998</v>
      </c>
      <c r="D13" s="172">
        <v>306.92200000000003</v>
      </c>
      <c r="E13" s="172">
        <v>325.51499999999999</v>
      </c>
      <c r="F13" s="172">
        <v>242.27099999999999</v>
      </c>
      <c r="G13" s="172">
        <v>263.41199999999998</v>
      </c>
      <c r="H13" s="189">
        <f>G13+E13-F13</f>
        <v>346.65599999999995</v>
      </c>
      <c r="I13" s="189">
        <f>323.2+26.19+4.362</f>
        <v>353.75200000000001</v>
      </c>
      <c r="J13" s="189">
        <v>358.88</v>
      </c>
      <c r="K13" s="189">
        <v>376.82400000000001</v>
      </c>
      <c r="M13" s="216" t="s">
        <v>522</v>
      </c>
      <c r="N13" s="331" t="s">
        <v>119</v>
      </c>
    </row>
    <row r="14" spans="1:14" ht="15" x14ac:dyDescent="0.4">
      <c r="A14" s="216" t="s">
        <v>300</v>
      </c>
      <c r="B14" s="216"/>
      <c r="C14" s="287">
        <v>258.375</v>
      </c>
      <c r="D14" s="287">
        <v>265.69299999999998</v>
      </c>
      <c r="E14" s="287">
        <v>274.63499999999999</v>
      </c>
      <c r="F14" s="287">
        <v>208.125</v>
      </c>
      <c r="G14" s="287">
        <v>208.68799999999999</v>
      </c>
      <c r="H14" s="280">
        <f>G14+E14-F14</f>
        <v>275.19799999999998</v>
      </c>
      <c r="I14" s="280">
        <v>265.5</v>
      </c>
      <c r="J14" s="280">
        <v>280.15499999999997</v>
      </c>
      <c r="K14" s="280">
        <v>282.95699999999999</v>
      </c>
      <c r="M14" s="216" t="s">
        <v>523</v>
      </c>
      <c r="N14" s="331" t="s">
        <v>119</v>
      </c>
    </row>
    <row r="15" spans="1:14" ht="13.8" thickBot="1" x14ac:dyDescent="0.3">
      <c r="A15" s="216"/>
      <c r="B15" s="216"/>
      <c r="C15" s="274">
        <f t="shared" ref="C15:K15" si="1">SUM(C10:C14)</f>
        <v>2512.6489999999999</v>
      </c>
      <c r="D15" s="274">
        <f t="shared" si="1"/>
        <v>3621.433</v>
      </c>
      <c r="E15" s="274">
        <f t="shared" si="1"/>
        <v>5309.8649999999998</v>
      </c>
      <c r="F15" s="274">
        <f t="shared" si="1"/>
        <v>4059.9</v>
      </c>
      <c r="G15" s="274">
        <f t="shared" si="1"/>
        <v>3951.17</v>
      </c>
      <c r="H15" s="274">
        <f t="shared" si="1"/>
        <v>5201.1350000000002</v>
      </c>
      <c r="I15" s="274">
        <f t="shared" si="1"/>
        <v>5244.5810000000001</v>
      </c>
      <c r="J15" s="274">
        <f t="shared" si="1"/>
        <v>4882.4169999999995</v>
      </c>
      <c r="K15" s="274">
        <f t="shared" si="1"/>
        <v>5180.5789999999997</v>
      </c>
      <c r="M15" s="216" t="s">
        <v>293</v>
      </c>
      <c r="N15" s="47">
        <v>9330.18</v>
      </c>
    </row>
    <row r="16" spans="1:14" ht="13.8" thickBot="1" x14ac:dyDescent="0.3">
      <c r="A16" s="250" t="s">
        <v>301</v>
      </c>
      <c r="B16" s="250"/>
      <c r="C16" s="281">
        <f t="shared" ref="C16:K16" si="2">C8-C15</f>
        <v>763.53800000000001</v>
      </c>
      <c r="D16" s="281">
        <f t="shared" si="2"/>
        <v>765.66799999999967</v>
      </c>
      <c r="E16" s="281">
        <f t="shared" si="2"/>
        <v>566.42900000000009</v>
      </c>
      <c r="F16" s="281">
        <f t="shared" si="2"/>
        <v>432.98099999999931</v>
      </c>
      <c r="G16" s="281">
        <f t="shared" si="2"/>
        <v>508.70599999999922</v>
      </c>
      <c r="H16" s="281">
        <f t="shared" si="2"/>
        <v>642.15399999999954</v>
      </c>
      <c r="I16" s="281">
        <f t="shared" si="2"/>
        <v>693.30699999999979</v>
      </c>
      <c r="J16" s="281">
        <f t="shared" si="2"/>
        <v>867.98300000000108</v>
      </c>
      <c r="K16" s="281">
        <f t="shared" si="2"/>
        <v>888.0560000000014</v>
      </c>
      <c r="M16" s="216" t="s">
        <v>294</v>
      </c>
      <c r="N16" s="47">
        <v>811.55200000000002</v>
      </c>
    </row>
    <row r="17" spans="1:14" ht="27" thickBot="1" x14ac:dyDescent="0.3">
      <c r="A17" s="216" t="s">
        <v>302</v>
      </c>
      <c r="B17" s="216"/>
      <c r="C17" s="172">
        <v>25.43</v>
      </c>
      <c r="D17" s="172">
        <v>60.392000000000003</v>
      </c>
      <c r="E17" s="172">
        <v>51.484000000000002</v>
      </c>
      <c r="F17" s="172">
        <v>32.991999999999997</v>
      </c>
      <c r="G17" s="172">
        <v>58.076000000000001</v>
      </c>
      <c r="H17" s="189">
        <f>G17+E17-F17</f>
        <v>76.568000000000012</v>
      </c>
      <c r="I17" s="189">
        <v>20</v>
      </c>
      <c r="J17" s="189">
        <f t="shared" ref="J17:K19" si="3">I17</f>
        <v>20</v>
      </c>
      <c r="K17" s="189">
        <f t="shared" si="3"/>
        <v>20</v>
      </c>
      <c r="M17" s="216" t="s">
        <v>310</v>
      </c>
      <c r="N17" s="332">
        <v>170.77199999999999</v>
      </c>
    </row>
    <row r="18" spans="1:14" ht="13.8" thickBot="1" x14ac:dyDescent="0.3">
      <c r="A18" s="216" t="s">
        <v>303</v>
      </c>
      <c r="B18" s="216"/>
      <c r="C18" s="172">
        <v>-16.652000000000001</v>
      </c>
      <c r="D18" s="172">
        <v>-1.534</v>
      </c>
      <c r="E18" s="172">
        <v>10.346</v>
      </c>
      <c r="F18" s="172">
        <v>-11.85</v>
      </c>
      <c r="G18" s="172">
        <f>99.272-2.965</f>
        <v>96.307000000000002</v>
      </c>
      <c r="H18" s="189">
        <f>G18+E18-F18</f>
        <v>118.503</v>
      </c>
      <c r="I18" s="189">
        <v>3</v>
      </c>
      <c r="J18" s="189">
        <f t="shared" si="3"/>
        <v>3</v>
      </c>
      <c r="K18" s="189">
        <f t="shared" si="3"/>
        <v>3</v>
      </c>
      <c r="N18" s="333">
        <v>10312.504000000001</v>
      </c>
    </row>
    <row r="19" spans="1:14" ht="15.6" thickBot="1" x14ac:dyDescent="0.45">
      <c r="A19" s="216" t="s">
        <v>304</v>
      </c>
      <c r="B19" s="216"/>
      <c r="C19" s="287">
        <v>215.60300000000001</v>
      </c>
      <c r="D19" s="287">
        <v>236.31899999999999</v>
      </c>
      <c r="E19" s="287">
        <v>243.58699999999999</v>
      </c>
      <c r="F19" s="287">
        <v>181.51</v>
      </c>
      <c r="G19" s="287">
        <v>177.95699999999999</v>
      </c>
      <c r="H19" s="190">
        <f>G19+E19-F19</f>
        <v>240.03399999999999</v>
      </c>
      <c r="I19" s="190">
        <v>235</v>
      </c>
      <c r="J19" s="190">
        <f t="shared" si="3"/>
        <v>235</v>
      </c>
      <c r="K19" s="190">
        <f t="shared" si="3"/>
        <v>235</v>
      </c>
      <c r="M19" s="216" t="s">
        <v>311</v>
      </c>
      <c r="N19" s="332">
        <v>4206.192</v>
      </c>
    </row>
    <row r="20" spans="1:14" ht="13.8" thickBot="1" x14ac:dyDescent="0.3">
      <c r="A20" s="250" t="s">
        <v>327</v>
      </c>
      <c r="B20" s="250"/>
      <c r="C20" s="274">
        <f t="shared" ref="C20:K20" si="4">C16+C17+C18-C19</f>
        <v>556.71299999999997</v>
      </c>
      <c r="D20" s="274">
        <f t="shared" si="4"/>
        <v>588.20699999999977</v>
      </c>
      <c r="E20" s="274">
        <f t="shared" si="4"/>
        <v>384.67200000000014</v>
      </c>
      <c r="F20" s="274">
        <f t="shared" si="4"/>
        <v>272.61299999999932</v>
      </c>
      <c r="G20" s="274">
        <f t="shared" si="4"/>
        <v>485.13199999999927</v>
      </c>
      <c r="H20" s="274">
        <f t="shared" si="4"/>
        <v>597.19099999999958</v>
      </c>
      <c r="I20" s="274">
        <f t="shared" si="4"/>
        <v>481.30699999999979</v>
      </c>
      <c r="J20" s="274">
        <f t="shared" si="4"/>
        <v>655.98300000000108</v>
      </c>
      <c r="K20" s="274">
        <f t="shared" si="4"/>
        <v>676.0560000000014</v>
      </c>
      <c r="N20" s="878">
        <v>6168.4179999999997</v>
      </c>
    </row>
    <row r="21" spans="1:14" ht="13.8" thickBot="1" x14ac:dyDescent="0.3">
      <c r="A21" s="216" t="s">
        <v>328</v>
      </c>
      <c r="B21" s="216"/>
      <c r="C21" s="172">
        <v>198.73599999999999</v>
      </c>
      <c r="D21" s="172">
        <v>213</v>
      </c>
      <c r="E21" s="172">
        <v>117.187</v>
      </c>
      <c r="F21" s="172">
        <v>77.891000000000005</v>
      </c>
      <c r="G21" s="172">
        <v>173.173</v>
      </c>
      <c r="H21" s="189">
        <f>G21+E21-F21</f>
        <v>212.46899999999999</v>
      </c>
      <c r="I21" s="189">
        <v>208.67099999999999</v>
      </c>
      <c r="J21" s="189">
        <f>J20*$C$46</f>
        <v>236.15388000000038</v>
      </c>
      <c r="K21" s="189">
        <f>K20*$C$46</f>
        <v>243.3801600000005</v>
      </c>
      <c r="L21" s="196"/>
      <c r="M21" s="216" t="s">
        <v>312</v>
      </c>
      <c r="N21" s="332">
        <v>266.98099999999999</v>
      </c>
    </row>
    <row r="22" spans="1:14" ht="15.6" thickBot="1" x14ac:dyDescent="0.45">
      <c r="A22" s="216" t="s">
        <v>305</v>
      </c>
      <c r="B22" s="216"/>
      <c r="C22" s="287">
        <v>23.18</v>
      </c>
      <c r="D22" s="287">
        <v>12.569000000000001</v>
      </c>
      <c r="E22" s="287">
        <v>6.5170000000000003</v>
      </c>
      <c r="F22" s="287">
        <v>5.1529999999999996</v>
      </c>
      <c r="G22" s="287">
        <v>4.093</v>
      </c>
      <c r="H22" s="280">
        <f>G22+E22-F22</f>
        <v>5.4569999999999999</v>
      </c>
      <c r="I22" s="280">
        <f>H22</f>
        <v>5.4569999999999999</v>
      </c>
      <c r="J22" s="280">
        <f>I22</f>
        <v>5.4569999999999999</v>
      </c>
      <c r="K22" s="280">
        <f>J22</f>
        <v>5.4569999999999999</v>
      </c>
      <c r="M22" s="216" t="s">
        <v>313</v>
      </c>
      <c r="N22" s="333">
        <v>6373.2929999999997</v>
      </c>
    </row>
    <row r="23" spans="1:14" x14ac:dyDescent="0.25">
      <c r="A23" s="250" t="s">
        <v>408</v>
      </c>
      <c r="B23" s="250"/>
      <c r="C23" s="274">
        <f t="shared" ref="C23:K23" si="5">C20-C21-C22</f>
        <v>334.79699999999997</v>
      </c>
      <c r="D23" s="274">
        <f t="shared" si="5"/>
        <v>362.63799999999975</v>
      </c>
      <c r="E23" s="274">
        <f t="shared" si="5"/>
        <v>260.96800000000013</v>
      </c>
      <c r="F23" s="274">
        <f t="shared" si="5"/>
        <v>189.56899999999931</v>
      </c>
      <c r="G23" s="274">
        <f t="shared" si="5"/>
        <v>307.86599999999925</v>
      </c>
      <c r="H23" s="274">
        <f t="shared" si="5"/>
        <v>379.26499999999959</v>
      </c>
      <c r="I23" s="274">
        <v>403.64100000000002</v>
      </c>
      <c r="J23" s="274">
        <f t="shared" si="5"/>
        <v>414.37212000000068</v>
      </c>
      <c r="K23" s="274">
        <f t="shared" si="5"/>
        <v>427.21884000000091</v>
      </c>
      <c r="M23" s="216" t="s">
        <v>314</v>
      </c>
      <c r="N23" s="331" t="s">
        <v>119</v>
      </c>
    </row>
    <row r="24" spans="1:14" ht="15" x14ac:dyDescent="0.4">
      <c r="A24" s="216" t="s">
        <v>409</v>
      </c>
      <c r="B24" s="216"/>
      <c r="C24" s="287">
        <v>0</v>
      </c>
      <c r="D24" s="287">
        <v>-109</v>
      </c>
      <c r="E24" s="287">
        <v>0</v>
      </c>
      <c r="F24" s="287">
        <v>0</v>
      </c>
      <c r="G24" s="287">
        <v>0</v>
      </c>
      <c r="H24" s="287">
        <v>0</v>
      </c>
      <c r="I24" s="287">
        <v>0</v>
      </c>
      <c r="J24" s="287">
        <v>0</v>
      </c>
      <c r="K24" s="287">
        <v>0</v>
      </c>
      <c r="M24" s="216" t="s">
        <v>337</v>
      </c>
      <c r="N24" s="47">
        <v>1128.9570000000001</v>
      </c>
    </row>
    <row r="25" spans="1:14" x14ac:dyDescent="0.25">
      <c r="A25" s="250" t="s">
        <v>104</v>
      </c>
      <c r="B25" s="250"/>
      <c r="C25" s="282">
        <f t="shared" ref="C25:K25" si="6">C23+C24</f>
        <v>334.79699999999997</v>
      </c>
      <c r="D25" s="282">
        <f t="shared" si="6"/>
        <v>253.63799999999975</v>
      </c>
      <c r="E25" s="282">
        <f t="shared" si="6"/>
        <v>260.96800000000013</v>
      </c>
      <c r="F25" s="282">
        <f t="shared" si="6"/>
        <v>189.56899999999931</v>
      </c>
      <c r="G25" s="282">
        <f t="shared" si="6"/>
        <v>307.86599999999925</v>
      </c>
      <c r="H25" s="282">
        <f t="shared" si="6"/>
        <v>379.26499999999959</v>
      </c>
      <c r="I25" s="282">
        <f t="shared" si="6"/>
        <v>403.64100000000002</v>
      </c>
      <c r="J25" s="282">
        <f t="shared" si="6"/>
        <v>414.37212000000068</v>
      </c>
      <c r="K25" s="282">
        <f t="shared" si="6"/>
        <v>427.21884000000091</v>
      </c>
      <c r="M25" s="216" t="s">
        <v>338</v>
      </c>
      <c r="N25" s="47">
        <v>309.57799999999997</v>
      </c>
    </row>
    <row r="26" spans="1:14" x14ac:dyDescent="0.25">
      <c r="A26" s="250"/>
      <c r="B26" s="250"/>
      <c r="C26" s="232"/>
      <c r="D26" s="232"/>
      <c r="E26" s="232"/>
      <c r="F26" s="232"/>
      <c r="G26" s="232"/>
      <c r="H26" s="196"/>
      <c r="M26" s="216" t="s">
        <v>336</v>
      </c>
      <c r="N26" s="47">
        <v>21.507000000000001</v>
      </c>
    </row>
    <row r="27" spans="1:14" ht="13.8" thickBot="1" x14ac:dyDescent="0.3">
      <c r="A27" s="250" t="s">
        <v>329</v>
      </c>
      <c r="B27" s="250"/>
      <c r="C27" s="277"/>
      <c r="D27" s="277"/>
      <c r="E27" s="243"/>
      <c r="F27" s="243"/>
      <c r="G27" s="243"/>
      <c r="H27" s="196"/>
      <c r="M27" s="216" t="s">
        <v>315</v>
      </c>
      <c r="N27" s="332">
        <v>460.22699999999998</v>
      </c>
    </row>
    <row r="28" spans="1:14" ht="13.8" thickBot="1" x14ac:dyDescent="0.3">
      <c r="A28" s="215" t="s">
        <v>412</v>
      </c>
      <c r="B28" s="215"/>
      <c r="C28" s="253">
        <f t="shared" ref="C28:K28" si="7">C23</f>
        <v>334.79699999999997</v>
      </c>
      <c r="D28" s="253">
        <f t="shared" si="7"/>
        <v>362.63799999999975</v>
      </c>
      <c r="E28" s="253">
        <f t="shared" si="7"/>
        <v>260.96800000000013</v>
      </c>
      <c r="F28" s="253">
        <f t="shared" si="7"/>
        <v>189.56899999999931</v>
      </c>
      <c r="G28" s="253">
        <f t="shared" si="7"/>
        <v>307.86599999999925</v>
      </c>
      <c r="H28" s="253">
        <f t="shared" si="7"/>
        <v>379.26499999999959</v>
      </c>
      <c r="I28" s="253">
        <f t="shared" si="7"/>
        <v>403.64100000000002</v>
      </c>
      <c r="J28" s="253">
        <f t="shared" si="7"/>
        <v>414.37212000000068</v>
      </c>
      <c r="K28" s="253">
        <f t="shared" si="7"/>
        <v>427.21884000000091</v>
      </c>
      <c r="N28" s="333">
        <v>1920.269</v>
      </c>
    </row>
    <row r="29" spans="1:14" x14ac:dyDescent="0.25">
      <c r="A29" s="215" t="s">
        <v>413</v>
      </c>
      <c r="B29" s="215"/>
      <c r="C29" s="278">
        <v>0</v>
      </c>
      <c r="D29" s="278">
        <v>0</v>
      </c>
      <c r="E29" s="278">
        <v>-50</v>
      </c>
      <c r="F29" s="278">
        <v>0</v>
      </c>
      <c r="G29" s="278">
        <v>0</v>
      </c>
      <c r="H29" s="189">
        <v>0</v>
      </c>
      <c r="I29" s="189">
        <v>0</v>
      </c>
      <c r="J29" s="189">
        <v>0</v>
      </c>
      <c r="K29" s="189">
        <v>0</v>
      </c>
      <c r="N29" s="47">
        <v>9534.4869999999992</v>
      </c>
    </row>
    <row r="30" spans="1:14" s="93" customFormat="1" ht="15" x14ac:dyDescent="0.4">
      <c r="A30" s="215" t="s">
        <v>410</v>
      </c>
      <c r="B30" s="215"/>
      <c r="C30" s="211">
        <v>18</v>
      </c>
      <c r="D30" s="211">
        <v>0</v>
      </c>
      <c r="E30" s="211">
        <v>0</v>
      </c>
      <c r="F30" s="211">
        <v>0</v>
      </c>
      <c r="G30" s="211">
        <v>0</v>
      </c>
      <c r="H30" s="211">
        <v>0</v>
      </c>
      <c r="I30" s="211">
        <f>+I24</f>
        <v>0</v>
      </c>
      <c r="J30" s="211">
        <v>0</v>
      </c>
      <c r="K30" s="211">
        <v>0</v>
      </c>
      <c r="M30" s="216" t="s">
        <v>316</v>
      </c>
      <c r="N30" s="331" t="s">
        <v>119</v>
      </c>
    </row>
    <row r="31" spans="1:14" x14ac:dyDescent="0.25">
      <c r="A31" s="283" t="s">
        <v>411</v>
      </c>
      <c r="B31" s="283"/>
      <c r="C31" s="253">
        <f>C28-C29-C30</f>
        <v>316.79699999999997</v>
      </c>
      <c r="D31" s="253">
        <f t="shared" ref="D31:K31" si="8">D28-D29-D30</f>
        <v>362.63799999999975</v>
      </c>
      <c r="E31" s="253">
        <f>E28-E29-E30</f>
        <v>310.96800000000013</v>
      </c>
      <c r="F31" s="253">
        <f t="shared" si="8"/>
        <v>189.56899999999931</v>
      </c>
      <c r="G31" s="253">
        <f t="shared" si="8"/>
        <v>307.86599999999925</v>
      </c>
      <c r="H31" s="253">
        <f t="shared" si="8"/>
        <v>379.26499999999959</v>
      </c>
      <c r="I31" s="253">
        <f>I28+I29+I30</f>
        <v>403.64100000000002</v>
      </c>
      <c r="J31" s="253">
        <f t="shared" si="8"/>
        <v>414.37212000000068</v>
      </c>
      <c r="K31" s="253">
        <f t="shared" si="8"/>
        <v>427.21884000000091</v>
      </c>
      <c r="M31" s="216" t="s">
        <v>317</v>
      </c>
      <c r="N31" s="47">
        <v>935.43</v>
      </c>
    </row>
    <row r="32" spans="1:14" x14ac:dyDescent="0.25">
      <c r="A32" s="216" t="s">
        <v>330</v>
      </c>
      <c r="B32" s="216"/>
      <c r="C32" s="277">
        <f t="shared" ref="C32:K32" si="9">C31/C38</f>
        <v>2.0091388779664885</v>
      </c>
      <c r="D32" s="277">
        <f t="shared" si="9"/>
        <v>2.2998642803688516</v>
      </c>
      <c r="E32" s="196">
        <f t="shared" si="9"/>
        <v>1.9651916733022419</v>
      </c>
      <c r="F32" s="196">
        <f t="shared" si="9"/>
        <v>1.198969072164944</v>
      </c>
      <c r="G32" s="196">
        <f t="shared" si="9"/>
        <v>1.9381657475258698</v>
      </c>
      <c r="H32" s="196">
        <f t="shared" si="9"/>
        <v>2.3876570723477095</v>
      </c>
      <c r="I32" s="196">
        <f>I31/I38</f>
        <v>2.5411158117398203</v>
      </c>
      <c r="J32" s="196">
        <f t="shared" si="9"/>
        <v>2.6086734154264604</v>
      </c>
      <c r="K32" s="196">
        <f t="shared" si="9"/>
        <v>2.6895497469215139</v>
      </c>
      <c r="M32" s="216" t="s">
        <v>318</v>
      </c>
      <c r="N32" s="47">
        <v>248.441</v>
      </c>
    </row>
    <row r="33" spans="1:14" x14ac:dyDescent="0.25">
      <c r="A33" s="216" t="s">
        <v>331</v>
      </c>
      <c r="B33" s="216"/>
      <c r="C33" s="277">
        <f t="shared" ref="C33:K33" si="10">C31/C41</f>
        <v>1.9964771423889889</v>
      </c>
      <c r="D33" s="277">
        <f t="shared" si="10"/>
        <v>2.285370372704469</v>
      </c>
      <c r="E33" s="277">
        <f t="shared" si="10"/>
        <v>1.9528504502694088</v>
      </c>
      <c r="F33" s="277">
        <f t="shared" si="10"/>
        <v>1.1937293770937716</v>
      </c>
      <c r="G33" s="277">
        <f t="shared" si="10"/>
        <v>1.9334673114362826</v>
      </c>
      <c r="H33" s="277">
        <f t="shared" si="10"/>
        <v>2.3816296798663674</v>
      </c>
      <c r="I33" s="277">
        <f t="shared" si="10"/>
        <v>2.5347010285972646</v>
      </c>
      <c r="J33" s="277">
        <f t="shared" si="10"/>
        <v>2.6020880901247168</v>
      </c>
      <c r="K33" s="277">
        <f t="shared" si="10"/>
        <v>2.6827602577144849</v>
      </c>
      <c r="M33" s="216" t="s">
        <v>319</v>
      </c>
      <c r="N33" s="47">
        <v>37.813000000000002</v>
      </c>
    </row>
    <row r="34" spans="1:14" x14ac:dyDescent="0.25">
      <c r="A34" s="216"/>
      <c r="B34" s="216"/>
      <c r="C34" s="277"/>
      <c r="D34" s="277"/>
      <c r="E34" s="196"/>
      <c r="F34" s="196"/>
      <c r="G34" s="196"/>
      <c r="H34" s="196"/>
      <c r="M34" s="216" t="s">
        <v>339</v>
      </c>
      <c r="N34" s="47">
        <v>363.78</v>
      </c>
    </row>
    <row r="35" spans="1:14" x14ac:dyDescent="0.25">
      <c r="A35" s="216" t="s">
        <v>332</v>
      </c>
      <c r="B35" s="216"/>
      <c r="C35" s="277">
        <v>1.74</v>
      </c>
      <c r="D35" s="277">
        <v>1.8</v>
      </c>
      <c r="E35" s="196">
        <v>1.8</v>
      </c>
      <c r="F35" s="196">
        <v>1.35</v>
      </c>
      <c r="G35" s="196">
        <v>1.35</v>
      </c>
      <c r="H35" s="196">
        <v>1.35</v>
      </c>
      <c r="I35" s="196">
        <v>1.35</v>
      </c>
      <c r="J35" s="196">
        <v>1.35</v>
      </c>
      <c r="K35" s="196">
        <v>1.35</v>
      </c>
      <c r="M35" s="216" t="s">
        <v>340</v>
      </c>
      <c r="N35" s="47">
        <v>31.821999999999999</v>
      </c>
    </row>
    <row r="36" spans="1:14" x14ac:dyDescent="0.25">
      <c r="A36" s="216"/>
      <c r="B36" s="216"/>
      <c r="C36" s="277"/>
      <c r="D36" s="277"/>
      <c r="E36" s="196"/>
      <c r="F36" s="196"/>
      <c r="G36" s="196"/>
      <c r="H36" s="196"/>
      <c r="M36" s="216" t="s">
        <v>341</v>
      </c>
      <c r="N36" s="47">
        <v>123.88500000000001</v>
      </c>
    </row>
    <row r="37" spans="1:14" s="216" customFormat="1" ht="13.8" thickBot="1" x14ac:dyDescent="0.3">
      <c r="A37" s="250" t="s">
        <v>333</v>
      </c>
      <c r="B37" s="250"/>
      <c r="C37" s="277"/>
      <c r="D37" s="277"/>
      <c r="E37" s="243"/>
      <c r="F37" s="243"/>
      <c r="G37" s="243"/>
      <c r="H37" s="196"/>
      <c r="I37" s="196"/>
      <c r="J37" s="196"/>
      <c r="K37" s="196"/>
      <c r="L37"/>
      <c r="M37" s="216" t="s">
        <v>295</v>
      </c>
      <c r="N37" s="332">
        <v>81.853999999999999</v>
      </c>
    </row>
    <row r="38" spans="1:14" s="216" customFormat="1" ht="13.8" thickBot="1" x14ac:dyDescent="0.3">
      <c r="A38" s="216" t="s">
        <v>330</v>
      </c>
      <c r="C38" s="277">
        <v>157.678</v>
      </c>
      <c r="D38" s="277">
        <v>157.678</v>
      </c>
      <c r="E38" s="196">
        <v>158.238</v>
      </c>
      <c r="F38" s="330">
        <v>158.11000000000001</v>
      </c>
      <c r="G38" s="330">
        <v>158.84399999999999</v>
      </c>
      <c r="H38" s="196">
        <v>158.84399999999999</v>
      </c>
      <c r="I38" s="196">
        <f>H38</f>
        <v>158.84399999999999</v>
      </c>
      <c r="J38" s="196">
        <f t="shared" ref="I38:K41" si="11">I38</f>
        <v>158.84399999999999</v>
      </c>
      <c r="K38" s="196">
        <f t="shared" si="11"/>
        <v>158.84399999999999</v>
      </c>
      <c r="L38"/>
      <c r="N38" s="333">
        <v>1823.0250000000001</v>
      </c>
    </row>
    <row r="39" spans="1:14" s="216" customFormat="1" x14ac:dyDescent="0.25">
      <c r="A39" s="216" t="s">
        <v>334</v>
      </c>
      <c r="C39" s="277">
        <v>1</v>
      </c>
      <c r="D39" s="277">
        <v>1</v>
      </c>
      <c r="E39" s="196">
        <v>1</v>
      </c>
      <c r="F39" s="196">
        <v>0.69399999999999995</v>
      </c>
      <c r="G39" s="196">
        <v>0.38600000000000001</v>
      </c>
      <c r="H39" s="277">
        <v>0.41499999999999998</v>
      </c>
      <c r="I39" s="277">
        <f t="shared" si="11"/>
        <v>0.41499999999999998</v>
      </c>
      <c r="J39" s="277">
        <f t="shared" si="11"/>
        <v>0.41499999999999998</v>
      </c>
      <c r="K39" s="277">
        <f t="shared" si="11"/>
        <v>0.41499999999999998</v>
      </c>
      <c r="M39" s="216" t="s">
        <v>320</v>
      </c>
      <c r="N39" s="331" t="s">
        <v>119</v>
      </c>
    </row>
    <row r="40" spans="1:14" s="216" customFormat="1" ht="15" x14ac:dyDescent="0.4">
      <c r="A40" s="216" t="s">
        <v>335</v>
      </c>
      <c r="C40" s="284">
        <v>0</v>
      </c>
      <c r="D40" s="284">
        <v>0</v>
      </c>
      <c r="E40" s="200">
        <v>0</v>
      </c>
      <c r="F40" s="200">
        <v>0</v>
      </c>
      <c r="G40" s="200">
        <v>0</v>
      </c>
      <c r="H40" s="284">
        <v>1.9E-2</v>
      </c>
      <c r="I40" s="284">
        <f t="shared" si="11"/>
        <v>1.9E-2</v>
      </c>
      <c r="J40" s="284">
        <f t="shared" si="11"/>
        <v>1.9E-2</v>
      </c>
      <c r="K40" s="284">
        <f t="shared" si="11"/>
        <v>1.9E-2</v>
      </c>
      <c r="M40" s="216" t="s">
        <v>342</v>
      </c>
      <c r="N40" s="47">
        <v>2723.4830000000002</v>
      </c>
    </row>
    <row r="41" spans="1:14" s="216" customFormat="1" x14ac:dyDescent="0.25">
      <c r="A41" s="216" t="s">
        <v>331</v>
      </c>
      <c r="C41" s="277">
        <f>SUM(C38:C40)</f>
        <v>158.678</v>
      </c>
      <c r="D41" s="277">
        <f>SUM(D38:D40)</f>
        <v>158.678</v>
      </c>
      <c r="E41" s="277">
        <f>SUM(E38:E40)</f>
        <v>159.238</v>
      </c>
      <c r="F41" s="277">
        <f>SUM(F38:F40)</f>
        <v>158.804</v>
      </c>
      <c r="G41" s="277">
        <f>SUM(G38:G40)</f>
        <v>159.22999999999999</v>
      </c>
      <c r="H41" s="277">
        <v>159.24600000000001</v>
      </c>
      <c r="I41" s="277">
        <f t="shared" si="11"/>
        <v>159.24600000000001</v>
      </c>
      <c r="J41" s="277">
        <f t="shared" si="11"/>
        <v>159.24600000000001</v>
      </c>
      <c r="K41" s="277">
        <f t="shared" si="11"/>
        <v>159.24600000000001</v>
      </c>
      <c r="M41" s="216" t="s">
        <v>343</v>
      </c>
      <c r="N41" s="47">
        <v>1141.3119999999999</v>
      </c>
    </row>
    <row r="42" spans="1:14" s="216" customFormat="1" x14ac:dyDescent="0.25">
      <c r="C42" s="277"/>
      <c r="D42" s="277"/>
      <c r="E42" s="196"/>
      <c r="F42" s="196"/>
      <c r="G42" s="196"/>
      <c r="H42" s="277"/>
      <c r="I42" s="277"/>
      <c r="J42" s="277"/>
      <c r="K42" s="277"/>
      <c r="M42" s="216" t="s">
        <v>321</v>
      </c>
      <c r="N42" s="47">
        <v>149.62899999999999</v>
      </c>
    </row>
    <row r="43" spans="1:14" s="216" customFormat="1" ht="15" x14ac:dyDescent="0.4">
      <c r="A43" s="216" t="s">
        <v>414</v>
      </c>
      <c r="C43" s="200">
        <v>0</v>
      </c>
      <c r="D43" s="200">
        <v>0</v>
      </c>
      <c r="E43" s="200">
        <v>-80</v>
      </c>
      <c r="F43" s="200">
        <v>-80</v>
      </c>
      <c r="G43" s="200">
        <v>-80</v>
      </c>
      <c r="H43" s="200">
        <v>-80</v>
      </c>
      <c r="I43" s="200">
        <v>0</v>
      </c>
      <c r="J43" s="200">
        <v>0</v>
      </c>
      <c r="K43" s="200">
        <v>0</v>
      </c>
      <c r="M43" s="216" t="s">
        <v>344</v>
      </c>
      <c r="N43" s="47">
        <v>346.99400000000003</v>
      </c>
    </row>
    <row r="44" spans="1:14" s="216" customFormat="1" x14ac:dyDescent="0.25">
      <c r="A44" s="1" t="s">
        <v>24</v>
      </c>
      <c r="B44" s="1"/>
      <c r="C44" s="191">
        <f t="shared" ref="C44:K44" si="12">C8-C10-C11-C12-C14-C43-C24</f>
        <v>1058.3900000000003</v>
      </c>
      <c r="D44" s="191">
        <f t="shared" si="12"/>
        <v>1181.5900000000001</v>
      </c>
      <c r="E44" s="191">
        <f t="shared" si="12"/>
        <v>971.94400000000019</v>
      </c>
      <c r="F44" s="191">
        <f t="shared" si="12"/>
        <v>755.2519999999995</v>
      </c>
      <c r="G44" s="191">
        <f t="shared" si="12"/>
        <v>852.11799999999914</v>
      </c>
      <c r="H44" s="191">
        <f t="shared" si="12"/>
        <v>1068.81</v>
      </c>
      <c r="I44" s="191">
        <f>I8-I10-I11-I12-I14-I43-I24</f>
        <v>1047.059</v>
      </c>
      <c r="J44" s="191">
        <f t="shared" si="12"/>
        <v>1226.8630000000005</v>
      </c>
      <c r="K44" s="191">
        <f t="shared" si="12"/>
        <v>1264.880000000001</v>
      </c>
      <c r="M44" s="216" t="s">
        <v>341</v>
      </c>
      <c r="N44" s="47">
        <v>130.18799999999999</v>
      </c>
    </row>
    <row r="45" spans="1:14" s="216" customFormat="1" ht="13.8" thickBot="1" x14ac:dyDescent="0.3">
      <c r="A45"/>
      <c r="B45"/>
      <c r="C45"/>
      <c r="D45"/>
      <c r="E45" t="s">
        <v>415</v>
      </c>
      <c r="F45"/>
      <c r="G45"/>
      <c r="H45"/>
      <c r="I45" s="277"/>
      <c r="J45" s="277"/>
      <c r="K45" s="277"/>
      <c r="M45" s="216" t="s">
        <v>295</v>
      </c>
      <c r="N45" s="332">
        <v>488.892</v>
      </c>
    </row>
    <row r="46" spans="1:14" s="216" customFormat="1" ht="13.8" thickBot="1" x14ac:dyDescent="0.3">
      <c r="A46" t="s">
        <v>419</v>
      </c>
      <c r="B46"/>
      <c r="C46" s="8">
        <v>0.36</v>
      </c>
      <c r="D46"/>
      <c r="E46"/>
      <c r="F46"/>
      <c r="G46"/>
      <c r="I46" s="277"/>
      <c r="J46" s="277"/>
      <c r="K46" s="277"/>
      <c r="N46" s="333">
        <v>4980.4979999999996</v>
      </c>
    </row>
    <row r="47" spans="1:14" s="216" customFormat="1" ht="13.8" thickBot="1" x14ac:dyDescent="0.3">
      <c r="A47" t="s">
        <v>420</v>
      </c>
      <c r="B47"/>
      <c r="C47"/>
      <c r="D47"/>
      <c r="E47"/>
      <c r="I47" s="277"/>
      <c r="J47" s="277"/>
      <c r="K47" s="277"/>
      <c r="M47" s="216" t="s">
        <v>322</v>
      </c>
      <c r="N47" s="332">
        <v>6803.5230000000001</v>
      </c>
    </row>
    <row r="48" spans="1:14" s="216" customFormat="1" ht="13.8" thickBot="1" x14ac:dyDescent="0.3">
      <c r="A48" t="s">
        <v>516</v>
      </c>
      <c r="B48"/>
      <c r="C48"/>
      <c r="D48"/>
      <c r="E48"/>
      <c r="I48" s="277"/>
      <c r="J48" s="277"/>
      <c r="K48" s="277"/>
      <c r="M48" s="216" t="s">
        <v>524</v>
      </c>
      <c r="N48" s="334" t="s">
        <v>119</v>
      </c>
    </row>
    <row r="49" spans="1:14" s="216" customFormat="1" x14ac:dyDescent="0.25">
      <c r="A49"/>
      <c r="B49"/>
      <c r="C49"/>
      <c r="D49"/>
      <c r="E49"/>
      <c r="I49" s="277"/>
      <c r="J49" s="277"/>
      <c r="K49" s="277"/>
      <c r="M49" s="216" t="s">
        <v>525</v>
      </c>
      <c r="N49" s="331" t="s">
        <v>119</v>
      </c>
    </row>
    <row r="50" spans="1:14" s="216" customFormat="1" x14ac:dyDescent="0.25">
      <c r="B50" s="1">
        <v>1</v>
      </c>
      <c r="C50" s="1"/>
      <c r="D50" s="1"/>
      <c r="E50"/>
      <c r="I50" s="277"/>
      <c r="J50" s="277"/>
      <c r="K50" s="277"/>
      <c r="M50" s="216" t="s">
        <v>526</v>
      </c>
      <c r="N50" s="47">
        <v>92.596999999999994</v>
      </c>
    </row>
    <row r="51" spans="1:14" s="216" customFormat="1" x14ac:dyDescent="0.25">
      <c r="I51" s="277"/>
      <c r="J51" s="277"/>
      <c r="K51" s="277"/>
      <c r="M51" s="216" t="s">
        <v>345</v>
      </c>
      <c r="N51" s="331" t="s">
        <v>119</v>
      </c>
    </row>
    <row r="52" spans="1:14" s="216" customFormat="1" ht="39.6" x14ac:dyDescent="0.25">
      <c r="I52" s="277"/>
      <c r="J52" s="277"/>
      <c r="K52" s="277"/>
      <c r="M52" s="216" t="s">
        <v>527</v>
      </c>
      <c r="N52" s="47">
        <v>1.589</v>
      </c>
    </row>
    <row r="53" spans="1:14" s="216" customFormat="1" x14ac:dyDescent="0.25">
      <c r="I53" s="277"/>
      <c r="J53" s="277"/>
      <c r="K53" s="277"/>
      <c r="M53" s="216" t="s">
        <v>323</v>
      </c>
      <c r="N53" s="47">
        <v>1605.674</v>
      </c>
    </row>
    <row r="54" spans="1:14" s="216" customFormat="1" x14ac:dyDescent="0.25">
      <c r="A54" s="216" t="s">
        <v>557</v>
      </c>
      <c r="C54" s="424">
        <v>36600</v>
      </c>
      <c r="D54" s="714">
        <v>21.4375</v>
      </c>
      <c r="I54" s="277"/>
      <c r="J54" s="277"/>
      <c r="K54" s="277"/>
      <c r="M54" s="216" t="s">
        <v>324</v>
      </c>
      <c r="N54" s="47">
        <v>1038.6600000000001</v>
      </c>
    </row>
    <row r="55" spans="1:14" s="216" customFormat="1" ht="13.8" thickBot="1" x14ac:dyDescent="0.3">
      <c r="A55" s="216" t="s">
        <v>558</v>
      </c>
      <c r="C55" s="424">
        <v>36600</v>
      </c>
      <c r="D55" s="714">
        <v>68.4375</v>
      </c>
      <c r="I55" s="277"/>
      <c r="J55" s="277"/>
      <c r="K55" s="277"/>
      <c r="M55" s="216" t="s">
        <v>325</v>
      </c>
      <c r="N55" s="332">
        <v>-7.556</v>
      </c>
    </row>
    <row r="56" spans="1:14" s="216" customFormat="1" ht="13.8" thickBot="1" x14ac:dyDescent="0.3">
      <c r="I56" s="277"/>
      <c r="J56" s="277"/>
      <c r="K56" s="277"/>
      <c r="M56" s="216" t="s">
        <v>326</v>
      </c>
      <c r="N56" s="333">
        <v>2638.3670000000002</v>
      </c>
    </row>
    <row r="57" spans="1:14" s="216" customFormat="1" x14ac:dyDescent="0.25">
      <c r="A57" s="1" t="s">
        <v>537</v>
      </c>
      <c r="I57" s="277"/>
      <c r="J57" s="277"/>
      <c r="K57" s="277"/>
      <c r="N57" s="47">
        <v>9534.4869999999992</v>
      </c>
    </row>
    <row r="58" spans="1:14" s="216" customFormat="1" x14ac:dyDescent="0.25">
      <c r="D58" s="216">
        <v>1</v>
      </c>
      <c r="E58" s="216">
        <v>2</v>
      </c>
      <c r="I58" s="277"/>
      <c r="J58" s="277"/>
      <c r="K58" s="277"/>
      <c r="N58" s="252"/>
    </row>
    <row r="59" spans="1:14" s="216" customFormat="1" ht="26.4" x14ac:dyDescent="0.25">
      <c r="C59" s="216" t="s">
        <v>536</v>
      </c>
      <c r="D59" s="216" t="s">
        <v>538</v>
      </c>
      <c r="E59" s="216" t="s">
        <v>540</v>
      </c>
      <c r="H59" s="250" t="s">
        <v>548</v>
      </c>
      <c r="J59" s="216" t="s">
        <v>539</v>
      </c>
      <c r="K59" s="277" t="s">
        <v>550</v>
      </c>
      <c r="N59" s="252"/>
    </row>
    <row r="60" spans="1:14" s="216" customFormat="1" x14ac:dyDescent="0.25">
      <c r="A60" s="216" t="s">
        <v>348</v>
      </c>
      <c r="C60" s="416">
        <f>+N40</f>
        <v>2723.4830000000002</v>
      </c>
      <c r="D60" s="416">
        <v>1205.83</v>
      </c>
      <c r="E60" s="416">
        <v>74.549000000000007</v>
      </c>
      <c r="F60" s="416"/>
      <c r="G60" s="416"/>
      <c r="H60" s="417">
        <f>+D60+E60</f>
        <v>1280.3789999999999</v>
      </c>
      <c r="I60" s="416"/>
      <c r="J60" s="416">
        <v>968.30499999999995</v>
      </c>
      <c r="K60" s="277"/>
      <c r="N60" s="252"/>
    </row>
    <row r="61" spans="1:14" s="216" customFormat="1" x14ac:dyDescent="0.25">
      <c r="A61" s="216" t="s">
        <v>349</v>
      </c>
      <c r="C61" s="415">
        <f>+N34</f>
        <v>363.78</v>
      </c>
      <c r="D61" s="416">
        <v>204</v>
      </c>
      <c r="E61" s="416">
        <v>0</v>
      </c>
      <c r="F61" s="416"/>
      <c r="G61" s="416"/>
      <c r="H61" s="417">
        <f>+D61+E61</f>
        <v>204</v>
      </c>
      <c r="I61" s="416"/>
      <c r="J61" s="416">
        <v>94.608999999999995</v>
      </c>
      <c r="K61" s="277"/>
      <c r="N61" s="252"/>
    </row>
    <row r="62" spans="1:14" s="216" customFormat="1" x14ac:dyDescent="0.25">
      <c r="A62" s="216" t="s">
        <v>535</v>
      </c>
      <c r="C62" s="415">
        <v>488</v>
      </c>
      <c r="D62" s="416">
        <v>23.966000000000001</v>
      </c>
      <c r="E62" s="416">
        <v>3.9609999999999999</v>
      </c>
      <c r="F62" s="416"/>
      <c r="G62" s="416"/>
      <c r="H62" s="417">
        <f>+D62+E62</f>
        <v>27.927</v>
      </c>
      <c r="I62" s="416"/>
      <c r="J62" s="416">
        <v>339.173</v>
      </c>
      <c r="K62" s="277"/>
      <c r="N62" s="252"/>
    </row>
    <row r="63" spans="1:14" s="216" customFormat="1" x14ac:dyDescent="0.25">
      <c r="A63" s="216" t="s">
        <v>350</v>
      </c>
      <c r="C63" s="416">
        <f>+N35</f>
        <v>31.821999999999999</v>
      </c>
      <c r="D63" s="416">
        <v>0</v>
      </c>
      <c r="E63" s="416">
        <v>0</v>
      </c>
      <c r="F63" s="416"/>
      <c r="G63" s="416"/>
      <c r="H63" s="417">
        <f>+D63+E63</f>
        <v>0</v>
      </c>
      <c r="I63" s="416"/>
      <c r="J63" s="416">
        <v>31.821999999999999</v>
      </c>
      <c r="K63" s="277"/>
      <c r="N63" s="252"/>
    </row>
    <row r="64" spans="1:14" s="216" customFormat="1" x14ac:dyDescent="0.25">
      <c r="C64" s="415">
        <f>SUM(C60:C63)</f>
        <v>3607.085</v>
      </c>
      <c r="D64" s="416">
        <f>SUM(D60:D63)</f>
        <v>1433.7959999999998</v>
      </c>
      <c r="E64" s="416">
        <f>SUM(E60:E63)</f>
        <v>78.510000000000005</v>
      </c>
      <c r="F64" s="416"/>
      <c r="G64" s="416"/>
      <c r="H64" s="417">
        <f>+D64+E64</f>
        <v>1512.3059999999998</v>
      </c>
      <c r="I64" s="416"/>
      <c r="J64" s="416">
        <f>SUM(J60:J63)</f>
        <v>1433.9089999999999</v>
      </c>
      <c r="K64" s="277"/>
      <c r="N64" s="252"/>
    </row>
    <row r="65" spans="1:14" s="216" customFormat="1" x14ac:dyDescent="0.25">
      <c r="C65" s="415"/>
      <c r="D65" s="416"/>
      <c r="E65" s="416"/>
      <c r="F65" s="416"/>
      <c r="G65" s="416"/>
      <c r="H65" s="417"/>
      <c r="I65" s="416"/>
      <c r="J65" s="416"/>
      <c r="K65" s="277"/>
      <c r="N65" s="252"/>
    </row>
    <row r="66" spans="1:14" s="216" customFormat="1" ht="15" x14ac:dyDescent="0.4">
      <c r="A66" s="216" t="s">
        <v>352</v>
      </c>
      <c r="C66" s="418">
        <v>0</v>
      </c>
      <c r="D66" s="416"/>
      <c r="E66" s="416"/>
      <c r="F66" s="416"/>
      <c r="G66" s="416"/>
      <c r="H66" s="417"/>
      <c r="I66" s="416"/>
      <c r="J66" s="416"/>
      <c r="K66" s="277"/>
      <c r="N66" s="252"/>
    </row>
    <row r="67" spans="1:14" s="216" customFormat="1" x14ac:dyDescent="0.25">
      <c r="A67" s="216" t="s">
        <v>353</v>
      </c>
      <c r="C67" s="416">
        <f>C66+C64</f>
        <v>3607.085</v>
      </c>
      <c r="D67" s="416">
        <f>D66+D64</f>
        <v>1433.7959999999998</v>
      </c>
      <c r="E67" s="416">
        <f>E66+E64</f>
        <v>78.510000000000005</v>
      </c>
      <c r="F67" s="416"/>
      <c r="G67" s="416"/>
      <c r="H67" s="417">
        <f>+D67+E67</f>
        <v>1512.3059999999998</v>
      </c>
      <c r="I67" s="416"/>
      <c r="J67" s="416">
        <f>J66+J64</f>
        <v>1433.9089999999999</v>
      </c>
      <c r="K67" s="277"/>
      <c r="N67" s="252"/>
    </row>
    <row r="68" spans="1:14" s="216" customFormat="1" x14ac:dyDescent="0.25">
      <c r="A68" s="216" t="s">
        <v>34</v>
      </c>
      <c r="C68" s="416">
        <f>+N5</f>
        <v>57.485999999999997</v>
      </c>
      <c r="D68" s="416">
        <v>14.38</v>
      </c>
      <c r="E68" s="416">
        <v>5.7329999999999997</v>
      </c>
      <c r="F68" s="416"/>
      <c r="G68" s="416"/>
      <c r="H68" s="417">
        <f>+D68+E68</f>
        <v>20.113</v>
      </c>
      <c r="I68" s="416"/>
      <c r="J68" s="416">
        <v>1.875</v>
      </c>
      <c r="K68" s="277"/>
      <c r="N68" s="252"/>
    </row>
    <row r="69" spans="1:14" s="216" customFormat="1" x14ac:dyDescent="0.25">
      <c r="A69" s="216" t="s">
        <v>35</v>
      </c>
      <c r="C69" s="416">
        <f>+C67-C68</f>
        <v>3549.5990000000002</v>
      </c>
      <c r="D69" s="416">
        <f>+D67-D68</f>
        <v>1419.4159999999997</v>
      </c>
      <c r="E69" s="416">
        <f>+E67-E68</f>
        <v>72.777000000000001</v>
      </c>
      <c r="F69" s="416"/>
      <c r="G69" s="416"/>
      <c r="H69" s="416">
        <f>+H67-H68</f>
        <v>1492.1929999999998</v>
      </c>
      <c r="I69" s="416"/>
      <c r="J69" s="416">
        <f>+J67-J68</f>
        <v>1432.0339999999999</v>
      </c>
      <c r="K69" s="277">
        <f>+C69-H69-J69</f>
        <v>625.37200000000053</v>
      </c>
      <c r="N69" s="252"/>
    </row>
    <row r="70" spans="1:14" s="216" customFormat="1" x14ac:dyDescent="0.25">
      <c r="A70" s="216" t="s">
        <v>676</v>
      </c>
      <c r="C70" s="416"/>
      <c r="D70" s="416"/>
      <c r="E70" s="416"/>
      <c r="F70" s="416"/>
      <c r="G70" s="416"/>
      <c r="H70" s="537">
        <f>+K69*H69/(H69+J69)</f>
        <v>319.11876909555951</v>
      </c>
      <c r="I70" s="416"/>
      <c r="J70" s="537">
        <f>K69*J69/(J69+H69)</f>
        <v>306.25323090444095</v>
      </c>
      <c r="K70" s="277"/>
      <c r="N70" s="252"/>
    </row>
    <row r="71" spans="1:14" s="216" customFormat="1" x14ac:dyDescent="0.25">
      <c r="A71" s="216" t="s">
        <v>677</v>
      </c>
      <c r="C71" s="415">
        <f>C67-C68</f>
        <v>3549.5990000000002</v>
      </c>
      <c r="D71" s="416">
        <f>D67-D68</f>
        <v>1419.4159999999997</v>
      </c>
      <c r="E71" s="416">
        <f>E67-E68</f>
        <v>72.777000000000001</v>
      </c>
      <c r="F71" s="416"/>
      <c r="G71" s="416"/>
      <c r="H71" s="417">
        <f>+H69+H70</f>
        <v>1811.3117690955592</v>
      </c>
      <c r="I71" s="416"/>
      <c r="J71" s="417">
        <f>+J69+J70</f>
        <v>1738.2872309044408</v>
      </c>
      <c r="K71" s="277"/>
      <c r="N71" s="252"/>
    </row>
    <row r="72" spans="1:14" s="216" customFormat="1" x14ac:dyDescent="0.25">
      <c r="A72" s="216" t="s">
        <v>676</v>
      </c>
      <c r="H72" s="537"/>
      <c r="I72" s="277"/>
      <c r="J72" s="537"/>
      <c r="K72" s="277"/>
      <c r="N72" s="252"/>
    </row>
    <row r="73" spans="1:14" s="216" customFormat="1" x14ac:dyDescent="0.25">
      <c r="A73" s="93"/>
      <c r="C73" s="93"/>
      <c r="I73" s="277"/>
      <c r="J73" s="277"/>
      <c r="K73" s="277"/>
      <c r="N73" s="252"/>
    </row>
    <row r="74" spans="1:14" s="216" customFormat="1" x14ac:dyDescent="0.25">
      <c r="I74" s="277"/>
      <c r="J74" s="277"/>
      <c r="K74" s="277"/>
      <c r="N74" s="252"/>
    </row>
    <row r="75" spans="1:14" s="216" customFormat="1" x14ac:dyDescent="0.25">
      <c r="I75" s="277"/>
      <c r="J75" s="277"/>
      <c r="K75" s="277"/>
      <c r="N75" s="252"/>
    </row>
    <row r="76" spans="1:14" s="216" customFormat="1" x14ac:dyDescent="0.25">
      <c r="I76" s="277"/>
      <c r="J76" s="277"/>
      <c r="K76" s="277"/>
      <c r="N76" s="252"/>
    </row>
    <row r="77" spans="1:14" s="216" customFormat="1" x14ac:dyDescent="0.25">
      <c r="I77" s="277"/>
      <c r="J77" s="277"/>
      <c r="K77" s="277"/>
      <c r="N77" s="252"/>
    </row>
    <row r="78" spans="1:14" s="216" customFormat="1" x14ac:dyDescent="0.25">
      <c r="I78" s="277"/>
      <c r="J78" s="277"/>
      <c r="K78" s="277"/>
      <c r="N78" s="252"/>
    </row>
    <row r="79" spans="1:14" s="216" customFormat="1" x14ac:dyDescent="0.25">
      <c r="I79" s="277"/>
      <c r="J79" s="277"/>
      <c r="K79" s="277"/>
      <c r="N79" s="252"/>
    </row>
    <row r="80" spans="1:14" s="216" customFormat="1" x14ac:dyDescent="0.25">
      <c r="I80" s="277"/>
      <c r="J80" s="277"/>
      <c r="K80" s="277"/>
      <c r="N80" s="252"/>
    </row>
    <row r="81" spans="1:14" s="216" customFormat="1" x14ac:dyDescent="0.25">
      <c r="I81" s="277"/>
      <c r="J81" s="277"/>
      <c r="K81" s="277"/>
      <c r="N81" s="252"/>
    </row>
    <row r="82" spans="1:14" s="216" customFormat="1" x14ac:dyDescent="0.25">
      <c r="I82" s="277"/>
      <c r="J82" s="277"/>
      <c r="K82" s="277"/>
      <c r="N82" s="252"/>
    </row>
    <row r="83" spans="1:14" s="216" customFormat="1" x14ac:dyDescent="0.25">
      <c r="I83" s="277"/>
      <c r="J83" s="277"/>
      <c r="K83" s="277"/>
      <c r="N83" s="252"/>
    </row>
    <row r="84" spans="1:14" s="216" customFormat="1" x14ac:dyDescent="0.25">
      <c r="I84" s="277"/>
      <c r="J84" s="277"/>
      <c r="K84" s="277"/>
      <c r="N84" s="252"/>
    </row>
    <row r="85" spans="1:14" s="216" customFormat="1" x14ac:dyDescent="0.25">
      <c r="I85" s="277"/>
      <c r="J85" s="277"/>
      <c r="K85" s="277"/>
      <c r="N85" s="252"/>
    </row>
    <row r="86" spans="1:14" s="216" customFormat="1" x14ac:dyDescent="0.25">
      <c r="I86" s="277"/>
      <c r="J86" s="277"/>
      <c r="K86" s="277"/>
      <c r="N86" s="252"/>
    </row>
    <row r="87" spans="1:14" s="216" customFormat="1" x14ac:dyDescent="0.25">
      <c r="I87" s="277"/>
      <c r="J87" s="277"/>
      <c r="K87" s="277"/>
      <c r="N87" s="252"/>
    </row>
    <row r="88" spans="1:14" s="216" customFormat="1" x14ac:dyDescent="0.25">
      <c r="I88" s="277"/>
      <c r="J88" s="277"/>
      <c r="K88" s="277"/>
      <c r="N88" s="252"/>
    </row>
    <row r="89" spans="1:14" x14ac:dyDescent="0.25">
      <c r="A89" s="216"/>
      <c r="B89" s="216"/>
      <c r="C89" s="216"/>
      <c r="D89" s="216"/>
      <c r="E89" s="216"/>
      <c r="F89" s="216"/>
      <c r="G89" s="216"/>
      <c r="H89" s="216"/>
      <c r="I89" s="277"/>
      <c r="J89" s="277"/>
      <c r="K89" s="277"/>
      <c r="L89" s="216"/>
    </row>
    <row r="90" spans="1:14" x14ac:dyDescent="0.25">
      <c r="A90" s="216"/>
      <c r="B90" s="216"/>
      <c r="C90" s="216"/>
      <c r="D90" s="216"/>
      <c r="E90" s="216"/>
      <c r="F90" s="216"/>
      <c r="G90" s="216"/>
      <c r="H90" s="216"/>
      <c r="I90" s="277"/>
      <c r="J90" s="277"/>
      <c r="K90" s="277"/>
      <c r="L90" s="216"/>
    </row>
    <row r="91" spans="1:14" x14ac:dyDescent="0.25">
      <c r="A91" s="216"/>
      <c r="B91" s="216"/>
      <c r="C91" s="216"/>
      <c r="D91" s="216"/>
      <c r="E91" s="216"/>
      <c r="F91" s="216"/>
      <c r="G91" s="216"/>
      <c r="H91" s="216"/>
    </row>
    <row r="92" spans="1:14" x14ac:dyDescent="0.25">
      <c r="A92" s="216"/>
      <c r="B92" s="216"/>
      <c r="C92" s="216"/>
      <c r="D92" s="216"/>
      <c r="E92" s="216"/>
      <c r="F92" s="216"/>
      <c r="G92" s="216"/>
      <c r="H92" s="216"/>
    </row>
    <row r="93" spans="1:14" x14ac:dyDescent="0.25">
      <c r="A93" s="216"/>
      <c r="B93" s="216"/>
      <c r="C93" s="216"/>
      <c r="D93" s="216"/>
      <c r="E93" s="216"/>
      <c r="F93" s="216"/>
      <c r="G93" s="216"/>
      <c r="H93" s="216"/>
    </row>
    <row r="94" spans="1:14" x14ac:dyDescent="0.25">
      <c r="A94" s="216"/>
      <c r="B94" s="216"/>
      <c r="C94" s="216"/>
      <c r="D94" s="216"/>
      <c r="E94" s="216"/>
      <c r="F94" s="216"/>
      <c r="G94" s="216"/>
      <c r="H94" s="216"/>
    </row>
    <row r="95" spans="1:14" x14ac:dyDescent="0.25">
      <c r="A95" s="216"/>
      <c r="B95" s="216"/>
      <c r="C95" s="216"/>
      <c r="D95" s="216"/>
      <c r="E95" s="216"/>
      <c r="F95" s="216"/>
      <c r="G95" s="216"/>
      <c r="H95" s="216"/>
    </row>
    <row r="96" spans="1:14" x14ac:dyDescent="0.25">
      <c r="A96" s="216"/>
      <c r="B96" s="216"/>
      <c r="C96" s="216"/>
      <c r="D96" s="216"/>
      <c r="E96" s="216"/>
      <c r="F96" s="216"/>
      <c r="G96" s="216"/>
      <c r="H96" s="216"/>
    </row>
    <row r="97" spans="1:8" x14ac:dyDescent="0.25">
      <c r="A97" s="216"/>
      <c r="B97" s="216"/>
      <c r="C97" s="216"/>
      <c r="D97" s="216"/>
      <c r="E97" s="216"/>
      <c r="F97" s="216"/>
      <c r="G97" s="216"/>
      <c r="H97" s="216"/>
    </row>
    <row r="98" spans="1:8" x14ac:dyDescent="0.25">
      <c r="A98" s="216"/>
      <c r="B98" s="216"/>
      <c r="C98" s="216"/>
      <c r="D98" s="216"/>
      <c r="E98" s="216"/>
    </row>
    <row r="99" spans="1:8" x14ac:dyDescent="0.25">
      <c r="A99" s="216"/>
      <c r="B99" s="216"/>
      <c r="C99" s="216"/>
      <c r="D99" s="216"/>
      <c r="E99" s="216"/>
    </row>
    <row r="100" spans="1:8" x14ac:dyDescent="0.25">
      <c r="A100" s="216"/>
      <c r="B100" s="216"/>
      <c r="C100" s="216"/>
      <c r="D100" s="216"/>
      <c r="E100" s="216"/>
    </row>
    <row r="101" spans="1:8" x14ac:dyDescent="0.25">
      <c r="A101" s="216"/>
      <c r="B101" s="216"/>
      <c r="C101" s="216"/>
      <c r="D101" s="216"/>
      <c r="E101" s="216"/>
    </row>
    <row r="102" spans="1:8" x14ac:dyDescent="0.25">
      <c r="A102" s="216"/>
      <c r="B102" s="216"/>
      <c r="C102" s="216"/>
    </row>
  </sheetData>
  <pageMargins left="0.75" right="0.75" top="1" bottom="1" header="0.5" footer="0.5"/>
  <pageSetup scale="38" orientation="landscape" r:id="rId1"/>
  <headerFooter alignWithMargins="0">
    <oddFooter>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A24"/>
  <sheetViews>
    <sheetView view="pageBreakPreview" zoomScale="70" zoomScaleNormal="100" workbookViewId="0"/>
  </sheetViews>
  <sheetFormatPr defaultRowHeight="13.2" x14ac:dyDescent="0.25"/>
  <cols>
    <col min="1" max="1" width="28.33203125" customWidth="1"/>
    <col min="2" max="2" width="20" customWidth="1"/>
    <col min="3" max="6" width="12.6640625" customWidth="1"/>
    <col min="7" max="7" width="12.6640625" hidden="1" customWidth="1"/>
    <col min="8" max="8" width="9.6640625" hidden="1" customWidth="1"/>
    <col min="9" max="9" width="12.88671875" bestFit="1" customWidth="1"/>
    <col min="10" max="13" width="12.88671875" hidden="1" customWidth="1"/>
    <col min="14" max="14" width="11.88671875" hidden="1" customWidth="1"/>
    <col min="15" max="15" width="12.6640625" hidden="1" customWidth="1"/>
    <col min="16" max="17" width="11.88671875" hidden="1" customWidth="1"/>
    <col min="18" max="18" width="13.5546875" hidden="1" customWidth="1"/>
    <col min="19" max="20" width="11.88671875" hidden="1" customWidth="1"/>
    <col min="21" max="23" width="11.88671875" customWidth="1"/>
  </cols>
  <sheetData>
    <row r="1" spans="1:27" ht="15.6" x14ac:dyDescent="0.3">
      <c r="A1" s="2" t="s">
        <v>155</v>
      </c>
    </row>
    <row r="2" spans="1:27" x14ac:dyDescent="0.25">
      <c r="A2" s="1" t="s">
        <v>127</v>
      </c>
    </row>
    <row r="3" spans="1:27" x14ac:dyDescent="0.25">
      <c r="A3" t="s">
        <v>17</v>
      </c>
    </row>
    <row r="4" spans="1:27" x14ac:dyDescent="0.25">
      <c r="A4" s="21"/>
      <c r="B4" s="21"/>
      <c r="C4" s="186">
        <v>36544</v>
      </c>
      <c r="D4" s="21" t="s">
        <v>43</v>
      </c>
      <c r="E4" s="21" t="s">
        <v>44</v>
      </c>
      <c r="F4" s="21"/>
      <c r="G4" s="21"/>
      <c r="H4" s="21"/>
      <c r="I4" s="21" t="s">
        <v>45</v>
      </c>
      <c r="J4" s="18" t="s">
        <v>104</v>
      </c>
      <c r="K4" s="18" t="s">
        <v>24</v>
      </c>
      <c r="L4" s="18" t="s">
        <v>24</v>
      </c>
      <c r="M4" s="18" t="s">
        <v>24</v>
      </c>
      <c r="N4" s="18" t="s">
        <v>24</v>
      </c>
      <c r="O4" s="21" t="s">
        <v>24</v>
      </c>
      <c r="P4" s="45" t="s">
        <v>33</v>
      </c>
      <c r="Q4" s="45" t="s">
        <v>140</v>
      </c>
      <c r="R4" s="45" t="s">
        <v>139</v>
      </c>
      <c r="S4" s="45" t="s">
        <v>138</v>
      </c>
      <c r="T4" s="18" t="s">
        <v>24</v>
      </c>
      <c r="U4" s="18" t="s">
        <v>24</v>
      </c>
      <c r="V4" s="45" t="s">
        <v>33</v>
      </c>
      <c r="W4" s="45" t="s">
        <v>33</v>
      </c>
      <c r="X4" s="6" t="s">
        <v>115</v>
      </c>
      <c r="Y4" s="6" t="s">
        <v>116</v>
      </c>
      <c r="Z4" s="6" t="s">
        <v>115</v>
      </c>
      <c r="AA4" s="6" t="s">
        <v>116</v>
      </c>
    </row>
    <row r="5" spans="1:27" x14ac:dyDescent="0.25">
      <c r="A5" s="22" t="s">
        <v>46</v>
      </c>
      <c r="B5" s="22" t="s">
        <v>47</v>
      </c>
      <c r="C5" s="22" t="s">
        <v>48</v>
      </c>
      <c r="D5" s="22" t="s">
        <v>49</v>
      </c>
      <c r="E5" s="22" t="s">
        <v>50</v>
      </c>
      <c r="F5" s="22" t="s">
        <v>51</v>
      </c>
      <c r="G5" s="22" t="s">
        <v>34</v>
      </c>
      <c r="H5" s="22" t="s">
        <v>52</v>
      </c>
      <c r="I5" s="22" t="s">
        <v>53</v>
      </c>
      <c r="J5" s="24">
        <v>1998</v>
      </c>
      <c r="K5" s="24">
        <v>1996</v>
      </c>
      <c r="L5" s="24">
        <v>1997</v>
      </c>
      <c r="M5" s="24">
        <v>1998</v>
      </c>
      <c r="N5" s="24">
        <v>1998</v>
      </c>
      <c r="O5" s="24">
        <v>1999</v>
      </c>
      <c r="P5" s="24">
        <v>1999</v>
      </c>
      <c r="Q5" s="24">
        <v>1999</v>
      </c>
      <c r="R5" s="24">
        <v>1998</v>
      </c>
      <c r="S5" s="24">
        <v>1998</v>
      </c>
      <c r="T5" s="24">
        <v>1999</v>
      </c>
      <c r="U5" s="24">
        <v>2000</v>
      </c>
      <c r="V5" s="24">
        <v>1999</v>
      </c>
      <c r="W5" s="24">
        <v>2000</v>
      </c>
      <c r="X5" s="52">
        <v>1999</v>
      </c>
      <c r="Y5" s="52">
        <v>1999</v>
      </c>
      <c r="Z5" s="52">
        <v>2000</v>
      </c>
      <c r="AA5" s="52">
        <v>2000</v>
      </c>
    </row>
    <row r="6" spans="1:27" x14ac:dyDescent="0.25">
      <c r="A6" s="21" t="s">
        <v>54</v>
      </c>
      <c r="B6" s="21" t="s">
        <v>55</v>
      </c>
      <c r="C6" s="25">
        <f>33+0.125</f>
        <v>33.125</v>
      </c>
      <c r="D6" s="21">
        <v>137.215462</v>
      </c>
      <c r="E6" s="21">
        <f>C6*D6</f>
        <v>4545.2621787500002</v>
      </c>
      <c r="F6" s="21">
        <f>212.138+35.02+2285.654</f>
        <v>2532.8119999999999</v>
      </c>
      <c r="G6" s="21">
        <v>74.22</v>
      </c>
      <c r="H6" s="21">
        <v>235.197</v>
      </c>
      <c r="I6" s="21">
        <f>E6+F6-G6+H6</f>
        <v>7239.05117875</v>
      </c>
      <c r="J6" s="9">
        <v>386.49700000000001</v>
      </c>
      <c r="K6" s="21">
        <f>561.566+7.79+253.005+339.276</f>
        <v>1161.6369999999999</v>
      </c>
      <c r="L6" s="21">
        <f>576.974+7.462+234.179+346</f>
        <v>1164.615</v>
      </c>
      <c r="M6" s="21">
        <f>573.613+7.026+267.673+348.403</f>
        <v>1196.7150000000001</v>
      </c>
      <c r="N6" s="21">
        <f>100.084+89.474+35.23+1.862</f>
        <v>226.64999999999998</v>
      </c>
      <c r="O6" s="21">
        <f>N6-(88.349+86.854+29.911+2.261)+1197</f>
        <v>1216.2750000000001</v>
      </c>
      <c r="P6" s="46">
        <f>I6/O6</f>
        <v>5.9518210756202334</v>
      </c>
      <c r="Q6" s="9">
        <v>6648.0339999999997</v>
      </c>
      <c r="R6" s="46">
        <f t="shared" ref="R6:R15" si="0">I6/Q6</f>
        <v>1.0889010463469351</v>
      </c>
      <c r="S6" s="11">
        <f>M6/J6</f>
        <v>3.0963112262190911</v>
      </c>
      <c r="T6" s="9">
        <f>X6*D6*3.1</f>
        <v>1246.3280413460002</v>
      </c>
      <c r="U6" s="9">
        <f>D6*Z6*3.1</f>
        <v>1305.8795518540001</v>
      </c>
      <c r="V6" s="46">
        <f t="shared" ref="V6:V15" si="1">I6/T6</f>
        <v>5.8083032224261144</v>
      </c>
      <c r="W6" s="46">
        <f t="shared" ref="W6:W15" si="2">I6/U6</f>
        <v>5.5434294598399072</v>
      </c>
      <c r="X6" s="9">
        <v>2.93</v>
      </c>
      <c r="Y6" s="9">
        <f t="shared" ref="Y6:Y15" si="3">C6/X6</f>
        <v>11.305460750853241</v>
      </c>
      <c r="Z6" s="9">
        <v>3.07</v>
      </c>
      <c r="AA6" s="9">
        <f t="shared" ref="AA6:AA15" si="4">C6/Z6</f>
        <v>10.789902280130294</v>
      </c>
    </row>
    <row r="7" spans="1:27" x14ac:dyDescent="0.25">
      <c r="A7" s="21" t="s">
        <v>56</v>
      </c>
      <c r="B7" s="21" t="s">
        <v>57</v>
      </c>
      <c r="C7" s="25">
        <f>33+0.4375</f>
        <v>33.4375</v>
      </c>
      <c r="D7" s="21">
        <v>192</v>
      </c>
      <c r="E7" s="21">
        <f t="shared" ref="E7:E15" si="5">C7*D7</f>
        <v>6420</v>
      </c>
      <c r="F7" s="21">
        <f>626+490+6542</f>
        <v>7658</v>
      </c>
      <c r="G7" s="21">
        <v>280</v>
      </c>
      <c r="H7" s="21">
        <v>174</v>
      </c>
      <c r="I7" s="21">
        <f t="shared" ref="I7:I15" si="6">E7+F7-G7+H7</f>
        <v>13972</v>
      </c>
      <c r="J7" s="27">
        <v>536.18299999999999</v>
      </c>
      <c r="K7" s="21">
        <f>1010.184
+342.222
+600.851</f>
        <v>1953.2570000000001</v>
      </c>
      <c r="L7" s="21">
        <f>1044.026
+341.28
+591.071</f>
        <v>1976.377</v>
      </c>
      <c r="M7" s="21">
        <f>966.197
+316.201
+579.997</f>
        <v>1862.395</v>
      </c>
      <c r="N7" s="21">
        <f>376+148</f>
        <v>524</v>
      </c>
      <c r="O7" s="21">
        <f>N7-(340+144)+1862</f>
        <v>1902</v>
      </c>
      <c r="P7" s="46">
        <f>I7/O7</f>
        <v>7.3459516298633014</v>
      </c>
      <c r="Q7" s="9">
        <v>12815</v>
      </c>
      <c r="R7" s="46">
        <f t="shared" si="0"/>
        <v>1.0902848224736637</v>
      </c>
      <c r="S7" s="11">
        <f t="shared" ref="S7:S15" si="7">M7/J7</f>
        <v>3.47343164553893</v>
      </c>
      <c r="T7" s="9">
        <f>X7*D7*3.2</f>
        <v>1966.0800000000004</v>
      </c>
      <c r="U7" s="9">
        <f>D7*Z7*3.2</f>
        <v>2107.3920000000003</v>
      </c>
      <c r="V7" s="46">
        <f t="shared" si="1"/>
        <v>7.1065266927083321</v>
      </c>
      <c r="W7" s="46">
        <f t="shared" si="2"/>
        <v>6.6299957482993186</v>
      </c>
      <c r="X7" s="9">
        <v>3.2</v>
      </c>
      <c r="Y7" s="9">
        <f t="shared" si="3"/>
        <v>10.44921875</v>
      </c>
      <c r="Z7" s="9">
        <v>3.43</v>
      </c>
      <c r="AA7" s="9">
        <f t="shared" si="4"/>
        <v>9.7485422740524772</v>
      </c>
    </row>
    <row r="8" spans="1:27" x14ac:dyDescent="0.25">
      <c r="A8" s="21" t="s">
        <v>84</v>
      </c>
      <c r="B8" s="21" t="s">
        <v>91</v>
      </c>
      <c r="C8" s="25">
        <f>22+0.1875</f>
        <v>22.1875</v>
      </c>
      <c r="D8" s="21">
        <v>229.14</v>
      </c>
      <c r="E8" s="21">
        <f t="shared" si="5"/>
        <v>5084.0437499999998</v>
      </c>
      <c r="F8" s="21">
        <f>841.513+265.734+6335.289</f>
        <v>7442.5360000000001</v>
      </c>
      <c r="G8" s="21">
        <v>45.612000000000002</v>
      </c>
      <c r="H8" s="21">
        <f>660.195+174.71+120</f>
        <v>954.90500000000009</v>
      </c>
      <c r="I8" s="21">
        <f t="shared" si="6"/>
        <v>13435.872750000002</v>
      </c>
      <c r="J8" s="27">
        <v>441.39600000000002</v>
      </c>
      <c r="K8" s="21">
        <f>768.901
+3.136
+383.441</f>
        <v>1155.4779999999998</v>
      </c>
      <c r="L8" s="21">
        <f>822.289
+3.469
+475.228</f>
        <v>1300.9860000000001</v>
      </c>
      <c r="M8" s="21">
        <f>1364.071
+7.642
+740.953</f>
        <v>2112.6660000000002</v>
      </c>
      <c r="N8" s="21">
        <f>375.723+2.685+189.838</f>
        <v>568.24599999999998</v>
      </c>
      <c r="O8" s="21">
        <f>N8-(350.301+1.481+194.127)+2113</f>
        <v>2135.337</v>
      </c>
      <c r="P8" s="46">
        <f>I8/O8</f>
        <v>6.2921556410065493</v>
      </c>
      <c r="Q8" s="9">
        <v>9219.634</v>
      </c>
      <c r="R8" s="46">
        <f t="shared" si="0"/>
        <v>1.4573108596284845</v>
      </c>
      <c r="S8" s="11">
        <f t="shared" si="7"/>
        <v>4.7863279232254037</v>
      </c>
      <c r="T8" s="9">
        <f>X8*D8*4</f>
        <v>2254.7375999999999</v>
      </c>
      <c r="U8" s="9">
        <f>D8*Z8*4</f>
        <v>2383.056</v>
      </c>
      <c r="V8" s="46">
        <f t="shared" si="1"/>
        <v>5.9589518310245957</v>
      </c>
      <c r="W8" s="46">
        <f t="shared" si="2"/>
        <v>5.6380851939694248</v>
      </c>
      <c r="X8" s="9">
        <v>2.46</v>
      </c>
      <c r="Y8" s="9">
        <f t="shared" si="3"/>
        <v>9.0193089430894311</v>
      </c>
      <c r="Z8" s="9">
        <v>2.6</v>
      </c>
      <c r="AA8" s="9">
        <f t="shared" si="4"/>
        <v>8.5336538461538467</v>
      </c>
    </row>
    <row r="9" spans="1:27" x14ac:dyDescent="0.25">
      <c r="A9" s="21" t="s">
        <v>88</v>
      </c>
      <c r="B9" s="21" t="s">
        <v>89</v>
      </c>
      <c r="C9" s="25">
        <v>42</v>
      </c>
      <c r="D9" s="21">
        <v>69.919286999999997</v>
      </c>
      <c r="E9" s="21">
        <f t="shared" si="5"/>
        <v>2936.6100539999998</v>
      </c>
      <c r="F9" s="21">
        <f>175.7+2078.7+182</f>
        <v>2436.3999999999996</v>
      </c>
      <c r="G9" s="21">
        <v>65.7</v>
      </c>
      <c r="H9" s="21">
        <f>52.9+194.5</f>
        <v>247.4</v>
      </c>
      <c r="I9" s="21">
        <f t="shared" si="6"/>
        <v>5554.7100539999992</v>
      </c>
      <c r="J9" s="27">
        <f>-1383+2341.2</f>
        <v>958.19999999999982</v>
      </c>
      <c r="K9" s="54">
        <f>477.2
+6.5+190</f>
        <v>673.7</v>
      </c>
      <c r="L9" s="9">
        <f>324.4
+5
+198.8</f>
        <v>528.20000000000005</v>
      </c>
      <c r="M9" s="21">
        <v>712.7</v>
      </c>
      <c r="N9" s="21">
        <f>75.1+1.2+44.5</f>
        <v>120.8</v>
      </c>
      <c r="O9" s="21">
        <f>N9-(67.7+1.1+50.7)+(-2276.7+2341.2+203.6+3.2)</f>
        <v>272.60000000000002</v>
      </c>
      <c r="P9" s="46">
        <f>I9/M9</f>
        <v>7.7938965258874688</v>
      </c>
      <c r="Q9" s="9">
        <v>4470.2</v>
      </c>
      <c r="R9" s="46">
        <f t="shared" si="0"/>
        <v>1.2426088438996017</v>
      </c>
      <c r="S9" s="11">
        <f t="shared" si="7"/>
        <v>0.74379044040910058</v>
      </c>
      <c r="T9" s="9">
        <v>599.19147224872813</v>
      </c>
      <c r="U9" s="9">
        <v>610.40569582723526</v>
      </c>
      <c r="V9" s="46">
        <f t="shared" si="1"/>
        <v>9.2703423050290077</v>
      </c>
      <c r="W9" s="46">
        <f t="shared" si="2"/>
        <v>9.100029852231529</v>
      </c>
      <c r="X9" s="9">
        <v>1.1599999999999999</v>
      </c>
      <c r="Y9" s="9">
        <f t="shared" si="3"/>
        <v>36.206896551724142</v>
      </c>
      <c r="Z9" s="9">
        <v>1.98</v>
      </c>
      <c r="AA9" s="9">
        <f t="shared" si="4"/>
        <v>21.212121212121211</v>
      </c>
    </row>
    <row r="10" spans="1:27" x14ac:dyDescent="0.25">
      <c r="A10" s="21" t="s">
        <v>174</v>
      </c>
      <c r="B10" s="21" t="s">
        <v>175</v>
      </c>
      <c r="C10" s="25">
        <f>16+0.4375</f>
        <v>16.4375</v>
      </c>
      <c r="D10" s="21">
        <v>129.67699999999999</v>
      </c>
      <c r="E10" s="21">
        <f t="shared" si="5"/>
        <v>2131.5656875</v>
      </c>
      <c r="F10" s="21">
        <f>61.5+1599.348</f>
        <v>1660.848</v>
      </c>
      <c r="G10" s="21">
        <v>139.4</v>
      </c>
      <c r="H10" s="21">
        <v>135.328</v>
      </c>
      <c r="I10" s="21">
        <f t="shared" si="6"/>
        <v>3788.3416874999998</v>
      </c>
      <c r="J10" s="27">
        <v>160.27000000000001</v>
      </c>
      <c r="K10" s="54">
        <v>360.31</v>
      </c>
      <c r="L10" s="9">
        <v>395.92</v>
      </c>
      <c r="M10" s="21">
        <v>375.49</v>
      </c>
      <c r="N10" s="21">
        <v>168.203</v>
      </c>
      <c r="O10" s="21">
        <f>M10-N10+229.053</f>
        <v>436.34000000000003</v>
      </c>
      <c r="P10" s="46">
        <f>I10/M10</f>
        <v>10.089061459692667</v>
      </c>
      <c r="Q10" s="9">
        <f>3238.43+466.127</f>
        <v>3704.5569999999998</v>
      </c>
      <c r="R10" s="46">
        <f t="shared" si="0"/>
        <v>1.0226166549738607</v>
      </c>
      <c r="S10" s="11">
        <f>M10/J10</f>
        <v>2.342858925563112</v>
      </c>
      <c r="T10" s="9">
        <f>X10*D10*4</f>
        <v>933.67439999999999</v>
      </c>
      <c r="U10" s="9">
        <f>D10*Z10*4</f>
        <v>985.54519999999991</v>
      </c>
      <c r="V10" s="46">
        <f t="shared" si="1"/>
        <v>4.0574548124056946</v>
      </c>
      <c r="W10" s="46">
        <f t="shared" si="2"/>
        <v>3.8439045591211851</v>
      </c>
      <c r="X10" s="9">
        <v>1.8</v>
      </c>
      <c r="Y10" s="9">
        <f t="shared" si="3"/>
        <v>9.1319444444444446</v>
      </c>
      <c r="Z10" s="9">
        <v>1.9</v>
      </c>
      <c r="AA10" s="9">
        <f t="shared" si="4"/>
        <v>8.651315789473685</v>
      </c>
    </row>
    <row r="11" spans="1:27" x14ac:dyDescent="0.25">
      <c r="A11" s="21" t="s">
        <v>93</v>
      </c>
      <c r="B11" s="21" t="s">
        <v>94</v>
      </c>
      <c r="C11" s="25">
        <v>18</v>
      </c>
      <c r="D11" s="21">
        <v>122.646186</v>
      </c>
      <c r="E11" s="21">
        <f t="shared" si="5"/>
        <v>2207.6313479999999</v>
      </c>
      <c r="F11" s="21">
        <f>1967.4+39.122+249.973</f>
        <v>2256.4950000000003</v>
      </c>
      <c r="G11" s="21">
        <v>64.481999999999999</v>
      </c>
      <c r="H11" s="21">
        <f>85.613+56.435+345</f>
        <v>487.048</v>
      </c>
      <c r="I11" s="21">
        <f t="shared" si="6"/>
        <v>4886.6923479999996</v>
      </c>
      <c r="J11" s="27">
        <v>193.886</v>
      </c>
      <c r="K11" s="21">
        <f>386.308
+11.241
+233.993</f>
        <v>631.54199999999992</v>
      </c>
      <c r="L11" s="21">
        <f>410.553
+15.768
+249.804</f>
        <v>676.125</v>
      </c>
      <c r="M11" s="21">
        <f>421.506
+10.584
+256.474</f>
        <v>688.56399999999996</v>
      </c>
      <c r="N11" s="21">
        <f>155.909+72.909+7.084-2.708</f>
        <v>233.19399999999999</v>
      </c>
      <c r="O11" s="21">
        <f>N11-(117.114+8.448+63.274)+(421.506+10.584+256.474)</f>
        <v>732.92199999999991</v>
      </c>
      <c r="P11" s="46">
        <f>I11/O11</f>
        <v>6.6674111951885742</v>
      </c>
      <c r="Q11" s="9">
        <v>4842.8130000000001</v>
      </c>
      <c r="R11" s="46">
        <f t="shared" si="0"/>
        <v>1.0090607149192008</v>
      </c>
      <c r="S11" s="11">
        <f t="shared" si="7"/>
        <v>3.5513858659212114</v>
      </c>
      <c r="T11" s="9">
        <f>X11*D11*3.5</f>
        <v>759.79312227000003</v>
      </c>
      <c r="U11" s="9">
        <f>D11*Z11*3.5</f>
        <v>828.47498642999994</v>
      </c>
      <c r="V11" s="46">
        <f t="shared" si="1"/>
        <v>6.4316090851154941</v>
      </c>
      <c r="W11" s="46">
        <f t="shared" si="2"/>
        <v>5.8984186946395987</v>
      </c>
      <c r="X11" s="9">
        <v>1.77</v>
      </c>
      <c r="Y11" s="9">
        <f t="shared" si="3"/>
        <v>10.169491525423728</v>
      </c>
      <c r="Z11" s="9">
        <v>1.93</v>
      </c>
      <c r="AA11" s="9">
        <f t="shared" si="4"/>
        <v>9.3264248704663224</v>
      </c>
    </row>
    <row r="12" spans="1:27" x14ac:dyDescent="0.25">
      <c r="A12" s="21" t="s">
        <v>87</v>
      </c>
      <c r="B12" s="21" t="s">
        <v>92</v>
      </c>
      <c r="C12" s="25">
        <f>23+0.125</f>
        <v>23.125</v>
      </c>
      <c r="D12" s="21">
        <f>209.789/0.74</f>
        <v>283.49864864864861</v>
      </c>
      <c r="E12" s="21">
        <f t="shared" si="5"/>
        <v>6555.9062499999991</v>
      </c>
      <c r="F12" s="21">
        <f>6973.697+375.497</f>
        <v>7349.1940000000004</v>
      </c>
      <c r="G12" s="21">
        <v>83.795000000000002</v>
      </c>
      <c r="H12" s="21">
        <f>717.268+9.74</f>
        <v>727.00800000000004</v>
      </c>
      <c r="I12" s="21">
        <f t="shared" si="6"/>
        <v>14548.313249999999</v>
      </c>
      <c r="J12" s="56">
        <f>-141.092</f>
        <v>-141.09200000000001</v>
      </c>
      <c r="K12" s="21">
        <f>990.466+41.61-2.022+2.598+550.038</f>
        <v>1582.69</v>
      </c>
      <c r="L12" s="21">
        <f>1064.5-13.446+2.872+651.875+121.402</f>
        <v>1827.2030000000002</v>
      </c>
      <c r="M12" s="21">
        <f>1477.388-1110.11+1176.211+4.304+856.617</f>
        <v>2404.41</v>
      </c>
      <c r="N12" s="21">
        <f>190.115+10.313+0.702+0.93+190.585</f>
        <v>392.64499999999998</v>
      </c>
      <c r="O12" s="21">
        <f>N12-(282.892-171.793+0.957+175.599)+2362</f>
        <v>2466.9899999999998</v>
      </c>
      <c r="P12" s="46">
        <f>I12/O12</f>
        <v>5.8971918208018677</v>
      </c>
      <c r="Q12" s="9">
        <v>11548.779</v>
      </c>
      <c r="R12" s="46">
        <f t="shared" si="0"/>
        <v>1.2597273919606564</v>
      </c>
      <c r="S12" s="11">
        <f t="shared" si="7"/>
        <v>-17.041433957984857</v>
      </c>
      <c r="T12" s="9">
        <f>X12*D12*3.9</f>
        <v>2244.4588013513508</v>
      </c>
      <c r="U12" s="9">
        <f>D12*Z12*3.9</f>
        <v>2432.4184054054053</v>
      </c>
      <c r="V12" s="46">
        <f t="shared" si="1"/>
        <v>6.4818802827838518</v>
      </c>
      <c r="W12" s="46">
        <f t="shared" si="2"/>
        <v>5.9810077154778254</v>
      </c>
      <c r="X12" s="9">
        <v>2.0299999999999998</v>
      </c>
      <c r="Y12" s="9">
        <f t="shared" si="3"/>
        <v>11.391625615763548</v>
      </c>
      <c r="Z12" s="9">
        <v>2.2000000000000002</v>
      </c>
      <c r="AA12" s="9">
        <f t="shared" si="4"/>
        <v>10.511363636363635</v>
      </c>
    </row>
    <row r="13" spans="1:27" x14ac:dyDescent="0.25">
      <c r="A13" s="21" t="s">
        <v>85</v>
      </c>
      <c r="B13" s="21" t="s">
        <v>90</v>
      </c>
      <c r="C13" s="25">
        <f>23+0.3125</f>
        <v>23.3125</v>
      </c>
      <c r="D13" s="21">
        <v>698.52700000000004</v>
      </c>
      <c r="E13" s="21">
        <f t="shared" si="5"/>
        <v>16284.410687500002</v>
      </c>
      <c r="F13" s="21">
        <f>9952.508+1136.05</f>
        <v>11088.557999999999</v>
      </c>
      <c r="G13" s="21">
        <v>554.09500000000003</v>
      </c>
      <c r="H13" s="21">
        <f>369.061+2426.965</f>
        <v>2796.0260000000003</v>
      </c>
      <c r="I13" s="21">
        <f t="shared" si="6"/>
        <v>29614.899687500001</v>
      </c>
      <c r="J13" s="27">
        <v>977</v>
      </c>
      <c r="K13" s="21">
        <f>1944
+747
+1133</f>
        <v>3824</v>
      </c>
      <c r="L13" s="21">
        <f>2037
+725
+1367</f>
        <v>4129</v>
      </c>
      <c r="M13" s="21">
        <f>2184+
678
+1539</f>
        <v>4401</v>
      </c>
      <c r="N13" s="21">
        <f>511.086+315.081+108.608-21.343</f>
        <v>913.43200000000013</v>
      </c>
      <c r="O13" s="21">
        <f>N13-(529.27+332.085+135.922-16.587)+4052</f>
        <v>3984.7420000000002</v>
      </c>
      <c r="P13" s="46">
        <f>I13/O13</f>
        <v>7.4320745703234987</v>
      </c>
      <c r="Q13" s="9">
        <v>23717.491000000002</v>
      </c>
      <c r="R13" s="46">
        <f t="shared" si="0"/>
        <v>1.2486523000050891</v>
      </c>
      <c r="S13" s="11">
        <f t="shared" si="7"/>
        <v>4.5046059365404298</v>
      </c>
      <c r="T13" s="9">
        <f>X13*D13*4.2</f>
        <v>5486.2310580000012</v>
      </c>
      <c r="U13" s="9">
        <f>D13*Z13*4.2</f>
        <v>5926.3030680000011</v>
      </c>
      <c r="V13" s="46">
        <f t="shared" si="1"/>
        <v>5.3980409090345667</v>
      </c>
      <c r="W13" s="46">
        <f t="shared" si="2"/>
        <v>4.9971962870765552</v>
      </c>
      <c r="X13" s="9">
        <v>1.87</v>
      </c>
      <c r="Y13" s="9">
        <f t="shared" si="3"/>
        <v>12.46657754010695</v>
      </c>
      <c r="Z13" s="9">
        <v>2.02</v>
      </c>
      <c r="AA13" s="9">
        <f t="shared" si="4"/>
        <v>11.540841584158416</v>
      </c>
    </row>
    <row r="14" spans="1:27" x14ac:dyDescent="0.25">
      <c r="A14" s="21" t="s">
        <v>95</v>
      </c>
      <c r="B14" s="21" t="s">
        <v>86</v>
      </c>
      <c r="C14" s="25">
        <v>36</v>
      </c>
      <c r="D14" s="21">
        <v>282</v>
      </c>
      <c r="E14" s="21">
        <f t="shared" si="5"/>
        <v>10152</v>
      </c>
      <c r="F14" s="21">
        <f>16486+1072</f>
        <v>17558</v>
      </c>
      <c r="G14" s="21">
        <v>750</v>
      </c>
      <c r="H14" s="21">
        <f>190+21+1193</f>
        <v>1404</v>
      </c>
      <c r="I14" s="21">
        <f t="shared" si="6"/>
        <v>28364</v>
      </c>
      <c r="J14" s="27">
        <v>740</v>
      </c>
      <c r="K14" s="21">
        <f>1974
+11
+621</f>
        <v>2606</v>
      </c>
      <c r="L14" s="21">
        <f>1857
+9
+666</f>
        <v>2532</v>
      </c>
      <c r="M14" s="21">
        <f>2508
+9
+1147</f>
        <v>3664</v>
      </c>
      <c r="N14" s="21">
        <f>607+3+290</f>
        <v>900</v>
      </c>
      <c r="O14" s="21">
        <f>N14-(416+3+185)+3664</f>
        <v>3960</v>
      </c>
      <c r="P14" s="46">
        <f>I14/O14</f>
        <v>7.1626262626262625</v>
      </c>
      <c r="Q14" s="9">
        <v>23310</v>
      </c>
      <c r="R14" s="46">
        <f t="shared" si="0"/>
        <v>1.2168168168168167</v>
      </c>
      <c r="S14" s="11">
        <f t="shared" si="7"/>
        <v>4.9513513513513514</v>
      </c>
      <c r="T14" s="9">
        <f>X14*D14*3.5</f>
        <v>3128.79</v>
      </c>
      <c r="U14" s="9">
        <f>D14*Z14*3.5</f>
        <v>3345.9300000000003</v>
      </c>
      <c r="V14" s="46">
        <f t="shared" si="1"/>
        <v>9.0654853793319461</v>
      </c>
      <c r="W14" s="46">
        <f t="shared" si="2"/>
        <v>8.4771647942425563</v>
      </c>
      <c r="X14" s="9">
        <v>3.17</v>
      </c>
      <c r="Y14" s="9">
        <f t="shared" si="3"/>
        <v>11.356466876971609</v>
      </c>
      <c r="Z14" s="9">
        <v>3.39</v>
      </c>
      <c r="AA14" s="9">
        <f t="shared" si="4"/>
        <v>10.619469026548671</v>
      </c>
    </row>
    <row r="15" spans="1:27" x14ac:dyDescent="0.25">
      <c r="A15" s="21" t="s">
        <v>58</v>
      </c>
      <c r="B15" s="21" t="s">
        <v>59</v>
      </c>
      <c r="C15" s="25">
        <f>37+0.1875</f>
        <v>37.1875</v>
      </c>
      <c r="D15" s="21">
        <v>217.08099999999999</v>
      </c>
      <c r="E15" s="21">
        <f t="shared" si="5"/>
        <v>8072.6996874999995</v>
      </c>
      <c r="F15" s="21">
        <f>7677.109+923.834</f>
        <v>8600.9430000000011</v>
      </c>
      <c r="G15" s="21">
        <v>60.671999999999997</v>
      </c>
      <c r="H15" s="21">
        <f>74.482+69.475+350</f>
        <v>493.95699999999999</v>
      </c>
      <c r="I15" s="21">
        <f t="shared" si="6"/>
        <v>17106.9276875</v>
      </c>
      <c r="J15" s="9">
        <v>510.18400000000003</v>
      </c>
      <c r="K15" s="21">
        <f>1263.074
+40.202
+34.858
+968.972+489.392</f>
        <v>2796.4979999999996</v>
      </c>
      <c r="L15" s="21">
        <f>912.067
+42.325
+95.445
+1005.089
+317.558</f>
        <v>2372.4839999999999</v>
      </c>
      <c r="M15" s="21">
        <f>1006.694
+16.464
+32.528
+943.288
+355.023</f>
        <v>2353.9969999999998</v>
      </c>
      <c r="N15" s="21">
        <f>225.951+231.332+63.264+4.211+7.638</f>
        <v>532.39600000000007</v>
      </c>
      <c r="O15" s="21">
        <f>N15-(195.902+248.902+55.146+3.16-18.76)+2354</f>
        <v>2402.0460000000003</v>
      </c>
      <c r="P15" s="46">
        <f>I15/O15</f>
        <v>7.1218151890097019</v>
      </c>
      <c r="Q15" s="9">
        <v>13430.439</v>
      </c>
      <c r="R15" s="46">
        <f t="shared" si="0"/>
        <v>1.2737430018110354</v>
      </c>
      <c r="S15" s="11">
        <f t="shared" si="7"/>
        <v>4.6140157276590399</v>
      </c>
      <c r="T15" s="9">
        <f>X15*D15*4.2</f>
        <v>2324.9375099999997</v>
      </c>
      <c r="U15" s="9">
        <f>D15*Z15*4.2</f>
        <v>2744.3380019999995</v>
      </c>
      <c r="V15" s="46">
        <f t="shared" si="1"/>
        <v>7.3580161247000575</v>
      </c>
      <c r="W15" s="46">
        <f t="shared" si="2"/>
        <v>6.2335352551445675</v>
      </c>
      <c r="X15" s="9">
        <v>2.5499999999999998</v>
      </c>
      <c r="Y15" s="9">
        <f t="shared" si="3"/>
        <v>14.583333333333334</v>
      </c>
      <c r="Z15" s="9">
        <v>3.01</v>
      </c>
      <c r="AA15" s="9">
        <f t="shared" si="4"/>
        <v>12.354651162790699</v>
      </c>
    </row>
    <row r="16" spans="1:27" x14ac:dyDescent="0.25">
      <c r="A16" s="21"/>
      <c r="B16" s="21"/>
      <c r="C16" s="25"/>
      <c r="D16" s="21"/>
      <c r="E16" s="21"/>
      <c r="F16" s="21"/>
      <c r="G16" s="21"/>
      <c r="H16" s="21"/>
      <c r="I16" s="21"/>
      <c r="J16" s="9"/>
      <c r="K16" s="21"/>
      <c r="L16" s="21"/>
      <c r="M16" s="21"/>
      <c r="N16" s="21"/>
      <c r="O16" s="21"/>
      <c r="P16" s="46"/>
      <c r="Q16" s="9"/>
      <c r="R16" s="46"/>
      <c r="S16" s="11"/>
      <c r="T16" s="9"/>
      <c r="U16" s="9"/>
      <c r="V16" s="46"/>
      <c r="W16" s="46"/>
      <c r="X16" s="9"/>
      <c r="Y16" s="9"/>
      <c r="Z16" s="9"/>
      <c r="AA16" s="9"/>
    </row>
    <row r="17" spans="1:27" x14ac:dyDescent="0.25">
      <c r="A17" s="21"/>
      <c r="B17" s="21"/>
      <c r="C17" s="25"/>
      <c r="D17" s="21"/>
      <c r="E17" s="21"/>
      <c r="F17" s="21"/>
      <c r="G17" s="21"/>
      <c r="H17" s="21"/>
      <c r="I17" s="21"/>
      <c r="J17" s="9"/>
      <c r="K17" s="21"/>
      <c r="L17" s="21"/>
      <c r="M17" s="21"/>
      <c r="N17" s="21"/>
      <c r="O17" s="21" t="s">
        <v>131</v>
      </c>
      <c r="P17" s="46">
        <f>MIN(P6:P15)</f>
        <v>5.8971918208018677</v>
      </c>
      <c r="Q17" s="9"/>
      <c r="R17" s="46">
        <f>MIN(R6:R15)</f>
        <v>1.0090607149192008</v>
      </c>
      <c r="S17" s="11"/>
      <c r="T17" s="9"/>
      <c r="U17" s="21" t="s">
        <v>131</v>
      </c>
      <c r="V17" s="46">
        <f t="shared" ref="V17:AA17" si="8">MIN(V6:V15)</f>
        <v>4.0574548124056946</v>
      </c>
      <c r="W17" s="46">
        <f t="shared" si="8"/>
        <v>3.8439045591211851</v>
      </c>
      <c r="X17" s="46">
        <f t="shared" si="8"/>
        <v>1.1599999999999999</v>
      </c>
      <c r="Y17" s="46">
        <f t="shared" si="8"/>
        <v>9.0193089430894311</v>
      </c>
      <c r="Z17" s="46">
        <f t="shared" si="8"/>
        <v>1.9</v>
      </c>
      <c r="AA17" s="46">
        <f t="shared" si="8"/>
        <v>8.5336538461538467</v>
      </c>
    </row>
    <row r="18" spans="1:27" x14ac:dyDescent="0.25">
      <c r="A18" s="21"/>
      <c r="B18" s="21"/>
      <c r="C18" s="25"/>
      <c r="D18" s="21"/>
      <c r="E18" s="21"/>
      <c r="F18" s="21"/>
      <c r="G18" s="21"/>
      <c r="H18" s="21"/>
      <c r="I18" s="21"/>
      <c r="J18" s="9"/>
      <c r="K18" s="21"/>
      <c r="L18" s="21"/>
      <c r="M18" s="21"/>
      <c r="N18" s="21"/>
      <c r="O18" s="21" t="s">
        <v>132</v>
      </c>
      <c r="P18" s="46">
        <f>MAX(P6:P15)</f>
        <v>10.089061459692667</v>
      </c>
      <c r="Q18" s="9"/>
      <c r="R18" s="46">
        <f>MAX(R6:R15)</f>
        <v>1.4573108596284845</v>
      </c>
      <c r="S18" s="11"/>
      <c r="T18" s="9"/>
      <c r="U18" s="21" t="s">
        <v>132</v>
      </c>
      <c r="V18" s="46">
        <f t="shared" ref="V18:AA18" si="9">MAX(V6:V15)</f>
        <v>9.2703423050290077</v>
      </c>
      <c r="W18" s="46">
        <f t="shared" si="9"/>
        <v>9.100029852231529</v>
      </c>
      <c r="X18" s="46">
        <f t="shared" si="9"/>
        <v>3.2</v>
      </c>
      <c r="Y18" s="46">
        <f t="shared" si="9"/>
        <v>36.206896551724142</v>
      </c>
      <c r="Z18" s="46">
        <f t="shared" si="9"/>
        <v>3.43</v>
      </c>
      <c r="AA18" s="46">
        <f t="shared" si="9"/>
        <v>21.212121212121211</v>
      </c>
    </row>
    <row r="19" spans="1:27" x14ac:dyDescent="0.25">
      <c r="A19" s="21"/>
      <c r="B19" s="21"/>
      <c r="C19" s="25"/>
      <c r="D19" s="21"/>
      <c r="E19" s="21"/>
      <c r="F19" s="21"/>
      <c r="G19" s="21"/>
      <c r="H19" s="21"/>
      <c r="I19" s="21"/>
      <c r="K19" s="21"/>
      <c r="L19" s="21"/>
      <c r="M19" s="21"/>
      <c r="N19" s="21"/>
      <c r="O19" s="21"/>
      <c r="S19" s="99"/>
      <c r="U19" s="21"/>
    </row>
    <row r="20" spans="1:27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 t="s">
        <v>60</v>
      </c>
      <c r="P20" s="23">
        <f>AVERAGE(P6:P15)</f>
        <v>7.1754005370020142</v>
      </c>
      <c r="Q20" s="23"/>
      <c r="R20" s="23">
        <f>AVERAGE(R6:R15)</f>
        <v>1.1909722452835343</v>
      </c>
      <c r="S20" s="107"/>
      <c r="T20" s="23"/>
      <c r="U20" s="21" t="s">
        <v>60</v>
      </c>
      <c r="V20" s="23">
        <f t="shared" ref="V20:AA20" si="10">AVERAGE(V6:V15)</f>
        <v>6.6936610644559664</v>
      </c>
      <c r="W20" s="23">
        <f t="shared" si="10"/>
        <v>6.2342767560042462</v>
      </c>
      <c r="X20" s="23">
        <f t="shared" si="10"/>
        <v>2.294</v>
      </c>
      <c r="Y20" s="23">
        <f t="shared" si="10"/>
        <v>13.608032433171042</v>
      </c>
      <c r="Z20" s="23">
        <f t="shared" si="10"/>
        <v>2.5529999999999999</v>
      </c>
      <c r="AA20" s="23">
        <f t="shared" si="10"/>
        <v>11.328828568225926</v>
      </c>
    </row>
    <row r="21" spans="1:27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 t="s">
        <v>61</v>
      </c>
      <c r="P21" s="46">
        <f>MEDIAN(P6:P15)</f>
        <v>7.1422207258179817</v>
      </c>
      <c r="Q21" s="46"/>
      <c r="R21" s="46">
        <f>MEDIAN(R6:R15)</f>
        <v>1.2297128303582092</v>
      </c>
      <c r="S21" s="99"/>
      <c r="T21" s="46"/>
      <c r="U21" s="21" t="s">
        <v>61</v>
      </c>
      <c r="V21" s="46">
        <f t="shared" ref="V21:AA21" si="11">MEDIAN(V6:V15)</f>
        <v>6.4567446839496725</v>
      </c>
      <c r="W21" s="46">
        <f t="shared" si="11"/>
        <v>5.9397132050587125</v>
      </c>
      <c r="X21" s="46">
        <f t="shared" si="11"/>
        <v>2.2450000000000001</v>
      </c>
      <c r="Y21" s="46">
        <f t="shared" si="11"/>
        <v>11.330963813912426</v>
      </c>
      <c r="Z21" s="46">
        <f t="shared" si="11"/>
        <v>2.4000000000000004</v>
      </c>
      <c r="AA21" s="46">
        <f t="shared" si="11"/>
        <v>10.565416331456152</v>
      </c>
    </row>
    <row r="22" spans="1:27" x14ac:dyDescent="0.25">
      <c r="J22" s="21"/>
      <c r="K22" s="46"/>
      <c r="L22" s="46"/>
      <c r="M22" s="46"/>
    </row>
    <row r="24" spans="1:27" x14ac:dyDescent="0.25">
      <c r="A24" t="s">
        <v>787</v>
      </c>
    </row>
  </sheetData>
  <pageMargins left="0.75" right="0.75" top="1" bottom="1" header="0.5" footer="0.5"/>
  <pageSetup scale="56" orientation="landscape" r:id="rId1"/>
  <headerFooter alignWithMargins="0">
    <oddFooter>&amp;L&amp;D &amp;T&amp;R&amp;P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view="pageBreakPreview" zoomScaleNormal="100" zoomScaleSheetLayoutView="100" workbookViewId="0">
      <selection activeCell="A7" sqref="A7"/>
    </sheetView>
  </sheetViews>
  <sheetFormatPr defaultRowHeight="13.2" x14ac:dyDescent="0.25"/>
  <sheetData>
    <row r="1" spans="1:14" ht="17.399999999999999" x14ac:dyDescent="0.3">
      <c r="A1" s="426" t="s">
        <v>656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</row>
    <row r="2" spans="1:14" ht="17.399999999999999" x14ac:dyDescent="0.3">
      <c r="A2" s="426"/>
      <c r="B2" s="430" t="s">
        <v>660</v>
      </c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</row>
    <row r="3" spans="1:14" ht="15" x14ac:dyDescent="0.25">
      <c r="A3" s="359"/>
      <c r="B3" s="432" t="s">
        <v>657</v>
      </c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</row>
    <row r="4" spans="1:14" ht="15" x14ac:dyDescent="0.25">
      <c r="A4" s="359"/>
      <c r="B4" s="432" t="s">
        <v>658</v>
      </c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</row>
    <row r="5" spans="1:14" ht="15" x14ac:dyDescent="0.25">
      <c r="A5" s="359"/>
      <c r="B5" s="432" t="s">
        <v>659</v>
      </c>
      <c r="C5" s="359"/>
      <c r="D5" s="359"/>
      <c r="E5" s="359"/>
      <c r="F5" s="359"/>
      <c r="G5" s="359"/>
      <c r="H5" s="359"/>
      <c r="I5" s="359"/>
      <c r="J5" s="359"/>
      <c r="K5" s="359"/>
      <c r="L5" s="359"/>
      <c r="M5" s="359"/>
      <c r="N5" s="359"/>
    </row>
    <row r="6" spans="1:14" ht="15" x14ac:dyDescent="0.25">
      <c r="A6" s="359"/>
      <c r="B6" s="432"/>
      <c r="C6" s="359"/>
      <c r="D6" s="359"/>
      <c r="E6" s="359"/>
      <c r="F6" s="359"/>
      <c r="G6" s="359"/>
      <c r="H6" s="359"/>
      <c r="I6" s="359"/>
      <c r="J6" s="359"/>
      <c r="K6" s="359"/>
      <c r="L6" s="359"/>
      <c r="M6" s="359"/>
      <c r="N6" s="359"/>
    </row>
    <row r="7" spans="1:14" x14ac:dyDescent="0.25">
      <c r="B7" s="430" t="s">
        <v>661</v>
      </c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</row>
    <row r="8" spans="1:14" ht="15" x14ac:dyDescent="0.25">
      <c r="A8" s="359"/>
      <c r="B8" s="432" t="s">
        <v>662</v>
      </c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</row>
    <row r="9" spans="1:14" ht="15" x14ac:dyDescent="0.25">
      <c r="A9" s="359"/>
      <c r="B9" s="432" t="s">
        <v>663</v>
      </c>
      <c r="C9" s="359"/>
      <c r="D9" s="359"/>
      <c r="E9" s="359"/>
      <c r="F9" s="359"/>
      <c r="G9" s="359"/>
      <c r="H9" s="359"/>
      <c r="I9" s="359"/>
      <c r="J9" s="359"/>
      <c r="K9" s="359"/>
      <c r="L9" s="359"/>
      <c r="M9" s="359"/>
      <c r="N9" s="359"/>
    </row>
    <row r="10" spans="1:14" ht="15" x14ac:dyDescent="0.25">
      <c r="A10" s="359"/>
      <c r="B10" s="432" t="s">
        <v>664</v>
      </c>
      <c r="C10" s="359"/>
      <c r="D10" s="359"/>
      <c r="E10" s="359"/>
      <c r="F10" s="359"/>
      <c r="G10" s="359"/>
      <c r="H10" s="359"/>
      <c r="I10" s="359"/>
      <c r="J10" s="359"/>
      <c r="K10" s="359"/>
      <c r="L10" s="359"/>
      <c r="M10" s="359"/>
      <c r="N10" s="359"/>
    </row>
    <row r="11" spans="1:14" ht="15" x14ac:dyDescent="0.25">
      <c r="A11" s="359"/>
      <c r="B11" s="432"/>
      <c r="C11" s="359"/>
      <c r="D11" s="359"/>
      <c r="E11" s="359"/>
      <c r="F11" s="359"/>
      <c r="G11" s="359"/>
      <c r="H11" s="359"/>
      <c r="I11" s="359"/>
      <c r="J11" s="359"/>
      <c r="K11" s="359"/>
      <c r="L11" s="359"/>
      <c r="M11" s="359"/>
      <c r="N11" s="359"/>
    </row>
    <row r="12" spans="1:14" ht="15" x14ac:dyDescent="0.25">
      <c r="A12" s="359"/>
      <c r="B12" s="432"/>
      <c r="C12" s="359"/>
      <c r="D12" s="359"/>
      <c r="E12" s="359"/>
      <c r="F12" s="359"/>
      <c r="G12" s="359"/>
      <c r="H12" s="359"/>
      <c r="I12" s="359"/>
      <c r="J12" s="359"/>
      <c r="K12" s="359"/>
      <c r="L12" s="359"/>
      <c r="M12" s="359"/>
      <c r="N12" s="359"/>
    </row>
    <row r="13" spans="1:14" x14ac:dyDescent="0.25">
      <c r="A13" s="359"/>
      <c r="B13" s="359"/>
      <c r="C13" s="359"/>
      <c r="D13" s="359"/>
      <c r="E13" s="359"/>
      <c r="F13" s="359"/>
      <c r="G13" s="359"/>
      <c r="H13" s="359"/>
      <c r="I13" s="359"/>
      <c r="J13" s="359"/>
      <c r="K13" s="359"/>
      <c r="L13" s="359"/>
      <c r="M13" s="359"/>
      <c r="N13" s="359"/>
    </row>
    <row r="14" spans="1:14" x14ac:dyDescent="0.25">
      <c r="A14" s="359"/>
      <c r="B14" s="359"/>
      <c r="C14" s="359"/>
      <c r="D14" s="359"/>
      <c r="E14" s="359"/>
      <c r="F14" s="359"/>
      <c r="G14" s="359"/>
      <c r="H14" s="359"/>
      <c r="I14" s="359"/>
      <c r="J14" s="359"/>
      <c r="K14" s="359"/>
      <c r="L14" s="359"/>
      <c r="M14" s="359"/>
      <c r="N14" s="359"/>
    </row>
    <row r="15" spans="1:14" x14ac:dyDescent="0.25">
      <c r="A15" s="359"/>
      <c r="B15" s="359"/>
      <c r="C15" s="359"/>
      <c r="D15" s="359"/>
      <c r="E15" s="359"/>
      <c r="F15" s="359"/>
      <c r="G15" s="359"/>
      <c r="H15" s="359"/>
      <c r="I15" s="359"/>
      <c r="J15" s="359"/>
      <c r="K15" s="359"/>
      <c r="L15" s="359"/>
      <c r="M15" s="359"/>
      <c r="N15" s="359"/>
    </row>
    <row r="16" spans="1:14" x14ac:dyDescent="0.25">
      <c r="A16" s="359"/>
      <c r="B16" s="359"/>
      <c r="C16" s="359"/>
      <c r="D16" s="359"/>
      <c r="E16" s="359"/>
      <c r="F16" s="359"/>
      <c r="G16" s="359"/>
      <c r="H16" s="359"/>
      <c r="I16" s="359"/>
      <c r="J16" s="359"/>
      <c r="K16" s="359"/>
      <c r="L16" s="359"/>
      <c r="M16" s="359"/>
      <c r="N16" s="359"/>
    </row>
    <row r="17" spans="1:14" x14ac:dyDescent="0.25">
      <c r="A17" s="359"/>
      <c r="B17" s="359"/>
      <c r="C17" s="359"/>
      <c r="D17" s="359"/>
      <c r="E17" s="359"/>
      <c r="F17" s="359"/>
      <c r="G17" s="359"/>
      <c r="H17" s="359"/>
      <c r="I17" s="359"/>
      <c r="J17" s="359"/>
      <c r="K17" s="359"/>
      <c r="L17" s="359"/>
      <c r="M17" s="359"/>
      <c r="N17" s="359"/>
    </row>
    <row r="18" spans="1:14" x14ac:dyDescent="0.25">
      <c r="A18" s="359"/>
      <c r="B18" s="359"/>
      <c r="C18" s="359"/>
      <c r="D18" s="359"/>
      <c r="E18" s="359"/>
      <c r="F18" s="359"/>
      <c r="G18" s="359"/>
      <c r="H18" s="359"/>
      <c r="I18" s="359"/>
      <c r="J18" s="359"/>
      <c r="K18" s="359"/>
      <c r="L18" s="359"/>
      <c r="M18" s="359"/>
      <c r="N18" s="359"/>
    </row>
    <row r="19" spans="1:14" x14ac:dyDescent="0.25">
      <c r="A19" s="359"/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</row>
    <row r="20" spans="1:14" x14ac:dyDescent="0.25">
      <c r="A20" s="359"/>
      <c r="B20" s="359"/>
      <c r="C20" s="359"/>
      <c r="D20" s="359"/>
      <c r="E20" s="359"/>
      <c r="F20" s="359"/>
      <c r="G20" s="359"/>
      <c r="H20" s="359"/>
      <c r="I20" s="359"/>
      <c r="J20" s="359"/>
      <c r="K20" s="359"/>
      <c r="L20" s="359"/>
      <c r="M20" s="359"/>
      <c r="N20" s="359"/>
    </row>
  </sheetData>
  <pageMargins left="0.75" right="0.75" top="0.5" bottom="0.75" header="0.5" footer="0.5"/>
  <pageSetup scale="96" orientation="landscape" r:id="rId1"/>
  <headerFooter alignWithMargins="0">
    <oddFooter>Page &amp;P of &amp;N</oddFooter>
  </headerFooter>
  <rowBreaks count="1" manualBreakCount="1">
    <brk id="20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17410" r:id="rId4">
          <objectPr defaultSize="0" autoPict="0" r:id="rId5">
            <anchor moveWithCells="1">
              <from>
                <xdr:col>0</xdr:col>
                <xdr:colOff>0</xdr:colOff>
                <xdr:row>21</xdr:row>
                <xdr:rowOff>160020</xdr:rowOff>
              </from>
              <to>
                <xdr:col>12</xdr:col>
                <xdr:colOff>525780</xdr:colOff>
                <xdr:row>58</xdr:row>
                <xdr:rowOff>38100</xdr:rowOff>
              </to>
            </anchor>
          </objectPr>
        </oleObject>
      </mc:Choice>
      <mc:Fallback>
        <oleObject progId="Word.Document.8" shapeId="17410" r:id="rId4"/>
      </mc:Fallback>
    </mc:AlternateContent>
  </oleObjec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22"/>
  <sheetViews>
    <sheetView view="pageBreakPreview" zoomScale="60" zoomScaleNormal="100" workbookViewId="0">
      <selection activeCell="H20" sqref="H20"/>
    </sheetView>
  </sheetViews>
  <sheetFormatPr defaultColWidth="9.109375" defaultRowHeight="13.2" x14ac:dyDescent="0.25"/>
  <cols>
    <col min="1" max="2" width="9.109375" style="594"/>
    <col min="3" max="3" width="11.88671875" style="594" bestFit="1" customWidth="1"/>
    <col min="4" max="9" width="9.109375" style="594"/>
    <col min="10" max="10" width="14" style="594" bestFit="1" customWidth="1"/>
    <col min="11" max="16384" width="9.109375" style="594"/>
  </cols>
  <sheetData>
    <row r="2" spans="1:10" ht="17.399999999999999" x14ac:dyDescent="0.3">
      <c r="A2" s="593" t="s">
        <v>722</v>
      </c>
    </row>
    <row r="3" spans="1:10" ht="15.6" x14ac:dyDescent="0.3">
      <c r="B3" s="634"/>
      <c r="C3" s="634"/>
      <c r="E3" s="640"/>
      <c r="H3" s="640" t="s">
        <v>4</v>
      </c>
      <c r="J3" s="640" t="s">
        <v>1</v>
      </c>
    </row>
    <row r="4" spans="1:10" ht="15.6" x14ac:dyDescent="0.3">
      <c r="A4" s="634"/>
      <c r="B4" s="634"/>
      <c r="C4" s="634"/>
      <c r="E4" s="640"/>
      <c r="H4" s="641" t="s">
        <v>215</v>
      </c>
      <c r="J4" s="641" t="s">
        <v>3</v>
      </c>
    </row>
    <row r="5" spans="1:10" ht="15.6" x14ac:dyDescent="0.3">
      <c r="A5" s="633" t="s">
        <v>216</v>
      </c>
      <c r="B5" s="634"/>
      <c r="C5" s="634"/>
      <c r="E5" s="638"/>
      <c r="H5" s="638"/>
      <c r="J5" s="638"/>
    </row>
    <row r="6" spans="1:10" ht="15.6" x14ac:dyDescent="0.3">
      <c r="A6" s="634"/>
      <c r="B6" s="634" t="s">
        <v>186</v>
      </c>
      <c r="C6" s="634"/>
      <c r="E6" s="638"/>
      <c r="H6" s="638" t="s">
        <v>5</v>
      </c>
      <c r="J6" s="642">
        <v>243</v>
      </c>
    </row>
    <row r="7" spans="1:10" ht="15.6" x14ac:dyDescent="0.3">
      <c r="A7" s="634"/>
      <c r="B7" s="432" t="s">
        <v>199</v>
      </c>
      <c r="C7" s="432"/>
      <c r="H7" s="472" t="s">
        <v>5</v>
      </c>
      <c r="I7" s="432"/>
      <c r="J7" s="475">
        <v>160</v>
      </c>
    </row>
    <row r="8" spans="1:10" ht="16.8" x14ac:dyDescent="0.4">
      <c r="A8" s="634"/>
      <c r="B8" s="432" t="s">
        <v>200</v>
      </c>
      <c r="C8" s="432"/>
      <c r="H8" s="472" t="s">
        <v>5</v>
      </c>
      <c r="I8" s="432"/>
      <c r="J8" s="476">
        <v>90</v>
      </c>
    </row>
    <row r="9" spans="1:10" ht="15.6" x14ac:dyDescent="0.3">
      <c r="A9" s="634"/>
      <c r="B9" s="432"/>
      <c r="C9" s="432"/>
      <c r="H9" s="472"/>
      <c r="I9" s="432"/>
      <c r="J9" s="475">
        <f>+SUM(J6:J8)</f>
        <v>493</v>
      </c>
    </row>
    <row r="10" spans="1:10" ht="15.6" x14ac:dyDescent="0.3">
      <c r="A10" s="633" t="s">
        <v>217</v>
      </c>
      <c r="B10" s="634"/>
      <c r="C10" s="634"/>
      <c r="E10" s="634"/>
      <c r="H10" s="638"/>
      <c r="J10" s="645"/>
    </row>
    <row r="11" spans="1:10" ht="15.6" x14ac:dyDescent="0.3">
      <c r="A11" s="634"/>
      <c r="B11" s="634" t="s">
        <v>204</v>
      </c>
      <c r="C11" s="634"/>
      <c r="E11" s="638"/>
      <c r="H11" s="638" t="s">
        <v>6</v>
      </c>
      <c r="J11" s="643">
        <v>172</v>
      </c>
    </row>
    <row r="12" spans="1:10" ht="15.6" x14ac:dyDescent="0.3">
      <c r="A12" s="634"/>
      <c r="B12" s="634" t="s">
        <v>205</v>
      </c>
      <c r="C12" s="634"/>
      <c r="E12" s="638"/>
      <c r="H12" s="638" t="s">
        <v>6</v>
      </c>
      <c r="J12" s="643">
        <v>564</v>
      </c>
    </row>
    <row r="13" spans="1:10" ht="15.6" x14ac:dyDescent="0.3">
      <c r="A13" s="634"/>
      <c r="B13" s="634" t="s">
        <v>207</v>
      </c>
      <c r="C13" s="634"/>
      <c r="E13" s="638"/>
      <c r="H13" s="638" t="s">
        <v>208</v>
      </c>
      <c r="J13" s="643">
        <v>78</v>
      </c>
    </row>
    <row r="14" spans="1:10" ht="15.6" x14ac:dyDescent="0.3">
      <c r="A14" s="634"/>
      <c r="B14" s="634" t="s">
        <v>209</v>
      </c>
      <c r="C14" s="634"/>
      <c r="E14" s="638"/>
      <c r="H14" s="638" t="s">
        <v>208</v>
      </c>
      <c r="J14" s="643">
        <v>245</v>
      </c>
    </row>
    <row r="15" spans="1:10" ht="15.6" x14ac:dyDescent="0.3">
      <c r="A15" s="634"/>
      <c r="B15" s="432" t="s">
        <v>206</v>
      </c>
      <c r="C15" s="432"/>
      <c r="H15" s="472" t="s">
        <v>6</v>
      </c>
      <c r="I15" s="472"/>
      <c r="J15" s="474">
        <v>120</v>
      </c>
    </row>
    <row r="16" spans="1:10" ht="15.6" x14ac:dyDescent="0.3">
      <c r="A16" s="634"/>
      <c r="B16" s="432" t="s">
        <v>212</v>
      </c>
      <c r="C16" s="432"/>
      <c r="H16" s="472" t="s">
        <v>208</v>
      </c>
      <c r="I16" s="472"/>
      <c r="J16" s="474">
        <v>11</v>
      </c>
    </row>
    <row r="17" spans="1:10" ht="15.6" x14ac:dyDescent="0.3">
      <c r="A17" s="634"/>
      <c r="B17" s="432" t="s">
        <v>210</v>
      </c>
      <c r="C17" s="432"/>
      <c r="H17" s="472" t="s">
        <v>208</v>
      </c>
      <c r="I17" s="472"/>
      <c r="J17" s="474">
        <v>98</v>
      </c>
    </row>
    <row r="18" spans="1:10" ht="15.6" x14ac:dyDescent="0.3">
      <c r="A18" s="634"/>
      <c r="B18" s="432" t="s">
        <v>211</v>
      </c>
      <c r="C18" s="432"/>
      <c r="H18" s="472" t="s">
        <v>208</v>
      </c>
      <c r="I18" s="472"/>
      <c r="J18" s="474">
        <v>104</v>
      </c>
    </row>
    <row r="19" spans="1:10" ht="15.6" x14ac:dyDescent="0.3">
      <c r="A19" s="634"/>
      <c r="B19" s="432" t="s">
        <v>213</v>
      </c>
      <c r="C19" s="432"/>
      <c r="H19" s="472" t="s">
        <v>208</v>
      </c>
      <c r="I19" s="472"/>
      <c r="J19" s="481">
        <v>8</v>
      </c>
    </row>
    <row r="20" spans="1:10" ht="15.6" x14ac:dyDescent="0.3">
      <c r="A20" s="634"/>
      <c r="B20" s="634"/>
      <c r="C20" s="634"/>
      <c r="E20" s="638"/>
      <c r="H20" s="638"/>
      <c r="J20" s="643">
        <f>+SUM(J11:J19)</f>
        <v>1400</v>
      </c>
    </row>
    <row r="21" spans="1:10" ht="15.6" x14ac:dyDescent="0.3">
      <c r="A21" s="634"/>
      <c r="B21" s="634"/>
      <c r="C21" s="634"/>
      <c r="E21" s="638"/>
      <c r="H21" s="638"/>
      <c r="J21" s="643"/>
    </row>
    <row r="22" spans="1:10" ht="15.6" x14ac:dyDescent="0.3">
      <c r="A22" s="634"/>
      <c r="B22" s="634"/>
      <c r="C22" s="634"/>
      <c r="E22" s="638"/>
      <c r="H22" s="638"/>
      <c r="J22" s="595"/>
    </row>
  </sheetData>
  <pageMargins left="0.75" right="0.75" top="1" bottom="1" header="0.5" footer="0.5"/>
  <pageSetup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3"/>
  <sheetViews>
    <sheetView showGridLines="0" topLeftCell="B1" zoomScale="75" zoomScaleNormal="75" zoomScaleSheetLayoutView="100" workbookViewId="0">
      <selection activeCell="M28" sqref="M28"/>
    </sheetView>
  </sheetViews>
  <sheetFormatPr defaultColWidth="9.109375" defaultRowHeight="15" x14ac:dyDescent="0.25"/>
  <cols>
    <col min="1" max="1" width="3.6640625" style="88" customWidth="1"/>
    <col min="2" max="2" width="40.44140625" style="88" customWidth="1"/>
    <col min="3" max="3" width="15" style="88" bestFit="1" customWidth="1"/>
    <col min="4" max="4" width="9.109375" style="88"/>
    <col min="5" max="5" width="3.88671875" style="88" customWidth="1"/>
    <col min="6" max="6" width="8.5546875" style="88" customWidth="1"/>
    <col min="7" max="7" width="9" style="88" customWidth="1"/>
    <col min="8" max="8" width="31.5546875" style="88" bestFit="1" customWidth="1"/>
    <col min="9" max="9" width="42.33203125" style="88" bestFit="1" customWidth="1"/>
    <col min="10" max="10" width="11.44140625" style="88" customWidth="1"/>
    <col min="11" max="11" width="10.88671875" style="88" customWidth="1"/>
    <col min="12" max="12" width="4.5546875" style="88" customWidth="1"/>
    <col min="13" max="13" width="12.109375" style="88" bestFit="1" customWidth="1"/>
    <col min="14" max="14" width="9.109375" style="88"/>
    <col min="15" max="15" width="10" style="88" bestFit="1" customWidth="1"/>
    <col min="16" max="16384" width="9.109375" style="88"/>
  </cols>
  <sheetData>
    <row r="1" spans="1:14" x14ac:dyDescent="0.25">
      <c r="E1" s="470"/>
    </row>
    <row r="2" spans="1:14" ht="17.399999999999999" x14ac:dyDescent="0.3">
      <c r="A2" s="426" t="s">
        <v>655</v>
      </c>
      <c r="B2" s="432"/>
      <c r="C2" s="432"/>
      <c r="D2" s="432"/>
      <c r="E2" s="472"/>
      <c r="F2" s="432"/>
      <c r="G2" s="432"/>
      <c r="H2" s="432"/>
      <c r="I2" s="432"/>
      <c r="J2" s="432"/>
      <c r="K2" s="432"/>
      <c r="L2" s="432"/>
      <c r="M2" s="432"/>
      <c r="N2" s="432"/>
    </row>
    <row r="3" spans="1:14" ht="15.6" x14ac:dyDescent="0.3">
      <c r="A3" s="471"/>
      <c r="B3" s="432"/>
      <c r="C3" s="432"/>
      <c r="D3" s="432"/>
      <c r="E3" s="472"/>
      <c r="F3" s="432"/>
      <c r="G3" s="432"/>
      <c r="H3" s="432"/>
      <c r="I3" s="432"/>
      <c r="J3" s="432"/>
      <c r="K3" s="432"/>
      <c r="L3" s="432"/>
      <c r="M3" s="432"/>
      <c r="N3" s="432"/>
    </row>
    <row r="4" spans="1:14" ht="15.6" x14ac:dyDescent="0.3">
      <c r="A4" s="427" t="s">
        <v>218</v>
      </c>
      <c r="B4" s="432"/>
      <c r="C4" s="432"/>
      <c r="D4" s="486" t="s">
        <v>4</v>
      </c>
      <c r="E4" s="486"/>
      <c r="F4" s="486" t="s">
        <v>1</v>
      </c>
      <c r="G4" s="471" t="s">
        <v>215</v>
      </c>
      <c r="H4" s="427" t="s">
        <v>219</v>
      </c>
      <c r="I4" s="432"/>
      <c r="J4" s="432"/>
      <c r="K4" s="486" t="s">
        <v>4</v>
      </c>
      <c r="L4" s="486"/>
      <c r="M4" s="486" t="s">
        <v>1</v>
      </c>
      <c r="N4" s="432" t="s">
        <v>215</v>
      </c>
    </row>
    <row r="5" spans="1:14" ht="15.6" x14ac:dyDescent="0.3">
      <c r="A5" s="432"/>
      <c r="B5" s="432"/>
      <c r="C5" s="432"/>
      <c r="D5" s="498" t="s">
        <v>215</v>
      </c>
      <c r="E5" s="486"/>
      <c r="F5" s="498" t="s">
        <v>3</v>
      </c>
      <c r="G5" s="432"/>
      <c r="H5" s="432"/>
      <c r="I5" s="432"/>
      <c r="J5" s="432"/>
      <c r="K5" s="498" t="s">
        <v>215</v>
      </c>
      <c r="L5" s="486"/>
      <c r="M5" s="498" t="s">
        <v>3</v>
      </c>
      <c r="N5" s="432"/>
    </row>
    <row r="6" spans="1:14" ht="15.6" x14ac:dyDescent="0.3">
      <c r="A6" s="471" t="s">
        <v>216</v>
      </c>
      <c r="B6" s="432"/>
      <c r="C6" s="432"/>
      <c r="D6" s="472"/>
      <c r="E6" s="472"/>
      <c r="F6" s="472"/>
      <c r="G6" s="432"/>
      <c r="H6" s="471" t="s">
        <v>216</v>
      </c>
      <c r="I6" s="432"/>
      <c r="J6" s="432"/>
      <c r="K6" s="472"/>
      <c r="L6" s="432"/>
      <c r="M6" s="474"/>
      <c r="N6" s="432"/>
    </row>
    <row r="7" spans="1:14" x14ac:dyDescent="0.25">
      <c r="A7" s="432"/>
      <c r="B7" s="432" t="s">
        <v>186</v>
      </c>
      <c r="C7" s="432"/>
      <c r="D7" s="472" t="s">
        <v>5</v>
      </c>
      <c r="E7" s="472"/>
      <c r="F7" s="475">
        <v>243</v>
      </c>
      <c r="G7" s="432" t="s">
        <v>714</v>
      </c>
      <c r="H7" s="432"/>
      <c r="I7" s="432" t="s">
        <v>197</v>
      </c>
      <c r="J7" s="432"/>
      <c r="K7" s="472" t="s">
        <v>5</v>
      </c>
      <c r="L7" s="432"/>
      <c r="M7" s="475">
        <v>1005</v>
      </c>
      <c r="N7" s="432" t="s">
        <v>716</v>
      </c>
    </row>
    <row r="8" spans="1:14" ht="16.8" x14ac:dyDescent="0.4">
      <c r="A8" s="432"/>
      <c r="B8" s="432" t="s">
        <v>188</v>
      </c>
      <c r="C8" s="432"/>
      <c r="D8" s="472" t="s">
        <v>5</v>
      </c>
      <c r="E8" s="472"/>
      <c r="F8" s="476">
        <v>704</v>
      </c>
      <c r="G8" s="432" t="s">
        <v>716</v>
      </c>
      <c r="H8" s="432"/>
      <c r="I8" s="432" t="s">
        <v>199</v>
      </c>
      <c r="J8" s="432"/>
      <c r="K8" s="472" t="s">
        <v>5</v>
      </c>
      <c r="L8" s="432"/>
      <c r="M8" s="871">
        <v>160</v>
      </c>
      <c r="N8" s="432" t="s">
        <v>714</v>
      </c>
    </row>
    <row r="9" spans="1:14" x14ac:dyDescent="0.25">
      <c r="A9" s="432"/>
      <c r="B9" s="432"/>
      <c r="C9" s="432"/>
      <c r="D9" s="472"/>
      <c r="E9" s="432"/>
      <c r="F9" s="477">
        <f>F7+F8</f>
        <v>947</v>
      </c>
      <c r="G9" s="432"/>
      <c r="H9" s="432"/>
      <c r="I9" s="432" t="s">
        <v>195</v>
      </c>
      <c r="J9" s="432"/>
      <c r="K9" s="472" t="s">
        <v>5</v>
      </c>
      <c r="L9" s="432"/>
      <c r="M9" s="475">
        <v>2532</v>
      </c>
      <c r="N9" s="432" t="s">
        <v>716</v>
      </c>
    </row>
    <row r="10" spans="1:14" ht="15.6" x14ac:dyDescent="0.3">
      <c r="A10" s="471" t="s">
        <v>217</v>
      </c>
      <c r="B10" s="432"/>
      <c r="C10" s="432"/>
      <c r="D10" s="472"/>
      <c r="E10" s="432"/>
      <c r="F10" s="474"/>
      <c r="G10" s="432"/>
      <c r="H10" s="432"/>
      <c r="I10" s="432" t="s">
        <v>200</v>
      </c>
      <c r="J10" s="432"/>
      <c r="K10" s="472" t="s">
        <v>5</v>
      </c>
      <c r="L10" s="432"/>
      <c r="M10" s="475">
        <v>90</v>
      </c>
      <c r="N10" s="432" t="s">
        <v>714</v>
      </c>
    </row>
    <row r="11" spans="1:14" ht="15.6" x14ac:dyDescent="0.3">
      <c r="A11" s="432"/>
      <c r="B11" s="432" t="s">
        <v>204</v>
      </c>
      <c r="C11" s="432"/>
      <c r="D11" s="472" t="s">
        <v>6</v>
      </c>
      <c r="E11" s="472"/>
      <c r="F11" s="871">
        <v>105</v>
      </c>
      <c r="G11" s="432" t="s">
        <v>715</v>
      </c>
      <c r="H11" s="432"/>
      <c r="I11" s="432" t="s">
        <v>198</v>
      </c>
      <c r="J11" s="432"/>
      <c r="K11" s="472" t="s">
        <v>5</v>
      </c>
      <c r="L11" s="432"/>
      <c r="M11" s="475">
        <v>560</v>
      </c>
      <c r="N11" s="432" t="s">
        <v>716</v>
      </c>
    </row>
    <row r="12" spans="1:14" ht="15.6" x14ac:dyDescent="0.3">
      <c r="A12" s="432"/>
      <c r="B12" s="432" t="s">
        <v>205</v>
      </c>
      <c r="C12" s="432"/>
      <c r="D12" s="472" t="s">
        <v>6</v>
      </c>
      <c r="E12" s="472"/>
      <c r="F12" s="871">
        <v>564</v>
      </c>
      <c r="G12" s="432" t="s">
        <v>715</v>
      </c>
      <c r="H12" s="432"/>
      <c r="I12" s="432" t="s">
        <v>201</v>
      </c>
      <c r="J12" s="432"/>
      <c r="K12" s="472" t="s">
        <v>5</v>
      </c>
      <c r="L12" s="432"/>
      <c r="M12" s="475">
        <v>262</v>
      </c>
      <c r="N12" s="432" t="s">
        <v>716</v>
      </c>
    </row>
    <row r="13" spans="1:14" ht="15.6" x14ac:dyDescent="0.3">
      <c r="A13" s="432"/>
      <c r="B13" s="432" t="s">
        <v>207</v>
      </c>
      <c r="C13" s="432"/>
      <c r="D13" s="472" t="s">
        <v>208</v>
      </c>
      <c r="E13" s="472"/>
      <c r="F13" s="871">
        <v>122</v>
      </c>
      <c r="G13" s="432" t="s">
        <v>715</v>
      </c>
      <c r="H13" s="432"/>
      <c r="I13" s="432" t="s">
        <v>196</v>
      </c>
      <c r="J13" s="432"/>
      <c r="K13" s="472" t="s">
        <v>5</v>
      </c>
      <c r="L13" s="432"/>
      <c r="M13" s="478">
        <v>668</v>
      </c>
      <c r="N13" s="432" t="s">
        <v>716</v>
      </c>
    </row>
    <row r="14" spans="1:14" ht="19.2" x14ac:dyDescent="0.6">
      <c r="A14" s="432"/>
      <c r="B14" s="432" t="s">
        <v>209</v>
      </c>
      <c r="C14" s="432"/>
      <c r="D14" s="472" t="s">
        <v>208</v>
      </c>
      <c r="E14" s="472"/>
      <c r="F14" s="872">
        <v>245</v>
      </c>
      <c r="G14" s="432" t="s">
        <v>715</v>
      </c>
      <c r="H14" s="432"/>
      <c r="I14" s="432"/>
      <c r="J14" s="432"/>
      <c r="K14" s="472"/>
      <c r="L14" s="432"/>
      <c r="M14" s="474">
        <f>SUM(M7:M13)</f>
        <v>5277</v>
      </c>
      <c r="N14" s="432"/>
    </row>
    <row r="15" spans="1:14" ht="15.6" x14ac:dyDescent="0.3">
      <c r="A15" s="432"/>
      <c r="B15" s="432"/>
      <c r="C15" s="432"/>
      <c r="D15" s="472"/>
      <c r="E15" s="472"/>
      <c r="F15" s="479">
        <f>SUM(F11:F14)</f>
        <v>1036</v>
      </c>
      <c r="G15" s="432"/>
      <c r="H15" s="471" t="s">
        <v>217</v>
      </c>
      <c r="I15" s="432"/>
      <c r="J15" s="432"/>
      <c r="K15" s="472"/>
      <c r="L15" s="472"/>
      <c r="M15" s="475"/>
      <c r="N15" s="432"/>
    </row>
    <row r="16" spans="1:14" ht="15.6" x14ac:dyDescent="0.3">
      <c r="A16" s="471" t="s">
        <v>7</v>
      </c>
      <c r="B16" s="432"/>
      <c r="C16" s="713" t="s">
        <v>654</v>
      </c>
      <c r="D16" s="432"/>
      <c r="E16" s="432"/>
      <c r="F16" s="432"/>
      <c r="G16" s="432"/>
      <c r="H16" s="432"/>
      <c r="I16" s="432" t="s">
        <v>206</v>
      </c>
      <c r="J16" s="432"/>
      <c r="K16" s="472" t="s">
        <v>6</v>
      </c>
      <c r="L16" s="472"/>
      <c r="M16" s="873">
        <v>120</v>
      </c>
      <c r="N16" s="432" t="s">
        <v>715</v>
      </c>
    </row>
    <row r="17" spans="1:15" ht="15.6" x14ac:dyDescent="0.3">
      <c r="A17" s="432"/>
      <c r="B17" s="432" t="s">
        <v>192</v>
      </c>
      <c r="C17" s="480">
        <v>0.4</v>
      </c>
      <c r="D17" s="472" t="s">
        <v>5</v>
      </c>
      <c r="E17" s="432"/>
      <c r="F17" s="475">
        <v>312</v>
      </c>
      <c r="G17" s="432" t="s">
        <v>716</v>
      </c>
      <c r="H17" s="432"/>
      <c r="I17" s="432" t="s">
        <v>212</v>
      </c>
      <c r="J17" s="432"/>
      <c r="K17" s="472" t="s">
        <v>208</v>
      </c>
      <c r="L17" s="472"/>
      <c r="M17" s="873">
        <v>11</v>
      </c>
      <c r="N17" s="432" t="s">
        <v>715</v>
      </c>
    </row>
    <row r="18" spans="1:15" ht="15.6" x14ac:dyDescent="0.3">
      <c r="A18" s="432"/>
      <c r="B18" s="432" t="s">
        <v>194</v>
      </c>
      <c r="C18" s="480">
        <v>0.69</v>
      </c>
      <c r="D18" s="472" t="s">
        <v>5</v>
      </c>
      <c r="E18" s="432"/>
      <c r="F18" s="475">
        <v>414</v>
      </c>
      <c r="G18" s="432" t="s">
        <v>716</v>
      </c>
      <c r="H18" s="432"/>
      <c r="I18" s="432" t="s">
        <v>210</v>
      </c>
      <c r="J18" s="432"/>
      <c r="K18" s="472" t="s">
        <v>208</v>
      </c>
      <c r="L18" s="472"/>
      <c r="M18" s="873">
        <v>98</v>
      </c>
      <c r="N18" s="432" t="s">
        <v>715</v>
      </c>
    </row>
    <row r="19" spans="1:15" ht="15.6" x14ac:dyDescent="0.3">
      <c r="A19" s="432"/>
      <c r="B19" s="432" t="s">
        <v>190</v>
      </c>
      <c r="C19" s="480">
        <v>0.39</v>
      </c>
      <c r="D19" s="472" t="s">
        <v>5</v>
      </c>
      <c r="E19" s="432"/>
      <c r="F19" s="475">
        <v>913</v>
      </c>
      <c r="G19" s="432" t="s">
        <v>716</v>
      </c>
      <c r="H19" s="432"/>
      <c r="I19" s="432" t="s">
        <v>211</v>
      </c>
      <c r="J19" s="432"/>
      <c r="K19" s="472" t="s">
        <v>208</v>
      </c>
      <c r="L19" s="472"/>
      <c r="M19" s="873">
        <v>104</v>
      </c>
      <c r="N19" s="432" t="s">
        <v>715</v>
      </c>
    </row>
    <row r="20" spans="1:15" ht="15.6" x14ac:dyDescent="0.3">
      <c r="A20" s="432"/>
      <c r="B20" s="432" t="s">
        <v>191</v>
      </c>
      <c r="C20" s="480">
        <v>0.33</v>
      </c>
      <c r="D20" s="472" t="s">
        <v>5</v>
      </c>
      <c r="E20" s="432"/>
      <c r="F20" s="475">
        <v>198</v>
      </c>
      <c r="G20" s="432" t="s">
        <v>716</v>
      </c>
      <c r="H20" s="432"/>
      <c r="I20" s="432" t="s">
        <v>213</v>
      </c>
      <c r="J20" s="432"/>
      <c r="K20" s="472" t="s">
        <v>208</v>
      </c>
      <c r="L20" s="472"/>
      <c r="M20" s="874">
        <v>8</v>
      </c>
      <c r="N20" s="432" t="s">
        <v>715</v>
      </c>
    </row>
    <row r="21" spans="1:15" x14ac:dyDescent="0.25">
      <c r="A21" s="432"/>
      <c r="B21" s="432" t="s">
        <v>187</v>
      </c>
      <c r="C21" s="480">
        <v>0.64</v>
      </c>
      <c r="D21" s="472" t="s">
        <v>5</v>
      </c>
      <c r="E21" s="432"/>
      <c r="F21" s="475">
        <v>640</v>
      </c>
      <c r="G21" s="432" t="s">
        <v>716</v>
      </c>
      <c r="H21" s="432"/>
      <c r="I21" s="432"/>
      <c r="J21" s="432"/>
      <c r="K21" s="472"/>
      <c r="L21" s="472"/>
      <c r="M21" s="474">
        <f>SUM(M16:M20)</f>
        <v>341</v>
      </c>
      <c r="N21" s="432"/>
    </row>
    <row r="22" spans="1:15" ht="15.6" x14ac:dyDescent="0.3">
      <c r="A22" s="432"/>
      <c r="B22" s="432" t="s">
        <v>189</v>
      </c>
      <c r="C22" s="480">
        <v>0.375</v>
      </c>
      <c r="D22" s="472" t="s">
        <v>5</v>
      </c>
      <c r="E22" s="432"/>
      <c r="F22" s="475">
        <v>158</v>
      </c>
      <c r="G22" s="432" t="s">
        <v>716</v>
      </c>
      <c r="H22" s="471" t="s">
        <v>8</v>
      </c>
      <c r="I22" s="432"/>
      <c r="J22" s="432"/>
      <c r="K22" s="472"/>
      <c r="L22" s="472"/>
      <c r="M22" s="474"/>
      <c r="N22" s="432"/>
    </row>
    <row r="23" spans="1:15" x14ac:dyDescent="0.25">
      <c r="A23" s="432"/>
      <c r="B23" s="432" t="s">
        <v>193</v>
      </c>
      <c r="C23" s="480">
        <v>0.46500000000000002</v>
      </c>
      <c r="D23" s="472" t="s">
        <v>5</v>
      </c>
      <c r="E23" s="432"/>
      <c r="F23" s="475">
        <v>605</v>
      </c>
      <c r="G23" s="432" t="s">
        <v>716</v>
      </c>
      <c r="H23" s="432"/>
      <c r="I23" s="432" t="s">
        <v>202</v>
      </c>
      <c r="J23" s="432"/>
      <c r="K23" s="472" t="s">
        <v>203</v>
      </c>
      <c r="L23" s="432"/>
      <c r="M23" s="474">
        <v>45</v>
      </c>
      <c r="N23" s="432" t="s">
        <v>716</v>
      </c>
    </row>
    <row r="24" spans="1:15" x14ac:dyDescent="0.25">
      <c r="A24" s="432"/>
      <c r="B24" s="432"/>
      <c r="C24" s="432"/>
      <c r="D24" s="432"/>
      <c r="E24" s="432"/>
      <c r="F24" s="432"/>
      <c r="G24" s="432"/>
      <c r="H24" s="432"/>
      <c r="I24" s="432"/>
      <c r="J24" s="432"/>
      <c r="K24" s="472"/>
      <c r="L24" s="472"/>
      <c r="M24" s="472"/>
      <c r="N24" s="432"/>
    </row>
    <row r="25" spans="1:15" ht="15.6" x14ac:dyDescent="0.3">
      <c r="A25" s="482"/>
      <c r="B25" s="432"/>
      <c r="G25" s="432"/>
      <c r="H25" s="471" t="s">
        <v>7</v>
      </c>
      <c r="I25" s="432"/>
      <c r="J25" s="473" t="s">
        <v>654</v>
      </c>
      <c r="K25" s="432"/>
      <c r="L25" s="473"/>
      <c r="M25" s="473"/>
    </row>
    <row r="26" spans="1:15" x14ac:dyDescent="0.25">
      <c r="A26" s="482"/>
      <c r="B26" s="432"/>
      <c r="G26" s="432"/>
      <c r="H26" s="432"/>
      <c r="I26" s="432" t="s">
        <v>666</v>
      </c>
      <c r="J26" s="483">
        <v>0.50049999999999994</v>
      </c>
      <c r="K26" s="472" t="s">
        <v>5</v>
      </c>
      <c r="L26" s="432"/>
      <c r="M26" s="475">
        <v>313</v>
      </c>
      <c r="N26" s="432" t="s">
        <v>716</v>
      </c>
    </row>
    <row r="27" spans="1:15" x14ac:dyDescent="0.25">
      <c r="A27" s="432"/>
      <c r="B27" s="432"/>
      <c r="G27" s="432"/>
      <c r="H27" s="432"/>
      <c r="I27" s="432"/>
      <c r="J27" s="432"/>
      <c r="K27" s="432"/>
      <c r="L27" s="432"/>
      <c r="M27" s="432"/>
      <c r="N27" s="432"/>
    </row>
    <row r="28" spans="1:15" ht="15.6" x14ac:dyDescent="0.3">
      <c r="A28" s="432"/>
      <c r="B28" s="432"/>
      <c r="C28" s="432"/>
      <c r="D28" s="471"/>
      <c r="E28" s="471"/>
      <c r="F28" s="484"/>
      <c r="G28" s="432"/>
      <c r="H28" s="432"/>
      <c r="I28" s="432"/>
      <c r="J28" s="472" t="s">
        <v>717</v>
      </c>
      <c r="K28" s="472" t="s">
        <v>5</v>
      </c>
      <c r="M28" s="477">
        <f>+SUM(F8,F17:F23,M7,M9,M11:M13,M23,M26)</f>
        <v>9329</v>
      </c>
    </row>
    <row r="29" spans="1:15" ht="15.6" x14ac:dyDescent="0.3">
      <c r="A29" s="432"/>
      <c r="B29" s="432"/>
      <c r="C29" s="432"/>
      <c r="D29" s="471"/>
      <c r="E29" s="471"/>
      <c r="F29" s="484"/>
      <c r="G29" s="432"/>
      <c r="H29" s="432"/>
      <c r="I29" s="432"/>
      <c r="J29" s="432"/>
      <c r="K29" s="472" t="s">
        <v>549</v>
      </c>
      <c r="M29" s="477">
        <v>0</v>
      </c>
    </row>
    <row r="30" spans="1:15" ht="16.8" x14ac:dyDescent="0.4">
      <c r="A30" s="432"/>
      <c r="B30" s="432"/>
      <c r="C30" s="432"/>
      <c r="D30" s="471"/>
      <c r="E30" s="471"/>
      <c r="F30" s="484"/>
      <c r="G30" s="432"/>
      <c r="H30" s="432"/>
      <c r="I30" s="432"/>
      <c r="J30" s="432"/>
      <c r="K30" s="472" t="s">
        <v>8</v>
      </c>
      <c r="L30" s="432"/>
      <c r="M30" s="870">
        <f>+M23</f>
        <v>45</v>
      </c>
    </row>
    <row r="31" spans="1:15" ht="15.6" x14ac:dyDescent="0.3">
      <c r="A31" s="432"/>
      <c r="B31" s="432"/>
      <c r="C31" s="432"/>
      <c r="D31" s="471"/>
      <c r="E31" s="471"/>
      <c r="F31" s="484"/>
      <c r="G31" s="432"/>
      <c r="H31" s="432"/>
      <c r="I31" s="432"/>
      <c r="J31" s="432"/>
      <c r="K31" s="486" t="s">
        <v>2</v>
      </c>
      <c r="M31" s="484">
        <f>+M29+M28+M30</f>
        <v>9374</v>
      </c>
      <c r="N31" s="432"/>
      <c r="O31" s="877">
        <f>M31+M35</f>
        <v>11244</v>
      </c>
    </row>
    <row r="32" spans="1:15" ht="15.6" x14ac:dyDescent="0.3">
      <c r="A32" s="432"/>
      <c r="B32" s="432"/>
      <c r="C32" s="432"/>
      <c r="D32" s="471"/>
      <c r="E32" s="471"/>
      <c r="F32" s="484"/>
      <c r="G32" s="432"/>
      <c r="H32" s="432"/>
      <c r="I32" s="432"/>
      <c r="J32" s="432" t="s">
        <v>721</v>
      </c>
      <c r="K32" s="432"/>
      <c r="L32" s="432"/>
      <c r="M32" s="432"/>
      <c r="N32" s="432"/>
    </row>
    <row r="33" spans="1:14" ht="15.6" x14ac:dyDescent="0.3">
      <c r="A33" s="432"/>
      <c r="B33" s="432"/>
      <c r="C33" s="432"/>
      <c r="D33" s="432"/>
      <c r="E33" s="432"/>
      <c r="F33" s="432"/>
      <c r="G33" s="432"/>
      <c r="H33" s="432"/>
      <c r="I33" s="427"/>
      <c r="J33" s="432"/>
      <c r="K33" s="472" t="s">
        <v>5</v>
      </c>
      <c r="L33" s="485"/>
      <c r="M33" s="477">
        <f>+SUM(F7, M8,M10)</f>
        <v>493</v>
      </c>
      <c r="N33" s="432"/>
    </row>
    <row r="34" spans="1:14" ht="16.8" x14ac:dyDescent="0.4">
      <c r="A34" s="432"/>
      <c r="B34" s="432"/>
      <c r="C34" s="432"/>
      <c r="D34" s="432"/>
      <c r="E34" s="432"/>
      <c r="F34" s="477"/>
      <c r="G34" s="432"/>
      <c r="H34" s="432"/>
      <c r="I34" s="432"/>
      <c r="J34" s="432"/>
      <c r="K34" s="472" t="s">
        <v>549</v>
      </c>
      <c r="L34" s="432"/>
      <c r="M34" s="870">
        <f>+SUM(F11:F14,M16:M20)</f>
        <v>1377</v>
      </c>
      <c r="N34" s="432"/>
    </row>
    <row r="35" spans="1:14" ht="15.6" x14ac:dyDescent="0.3">
      <c r="A35" s="432"/>
      <c r="B35" s="432"/>
      <c r="C35" s="432"/>
      <c r="D35" s="432"/>
      <c r="E35" s="432"/>
      <c r="F35" s="477"/>
      <c r="G35" s="432"/>
      <c r="H35" s="432"/>
      <c r="I35" s="432"/>
      <c r="J35" s="432"/>
      <c r="K35" s="486" t="s">
        <v>2</v>
      </c>
      <c r="L35" s="471"/>
      <c r="M35" s="484">
        <f>+SUM(M33:M34)</f>
        <v>1870</v>
      </c>
      <c r="N35" s="432"/>
    </row>
    <row r="36" spans="1:14" ht="15.6" x14ac:dyDescent="0.3">
      <c r="A36" s="432"/>
      <c r="B36" s="432"/>
      <c r="C36" s="432"/>
      <c r="D36" s="471"/>
      <c r="E36" s="432"/>
      <c r="F36" s="432"/>
      <c r="G36" s="432"/>
      <c r="H36" s="432"/>
      <c r="I36" s="432"/>
      <c r="J36" s="432"/>
      <c r="N36" s="432"/>
    </row>
    <row r="37" spans="1:14" x14ac:dyDescent="0.25">
      <c r="A37" s="432"/>
      <c r="B37" s="432"/>
      <c r="C37" s="432"/>
      <c r="D37" s="432"/>
      <c r="E37" s="432"/>
      <c r="F37" s="432"/>
      <c r="G37" s="432"/>
      <c r="H37" s="432"/>
      <c r="I37" s="432"/>
      <c r="L37" s="432"/>
      <c r="M37" s="432"/>
      <c r="N37" s="432"/>
    </row>
    <row r="38" spans="1:14" ht="15.6" x14ac:dyDescent="0.3">
      <c r="A38" s="471" t="s">
        <v>220</v>
      </c>
      <c r="C38" s="487" t="s">
        <v>21</v>
      </c>
      <c r="D38" s="482"/>
      <c r="E38" s="482"/>
      <c r="F38" s="482"/>
      <c r="I38" s="432"/>
    </row>
    <row r="39" spans="1:14" x14ac:dyDescent="0.25">
      <c r="C39" s="432"/>
      <c r="D39" s="482"/>
      <c r="E39" s="482"/>
      <c r="F39" s="482"/>
      <c r="G39" s="432"/>
      <c r="H39" s="432"/>
      <c r="I39" s="432"/>
    </row>
    <row r="40" spans="1:14" x14ac:dyDescent="0.25">
      <c r="C40" s="482" t="s">
        <v>180</v>
      </c>
      <c r="D40" s="482"/>
      <c r="E40" s="482"/>
      <c r="F40" s="482"/>
      <c r="G40" s="432"/>
      <c r="H40" s="432"/>
      <c r="I40" s="488" t="s">
        <v>224</v>
      </c>
    </row>
    <row r="41" spans="1:14" x14ac:dyDescent="0.25">
      <c r="C41" s="482" t="s">
        <v>177</v>
      </c>
      <c r="D41" s="482"/>
      <c r="E41" s="482"/>
      <c r="F41" s="482"/>
      <c r="G41" s="489" t="s">
        <v>222</v>
      </c>
      <c r="H41" s="488" t="s">
        <v>223</v>
      </c>
      <c r="I41" s="490" t="s">
        <v>244</v>
      </c>
    </row>
    <row r="42" spans="1:14" ht="16.8" x14ac:dyDescent="0.4">
      <c r="C42" s="491" t="s">
        <v>241</v>
      </c>
      <c r="D42" s="482"/>
      <c r="E42" s="482"/>
      <c r="F42" s="482"/>
      <c r="G42" s="945" t="s">
        <v>225</v>
      </c>
      <c r="H42" s="946"/>
      <c r="I42" s="475">
        <v>21518202</v>
      </c>
    </row>
    <row r="43" spans="1:14" x14ac:dyDescent="0.25">
      <c r="C43" s="482" t="s">
        <v>221</v>
      </c>
      <c r="D43" s="482"/>
      <c r="E43" s="482"/>
      <c r="F43" s="482"/>
      <c r="G43" s="474">
        <v>1788</v>
      </c>
      <c r="H43" s="492">
        <v>17551</v>
      </c>
      <c r="I43" s="475">
        <v>28484659</v>
      </c>
    </row>
    <row r="44" spans="1:14" ht="16.8" x14ac:dyDescent="0.4">
      <c r="C44" s="427"/>
      <c r="D44" s="432"/>
      <c r="E44" s="432"/>
      <c r="F44" s="432"/>
      <c r="G44" s="474">
        <v>5268</v>
      </c>
      <c r="H44" s="493">
        <v>19919</v>
      </c>
      <c r="I44" s="476">
        <v>1094548</v>
      </c>
    </row>
    <row r="45" spans="1:14" ht="16.8" x14ac:dyDescent="0.4">
      <c r="C45" s="494" t="s">
        <v>183</v>
      </c>
      <c r="D45" s="432"/>
      <c r="E45" s="432"/>
      <c r="F45" s="432"/>
      <c r="G45" s="495">
        <v>105</v>
      </c>
      <c r="H45" s="496">
        <v>2529</v>
      </c>
      <c r="I45" s="474">
        <f>SUM(I42:I44)</f>
        <v>51097409</v>
      </c>
    </row>
    <row r="46" spans="1:14" x14ac:dyDescent="0.25">
      <c r="C46" s="482" t="s">
        <v>180</v>
      </c>
      <c r="D46" s="432"/>
      <c r="E46" s="432"/>
      <c r="F46" s="432"/>
      <c r="G46" s="474">
        <f>SUM(G43:G45)</f>
        <v>7161</v>
      </c>
      <c r="H46" s="493">
        <f>SUM(H43:H45)</f>
        <v>39999</v>
      </c>
      <c r="I46" s="497"/>
    </row>
    <row r="47" spans="1:14" ht="16.8" x14ac:dyDescent="0.4">
      <c r="C47" s="491" t="s">
        <v>241</v>
      </c>
      <c r="D47" s="432"/>
      <c r="E47" s="432"/>
      <c r="F47" s="432"/>
      <c r="G47" s="477"/>
      <c r="H47" s="477"/>
      <c r="I47" s="472"/>
    </row>
    <row r="48" spans="1:14" x14ac:dyDescent="0.25">
      <c r="C48" s="482" t="s">
        <v>185</v>
      </c>
      <c r="D48" s="432"/>
      <c r="E48" s="432"/>
      <c r="F48" s="432"/>
      <c r="G48" s="432"/>
      <c r="H48" s="473"/>
      <c r="I48" s="472"/>
    </row>
    <row r="49" spans="1:9" x14ac:dyDescent="0.25">
      <c r="C49" s="482"/>
      <c r="D49" s="432"/>
      <c r="E49" s="432"/>
      <c r="F49" s="432"/>
      <c r="G49" s="432"/>
      <c r="H49" s="474">
        <v>5836</v>
      </c>
      <c r="I49" s="472"/>
    </row>
    <row r="50" spans="1:9" ht="16.8" x14ac:dyDescent="0.4">
      <c r="G50" s="432"/>
      <c r="H50" s="495">
        <v>1331</v>
      </c>
      <c r="I50" s="472"/>
    </row>
    <row r="51" spans="1:9" x14ac:dyDescent="0.25">
      <c r="G51" s="432"/>
      <c r="H51" s="474">
        <f>SUM(H49:H50)</f>
        <v>7167</v>
      </c>
      <c r="I51" s="472"/>
    </row>
    <row r="52" spans="1:9" x14ac:dyDescent="0.25">
      <c r="G52" s="432"/>
      <c r="H52" s="432"/>
    </row>
    <row r="53" spans="1:9" ht="15.6" x14ac:dyDescent="0.3">
      <c r="A53" s="468" t="s">
        <v>0</v>
      </c>
    </row>
    <row r="54" spans="1:9" x14ac:dyDescent="0.25">
      <c r="A54" s="88">
        <v>1</v>
      </c>
      <c r="B54" s="88" t="s">
        <v>231</v>
      </c>
    </row>
    <row r="55" spans="1:9" s="2" customFormat="1" ht="15.6" x14ac:dyDescent="0.3">
      <c r="A55" s="88">
        <v>2</v>
      </c>
      <c r="B55" s="88" t="s">
        <v>242</v>
      </c>
    </row>
    <row r="56" spans="1:9" x14ac:dyDescent="0.25">
      <c r="A56" s="88">
        <v>3</v>
      </c>
      <c r="B56" s="88" t="s">
        <v>233</v>
      </c>
    </row>
    <row r="57" spans="1:9" x14ac:dyDescent="0.25">
      <c r="A57" s="88">
        <v>4</v>
      </c>
      <c r="B57" s="469" t="s">
        <v>232</v>
      </c>
    </row>
    <row r="58" spans="1:9" x14ac:dyDescent="0.25">
      <c r="A58" s="88">
        <v>5</v>
      </c>
      <c r="B58" s="88" t="s">
        <v>243</v>
      </c>
    </row>
    <row r="59" spans="1:9" x14ac:dyDescent="0.25">
      <c r="A59" s="88">
        <v>6</v>
      </c>
      <c r="B59" s="88" t="s">
        <v>234</v>
      </c>
      <c r="E59" s="470"/>
    </row>
    <row r="60" spans="1:9" x14ac:dyDescent="0.25">
      <c r="A60" s="88">
        <v>7</v>
      </c>
      <c r="B60" s="88" t="s">
        <v>235</v>
      </c>
      <c r="E60" s="470"/>
    </row>
    <row r="61" spans="1:9" x14ac:dyDescent="0.25">
      <c r="A61" s="88">
        <v>8</v>
      </c>
      <c r="B61" s="88" t="s">
        <v>236</v>
      </c>
      <c r="E61" s="470"/>
    </row>
    <row r="62" spans="1:9" x14ac:dyDescent="0.25">
      <c r="A62" s="88">
        <v>9</v>
      </c>
      <c r="B62" s="88" t="s">
        <v>237</v>
      </c>
      <c r="E62" s="470"/>
    </row>
    <row r="63" spans="1:9" x14ac:dyDescent="0.25">
      <c r="E63" s="470"/>
    </row>
  </sheetData>
  <mergeCells count="1">
    <mergeCell ref="G42:H42"/>
  </mergeCells>
  <pageMargins left="0.75" right="0.75" top="1" bottom="1" header="0.5" footer="0.5"/>
  <pageSetup scale="54" orientation="landscape" r:id="rId1"/>
  <headerFooter alignWithMargins="0">
    <oddFooter>Page &amp;P of 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5398"/>
  <sheetViews>
    <sheetView view="pageBreakPreview" zoomScale="60" zoomScaleNormal="75" workbookViewId="0">
      <selection activeCell="I33" sqref="I33 K33"/>
    </sheetView>
  </sheetViews>
  <sheetFormatPr defaultRowHeight="13.2" x14ac:dyDescent="0.25"/>
  <cols>
    <col min="1" max="1" width="12.6640625" customWidth="1"/>
    <col min="2" max="2" width="20" customWidth="1"/>
    <col min="3" max="3" width="6.109375" customWidth="1"/>
    <col min="4" max="4" width="12.33203125" bestFit="1" customWidth="1"/>
    <col min="5" max="5" width="12.6640625" customWidth="1"/>
    <col min="6" max="7" width="8.5546875" customWidth="1"/>
    <col min="8" max="8" width="9.109375" style="256" customWidth="1"/>
    <col min="9" max="9" width="13.44140625" customWidth="1"/>
    <col min="10" max="10" width="12.88671875" bestFit="1" customWidth="1"/>
    <col min="11" max="11" width="13.88671875" customWidth="1"/>
    <col min="13" max="13" width="10.88671875" bestFit="1" customWidth="1"/>
    <col min="15" max="15" width="10.88671875" bestFit="1" customWidth="1"/>
  </cols>
  <sheetData>
    <row r="1" spans="1:15" x14ac:dyDescent="0.25">
      <c r="H1"/>
    </row>
    <row r="2" spans="1:15" ht="16.8" x14ac:dyDescent="0.3">
      <c r="A2" s="209" t="s">
        <v>358</v>
      </c>
      <c r="H2"/>
    </row>
    <row r="3" spans="1:15" x14ac:dyDescent="0.25">
      <c r="H3"/>
    </row>
    <row r="4" spans="1:15" x14ac:dyDescent="0.25">
      <c r="A4" s="1" t="s">
        <v>359</v>
      </c>
      <c r="H4"/>
    </row>
    <row r="5" spans="1:15" x14ac:dyDescent="0.25">
      <c r="H5"/>
    </row>
    <row r="6" spans="1:15" ht="15.6" x14ac:dyDescent="0.3">
      <c r="B6" s="108" t="s">
        <v>354</v>
      </c>
      <c r="C6" s="68"/>
      <c r="D6" s="68"/>
      <c r="E6" s="257" t="s">
        <v>355</v>
      </c>
      <c r="F6" s="947" t="s">
        <v>126</v>
      </c>
      <c r="G6" s="947"/>
      <c r="H6" s="947"/>
      <c r="I6" s="947" t="s">
        <v>37</v>
      </c>
      <c r="J6" s="947"/>
      <c r="K6" s="947"/>
      <c r="L6" s="257"/>
      <c r="M6" s="947" t="s">
        <v>36</v>
      </c>
      <c r="N6" s="947"/>
      <c r="O6" s="947"/>
    </row>
    <row r="7" spans="1:15" x14ac:dyDescent="0.25">
      <c r="H7"/>
    </row>
    <row r="8" spans="1:15" ht="13.8" x14ac:dyDescent="0.25">
      <c r="B8" s="257" t="s">
        <v>24</v>
      </c>
      <c r="H8"/>
    </row>
    <row r="9" spans="1:15" x14ac:dyDescent="0.25">
      <c r="D9" s="288" t="s">
        <v>428</v>
      </c>
      <c r="E9" s="189">
        <f>'Corp I-S&amp;B-S'!$I$44</f>
        <v>1047.059</v>
      </c>
      <c r="F9" s="91">
        <v>6.5</v>
      </c>
      <c r="G9" s="355" t="s">
        <v>119</v>
      </c>
      <c r="H9" s="356">
        <v>7</v>
      </c>
      <c r="I9" s="189">
        <f>E9*F9</f>
        <v>6805.8834999999999</v>
      </c>
      <c r="J9" s="60" t="s">
        <v>119</v>
      </c>
      <c r="K9" s="189">
        <f>E9*H9</f>
        <v>7329.4129999999996</v>
      </c>
      <c r="M9" s="189">
        <f>I9-$J$23</f>
        <v>3256.2844999999998</v>
      </c>
      <c r="N9" s="73" t="s">
        <v>119</v>
      </c>
      <c r="O9" s="189">
        <f>K9-$J$23</f>
        <v>3779.8139999999994</v>
      </c>
    </row>
    <row r="10" spans="1:15" x14ac:dyDescent="0.25">
      <c r="D10" t="s">
        <v>135</v>
      </c>
      <c r="E10" s="354">
        <f>+'Corp I-S&amp;B-S'!J44</f>
        <v>1226.8630000000005</v>
      </c>
      <c r="F10" s="335">
        <v>5.7</v>
      </c>
      <c r="G10" s="355" t="s">
        <v>119</v>
      </c>
      <c r="H10" s="356">
        <v>6.5</v>
      </c>
      <c r="I10" s="189">
        <f>E10*F10</f>
        <v>6993.1191000000035</v>
      </c>
      <c r="J10" s="60" t="s">
        <v>119</v>
      </c>
      <c r="K10" s="189">
        <f>E10*H10</f>
        <v>7974.6095000000032</v>
      </c>
      <c r="M10" s="189">
        <f>I10-$J$23</f>
        <v>3443.5201000000034</v>
      </c>
      <c r="N10" s="73" t="s">
        <v>119</v>
      </c>
      <c r="O10" s="189">
        <f>K10-$J$23</f>
        <v>4425.010500000003</v>
      </c>
    </row>
    <row r="11" spans="1:15" x14ac:dyDescent="0.25">
      <c r="F11" s="102"/>
      <c r="G11" s="102"/>
      <c r="H11" s="357"/>
      <c r="J11" s="192"/>
    </row>
    <row r="12" spans="1:15" ht="13.8" x14ac:dyDescent="0.25">
      <c r="B12" s="257" t="s">
        <v>104</v>
      </c>
      <c r="F12" s="102"/>
      <c r="G12" s="102"/>
      <c r="H12" s="357"/>
      <c r="J12" s="192"/>
    </row>
    <row r="13" spans="1:15" x14ac:dyDescent="0.25">
      <c r="D13" s="288" t="s">
        <v>429</v>
      </c>
      <c r="E13" s="189">
        <f>'Corp I-S&amp;B-S'!$I$31</f>
        <v>403.64100000000002</v>
      </c>
      <c r="F13" s="91">
        <v>11</v>
      </c>
      <c r="G13" s="355" t="s">
        <v>119</v>
      </c>
      <c r="H13" s="356">
        <v>12</v>
      </c>
      <c r="I13" s="189">
        <f>M13+$J$23</f>
        <v>7989.6500000000005</v>
      </c>
      <c r="J13" s="210" t="s">
        <v>119</v>
      </c>
      <c r="K13" s="189">
        <f>O13+$J$23</f>
        <v>8393.2910000000011</v>
      </c>
      <c r="M13" s="189">
        <f>$E13*F13</f>
        <v>4440.0510000000004</v>
      </c>
      <c r="N13" s="73" t="s">
        <v>119</v>
      </c>
      <c r="O13" s="189">
        <f>$E13*H13</f>
        <v>4843.692</v>
      </c>
    </row>
    <row r="14" spans="1:15" x14ac:dyDescent="0.25">
      <c r="D14" s="288" t="s">
        <v>436</v>
      </c>
      <c r="E14" s="189">
        <f>'Corp I-S&amp;B-S'!$J$31</f>
        <v>414.37212000000068</v>
      </c>
      <c r="F14" s="91">
        <v>9.5</v>
      </c>
      <c r="G14" s="355" t="s">
        <v>119</v>
      </c>
      <c r="H14" s="356">
        <v>11</v>
      </c>
      <c r="I14" s="189">
        <f>M14+$J$23</f>
        <v>7486.1341400000065</v>
      </c>
      <c r="J14" s="210" t="s">
        <v>119</v>
      </c>
      <c r="K14" s="189">
        <f>O14+$J$23</f>
        <v>8107.6923200000074</v>
      </c>
      <c r="M14" s="189">
        <f>$E14*F14</f>
        <v>3936.5351400000063</v>
      </c>
      <c r="N14" s="73" t="s">
        <v>119</v>
      </c>
      <c r="O14" s="189">
        <f>$E14*H14</f>
        <v>4558.0933200000072</v>
      </c>
    </row>
    <row r="15" spans="1:15" x14ac:dyDescent="0.25">
      <c r="F15" s="102"/>
      <c r="G15" s="102"/>
      <c r="H15" s="357"/>
      <c r="J15" s="192"/>
    </row>
    <row r="16" spans="1:15" ht="16.8" x14ac:dyDescent="0.3">
      <c r="A16" s="209"/>
      <c r="F16" s="102"/>
      <c r="G16" s="102"/>
      <c r="H16" s="357"/>
      <c r="J16" s="192"/>
    </row>
    <row r="17" spans="2:15" ht="13.5" customHeight="1" x14ac:dyDescent="0.25">
      <c r="B17" s="257" t="s">
        <v>362</v>
      </c>
      <c r="E17" s="155">
        <f>'Corp I-S&amp;B-S'!N56</f>
        <v>2638.3670000000002</v>
      </c>
      <c r="F17" s="91">
        <f>'Comp Summary'!B11</f>
        <v>1.5</v>
      </c>
      <c r="G17" s="355" t="s">
        <v>119</v>
      </c>
      <c r="H17" s="356">
        <f>'Comp Summary'!D11</f>
        <v>2</v>
      </c>
      <c r="I17" s="155">
        <f>M17+$J$23</f>
        <v>7507.1495000000004</v>
      </c>
      <c r="J17" s="210" t="s">
        <v>119</v>
      </c>
      <c r="K17" s="155">
        <f>O17+$J$23</f>
        <v>8826.3330000000005</v>
      </c>
      <c r="M17" s="258">
        <f>$E17*F17</f>
        <v>3957.5505000000003</v>
      </c>
      <c r="N17" s="73" t="s">
        <v>119</v>
      </c>
      <c r="O17" s="258">
        <f>$E17*H17</f>
        <v>5276.7340000000004</v>
      </c>
    </row>
    <row r="18" spans="2:15" x14ac:dyDescent="0.25">
      <c r="J18" s="192"/>
    </row>
    <row r="19" spans="2:15" x14ac:dyDescent="0.25">
      <c r="G19" s="302" t="s">
        <v>426</v>
      </c>
      <c r="I19" s="303">
        <v>7400</v>
      </c>
      <c r="J19" s="304" t="s">
        <v>119</v>
      </c>
      <c r="K19" s="303">
        <v>8200</v>
      </c>
    </row>
    <row r="20" spans="2:15" x14ac:dyDescent="0.25">
      <c r="J20" s="192"/>
    </row>
    <row r="21" spans="2:15" x14ac:dyDescent="0.25">
      <c r="J21" s="192"/>
    </row>
    <row r="22" spans="2:15" x14ac:dyDescent="0.25">
      <c r="J22" s="192"/>
    </row>
    <row r="23" spans="2:15" ht="13.8" x14ac:dyDescent="0.25">
      <c r="D23" s="883"/>
      <c r="F23" s="306" t="s">
        <v>425</v>
      </c>
      <c r="J23" s="222">
        <f>'Corp I-S&amp;B-S'!$C$71</f>
        <v>3549.5990000000002</v>
      </c>
    </row>
    <row r="25" spans="2:15" x14ac:dyDescent="0.25">
      <c r="F25" s="61" t="s">
        <v>122</v>
      </c>
      <c r="G25" s="5"/>
      <c r="H25" s="5"/>
      <c r="I25" s="228">
        <f>I19-J23</f>
        <v>3850.4009999999998</v>
      </c>
      <c r="J25" s="60" t="s">
        <v>119</v>
      </c>
      <c r="K25" s="305">
        <f>K19-J23</f>
        <v>4650.4009999999998</v>
      </c>
    </row>
    <row r="26" spans="2:15" x14ac:dyDescent="0.25">
      <c r="F26" s="35"/>
      <c r="G26" s="5"/>
      <c r="H26" s="5"/>
      <c r="I26" s="5"/>
      <c r="J26" s="51"/>
      <c r="K26" s="51"/>
    </row>
    <row r="27" spans="2:15" x14ac:dyDescent="0.25">
      <c r="F27" s="5" t="s">
        <v>123</v>
      </c>
      <c r="G27" s="5"/>
      <c r="H27" s="5"/>
      <c r="I27" s="5"/>
      <c r="J27" s="214">
        <f>'Corp I-S&amp;B-S'!$H$38</f>
        <v>158.84399999999999</v>
      </c>
      <c r="K27" s="51"/>
    </row>
    <row r="28" spans="2:15" x14ac:dyDescent="0.25">
      <c r="F28" s="5"/>
      <c r="G28" s="5"/>
      <c r="H28" s="5"/>
      <c r="I28" s="15"/>
      <c r="J28" s="16"/>
      <c r="K28" s="15"/>
    </row>
    <row r="29" spans="2:15" ht="13.8" thickBot="1" x14ac:dyDescent="0.3">
      <c r="F29" s="5" t="s">
        <v>124</v>
      </c>
      <c r="G29" s="5"/>
      <c r="H29" s="5"/>
      <c r="I29" s="62">
        <f>I25/J27</f>
        <v>24.240141270680667</v>
      </c>
      <c r="J29" s="60" t="s">
        <v>119</v>
      </c>
      <c r="K29" s="62">
        <f>K25/J27</f>
        <v>29.276529173276927</v>
      </c>
    </row>
    <row r="30" spans="2:15" ht="13.8" thickTop="1" x14ac:dyDescent="0.25">
      <c r="F30" s="5"/>
      <c r="G30" s="5"/>
      <c r="H30" s="5"/>
      <c r="I30" s="15"/>
      <c r="J30" s="16"/>
      <c r="K30" s="15"/>
    </row>
    <row r="31" spans="2:15" x14ac:dyDescent="0.25">
      <c r="F31" s="5" t="s">
        <v>125</v>
      </c>
      <c r="G31" s="5"/>
      <c r="H31" s="324"/>
      <c r="J31" s="64">
        <f>+'Corp I-S&amp;B-S'!D54</f>
        <v>21.4375</v>
      </c>
      <c r="K31" s="64"/>
    </row>
    <row r="32" spans="2:15" x14ac:dyDescent="0.25">
      <c r="F32" s="5"/>
      <c r="G32" s="5"/>
      <c r="H32" s="5"/>
      <c r="I32" s="15"/>
      <c r="J32" s="16"/>
      <c r="K32" s="15"/>
    </row>
    <row r="33" spans="4:11" ht="13.8" thickBot="1" x14ac:dyDescent="0.3">
      <c r="F33" s="5" t="s">
        <v>529</v>
      </c>
      <c r="G33" s="5"/>
      <c r="H33" s="324"/>
      <c r="I33" s="310">
        <f>-(J31-I29)/J31</f>
        <v>0.13073545285973956</v>
      </c>
      <c r="J33" s="60" t="s">
        <v>119</v>
      </c>
      <c r="K33" s="310">
        <f>-(J31-K29)/J31</f>
        <v>0.36566899933653302</v>
      </c>
    </row>
    <row r="34" spans="4:11" ht="13.8" thickTop="1" x14ac:dyDescent="0.25">
      <c r="F34" s="5"/>
      <c r="G34" s="5"/>
      <c r="H34" s="5"/>
      <c r="I34" s="65"/>
      <c r="J34" s="60"/>
      <c r="K34" s="65"/>
    </row>
    <row r="36" spans="4:11" x14ac:dyDescent="0.25">
      <c r="D36" t="s">
        <v>431</v>
      </c>
    </row>
    <row r="37" spans="4:11" x14ac:dyDescent="0.25">
      <c r="D37" t="s">
        <v>430</v>
      </c>
      <c r="H37"/>
    </row>
    <row r="65398" spans="10:10" x14ac:dyDescent="0.25">
      <c r="J65398" s="73"/>
    </row>
  </sheetData>
  <mergeCells count="3">
    <mergeCell ref="M6:O6"/>
    <mergeCell ref="I6:K6"/>
    <mergeCell ref="F6:H6"/>
  </mergeCells>
  <pageMargins left="0.75" right="0.75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view="pageBreakPreview" zoomScale="60" zoomScaleNormal="75" workbookViewId="0">
      <selection activeCell="J58" sqref="J58"/>
    </sheetView>
  </sheetViews>
  <sheetFormatPr defaultRowHeight="13.2" x14ac:dyDescent="0.25"/>
  <cols>
    <col min="2" max="2" width="20" customWidth="1"/>
    <col min="4" max="4" width="12.109375" customWidth="1"/>
    <col min="5" max="5" width="10.5546875" bestFit="1" customWidth="1"/>
    <col min="9" max="9" width="13.44140625" bestFit="1" customWidth="1"/>
    <col min="10" max="10" width="10.44140625" bestFit="1" customWidth="1"/>
    <col min="11" max="11" width="11.109375" bestFit="1" customWidth="1"/>
    <col min="13" max="13" width="10.109375" bestFit="1" customWidth="1"/>
    <col min="15" max="15" width="10.5546875" bestFit="1" customWidth="1"/>
  </cols>
  <sheetData>
    <row r="1" spans="1:15" ht="16.8" x14ac:dyDescent="0.3">
      <c r="A1" s="209" t="s">
        <v>783</v>
      </c>
    </row>
    <row r="2" spans="1:15" x14ac:dyDescent="0.25">
      <c r="A2" t="s">
        <v>477</v>
      </c>
    </row>
    <row r="3" spans="1:15" x14ac:dyDescent="0.25">
      <c r="A3" s="1" t="s">
        <v>359</v>
      </c>
    </row>
    <row r="5" spans="1:15" ht="15.6" x14ac:dyDescent="0.3">
      <c r="B5" s="108" t="s">
        <v>354</v>
      </c>
      <c r="C5" s="68"/>
      <c r="D5" s="68"/>
      <c r="E5" s="257" t="s">
        <v>355</v>
      </c>
      <c r="F5" s="947" t="s">
        <v>126</v>
      </c>
      <c r="G5" s="947"/>
      <c r="H5" s="947"/>
      <c r="I5" s="947" t="s">
        <v>37</v>
      </c>
      <c r="J5" s="947"/>
      <c r="K5" s="947"/>
      <c r="L5" s="257"/>
      <c r="M5" s="947" t="s">
        <v>36</v>
      </c>
      <c r="N5" s="947"/>
      <c r="O5" s="947"/>
    </row>
    <row r="7" spans="1:15" ht="13.8" x14ac:dyDescent="0.25">
      <c r="B7" s="257" t="s">
        <v>24</v>
      </c>
    </row>
    <row r="8" spans="1:15" x14ac:dyDescent="0.25">
      <c r="D8" s="288" t="s">
        <v>432</v>
      </c>
      <c r="E8" s="155">
        <f>'Corp I-S&amp;B-S'!$H$44</f>
        <v>1068.81</v>
      </c>
      <c r="F8" s="91">
        <v>8</v>
      </c>
      <c r="G8" s="355" t="s">
        <v>119</v>
      </c>
      <c r="H8" s="356">
        <v>9</v>
      </c>
      <c r="I8" s="155">
        <f>E8*F8</f>
        <v>8550.48</v>
      </c>
      <c r="J8" s="258" t="s">
        <v>119</v>
      </c>
      <c r="K8" s="155">
        <f>E8*H8</f>
        <v>9619.2899999999991</v>
      </c>
      <c r="M8" s="155">
        <f>I8-'Corporate Comparable Trading'!$J$23</f>
        <v>5000.8809999999994</v>
      </c>
      <c r="N8" s="301" t="s">
        <v>119</v>
      </c>
      <c r="O8" s="155">
        <f>K8-'Corporate Comparable Trading'!$J$23</f>
        <v>6069.6909999999989</v>
      </c>
    </row>
    <row r="9" spans="1:15" x14ac:dyDescent="0.25">
      <c r="F9" s="102"/>
      <c r="G9" s="102"/>
      <c r="H9" s="357"/>
      <c r="I9" s="201"/>
      <c r="J9" s="192"/>
      <c r="K9" s="201"/>
    </row>
    <row r="10" spans="1:15" x14ac:dyDescent="0.25">
      <c r="F10" s="102"/>
      <c r="G10" s="102"/>
      <c r="H10" s="357"/>
      <c r="J10" s="192"/>
    </row>
    <row r="11" spans="1:15" ht="13.8" x14ac:dyDescent="0.25">
      <c r="B11" s="257" t="s">
        <v>104</v>
      </c>
      <c r="F11" s="102"/>
      <c r="G11" s="102"/>
      <c r="H11" s="357"/>
      <c r="J11" s="192"/>
    </row>
    <row r="12" spans="1:15" x14ac:dyDescent="0.25">
      <c r="D12" s="288" t="s">
        <v>432</v>
      </c>
      <c r="E12" s="155">
        <f>'Corp I-S&amp;B-S'!$H$31</f>
        <v>379.26499999999959</v>
      </c>
      <c r="F12" s="91">
        <v>17</v>
      </c>
      <c r="G12" s="355" t="s">
        <v>119</v>
      </c>
      <c r="H12" s="356">
        <v>18</v>
      </c>
      <c r="I12" s="155">
        <f>M12+$J$23</f>
        <v>9997.1039999999921</v>
      </c>
      <c r="J12" s="301" t="s">
        <v>119</v>
      </c>
      <c r="K12" s="155">
        <f>O12+$J$23</f>
        <v>10376.368999999992</v>
      </c>
      <c r="M12" s="258">
        <f>$E12*F12</f>
        <v>6447.5049999999928</v>
      </c>
      <c r="N12" s="73" t="s">
        <v>119</v>
      </c>
      <c r="O12" s="258">
        <f>$E12*H12</f>
        <v>6826.7699999999923</v>
      </c>
    </row>
    <row r="13" spans="1:15" x14ac:dyDescent="0.25">
      <c r="D13" s="288" t="s">
        <v>434</v>
      </c>
      <c r="E13" s="189">
        <f>'Corp I-S&amp;B-S'!$I$31</f>
        <v>403.64100000000002</v>
      </c>
      <c r="F13" s="91">
        <v>17</v>
      </c>
      <c r="G13" s="355" t="s">
        <v>119</v>
      </c>
      <c r="H13" s="356">
        <v>18</v>
      </c>
      <c r="I13" s="189">
        <f>M13+'Corporate Comparable Trading'!$J$23</f>
        <v>10411.495999999999</v>
      </c>
      <c r="J13" s="210" t="s">
        <v>119</v>
      </c>
      <c r="K13" s="155">
        <f>O13+$J$23</f>
        <v>10815.137000000001</v>
      </c>
      <c r="M13" s="189">
        <f>$E13*F13</f>
        <v>6861.8969999999999</v>
      </c>
      <c r="N13" s="73" t="s">
        <v>119</v>
      </c>
      <c r="O13" s="189">
        <f>$E13*H13</f>
        <v>7265.5380000000005</v>
      </c>
    </row>
    <row r="14" spans="1:15" x14ac:dyDescent="0.25">
      <c r="D14" s="288" t="s">
        <v>435</v>
      </c>
      <c r="E14" s="189">
        <f>'Corp I-S&amp;B-S'!$J$31</f>
        <v>414.37212000000068</v>
      </c>
      <c r="F14" s="91">
        <v>16.5</v>
      </c>
      <c r="G14" s="355" t="s">
        <v>119</v>
      </c>
      <c r="H14" s="356">
        <v>17.5</v>
      </c>
      <c r="I14" s="189">
        <f>M14+'Corporate Comparable Trading'!$J$23</f>
        <v>10386.738980000011</v>
      </c>
      <c r="J14" s="210" t="s">
        <v>119</v>
      </c>
      <c r="K14" s="155">
        <f>O14+$J$23</f>
        <v>10801.111100000013</v>
      </c>
      <c r="M14" s="189">
        <f>$E14*F14</f>
        <v>6837.1399800000108</v>
      </c>
      <c r="N14" s="73" t="s">
        <v>119</v>
      </c>
      <c r="O14" s="189">
        <f>$E14*H14</f>
        <v>7251.5121000000117</v>
      </c>
    </row>
    <row r="15" spans="1:15" x14ac:dyDescent="0.25">
      <c r="H15" s="256"/>
      <c r="J15" s="192"/>
    </row>
    <row r="16" spans="1:15" ht="16.8" x14ac:dyDescent="0.3">
      <c r="A16" s="209"/>
      <c r="H16" s="256"/>
      <c r="J16" s="192"/>
    </row>
    <row r="17" spans="2:15" ht="13.8" x14ac:dyDescent="0.25">
      <c r="B17" s="257" t="s">
        <v>362</v>
      </c>
      <c r="E17" s="155">
        <f>'Corp I-S&amp;B-S'!N56</f>
        <v>2638.3670000000002</v>
      </c>
      <c r="F17" s="46">
        <f>'Comp Summary'!G11</f>
        <v>2</v>
      </c>
      <c r="G17" s="73" t="s">
        <v>119</v>
      </c>
      <c r="H17" s="89">
        <f>'Comp Summary'!I11</f>
        <v>2.5</v>
      </c>
      <c r="I17" s="155">
        <f>M17+$J$23</f>
        <v>8826.3330000000005</v>
      </c>
      <c r="J17" s="210" t="s">
        <v>119</v>
      </c>
      <c r="K17" s="155">
        <f>O17+$J$23</f>
        <v>10145.516500000002</v>
      </c>
      <c r="M17" s="258">
        <f>$E17*F17</f>
        <v>5276.7340000000004</v>
      </c>
      <c r="N17" s="73" t="s">
        <v>119</v>
      </c>
      <c r="O17" s="258">
        <f>$E17*H17</f>
        <v>6595.9175000000005</v>
      </c>
    </row>
    <row r="18" spans="2:15" x14ac:dyDescent="0.25">
      <c r="H18" s="256"/>
      <c r="J18" s="192"/>
    </row>
    <row r="19" spans="2:15" x14ac:dyDescent="0.25">
      <c r="G19" s="302" t="s">
        <v>426</v>
      </c>
      <c r="H19" s="256"/>
      <c r="I19" s="303">
        <v>9000</v>
      </c>
      <c r="J19" s="304" t="s">
        <v>119</v>
      </c>
      <c r="K19" s="303">
        <v>10250</v>
      </c>
    </row>
    <row r="20" spans="2:15" x14ac:dyDescent="0.25">
      <c r="H20" s="256"/>
      <c r="J20" s="192"/>
    </row>
    <row r="21" spans="2:15" x14ac:dyDescent="0.25">
      <c r="H21" s="256"/>
      <c r="J21" s="192"/>
    </row>
    <row r="22" spans="2:15" x14ac:dyDescent="0.25">
      <c r="H22" s="256"/>
      <c r="J22" s="192"/>
    </row>
    <row r="23" spans="2:15" ht="13.8" x14ac:dyDescent="0.25">
      <c r="F23" s="306" t="s">
        <v>425</v>
      </c>
      <c r="H23" s="256"/>
      <c r="J23" s="222">
        <f>'Corp I-S&amp;B-S'!$C$71</f>
        <v>3549.5990000000002</v>
      </c>
    </row>
    <row r="24" spans="2:15" x14ac:dyDescent="0.25">
      <c r="H24" s="256"/>
    </row>
    <row r="25" spans="2:15" x14ac:dyDescent="0.25">
      <c r="F25" s="61" t="s">
        <v>122</v>
      </c>
      <c r="G25" s="5"/>
      <c r="H25" s="5"/>
      <c r="I25" s="228">
        <f>I19-J23</f>
        <v>5450.4009999999998</v>
      </c>
      <c r="J25" s="60" t="s">
        <v>119</v>
      </c>
      <c r="K25" s="305">
        <f>K19-J23</f>
        <v>6700.4009999999998</v>
      </c>
    </row>
    <row r="26" spans="2:15" x14ac:dyDescent="0.25">
      <c r="F26" s="35"/>
      <c r="G26" s="5"/>
      <c r="H26" s="5"/>
      <c r="I26" s="5"/>
      <c r="J26" s="51"/>
      <c r="K26" s="51"/>
    </row>
    <row r="27" spans="2:15" x14ac:dyDescent="0.25">
      <c r="F27" s="5" t="s">
        <v>123</v>
      </c>
      <c r="G27" s="5"/>
      <c r="H27" s="5"/>
      <c r="I27" s="5"/>
      <c r="J27" s="214">
        <f>'Corp I-S&amp;B-S'!$H$38</f>
        <v>158.84399999999999</v>
      </c>
      <c r="K27" s="51"/>
    </row>
    <row r="28" spans="2:15" x14ac:dyDescent="0.25">
      <c r="F28" s="5"/>
      <c r="G28" s="5"/>
      <c r="H28" s="5"/>
      <c r="I28" s="15"/>
      <c r="J28" s="16"/>
      <c r="K28" s="15"/>
    </row>
    <row r="29" spans="2:15" ht="13.8" thickBot="1" x14ac:dyDescent="0.3">
      <c r="F29" s="5" t="s">
        <v>124</v>
      </c>
      <c r="G29" s="5"/>
      <c r="H29" s="5"/>
      <c r="I29" s="62">
        <f>I25/J27</f>
        <v>34.312917075873187</v>
      </c>
      <c r="J29" s="60" t="s">
        <v>119</v>
      </c>
      <c r="K29" s="62">
        <f>K25/J27</f>
        <v>42.182273173679839</v>
      </c>
    </row>
    <row r="30" spans="2:15" ht="13.8" thickTop="1" x14ac:dyDescent="0.25">
      <c r="F30" s="5"/>
      <c r="G30" s="5"/>
      <c r="H30" s="5"/>
      <c r="I30" s="15"/>
      <c r="J30" s="16"/>
      <c r="K30" s="15"/>
    </row>
    <row r="31" spans="2:15" x14ac:dyDescent="0.25">
      <c r="F31" s="5" t="s">
        <v>125</v>
      </c>
      <c r="G31" s="5"/>
      <c r="H31" s="63"/>
      <c r="J31" s="64">
        <f>+'Corp I-S&amp;B-S'!D54</f>
        <v>21.4375</v>
      </c>
      <c r="K31" s="64"/>
    </row>
    <row r="32" spans="2:15" x14ac:dyDescent="0.25">
      <c r="F32" s="5"/>
      <c r="G32" s="5"/>
      <c r="H32" s="5"/>
      <c r="I32" s="15"/>
      <c r="J32" s="16"/>
      <c r="K32" s="15"/>
    </row>
    <row r="33" spans="4:11" ht="13.8" thickBot="1" x14ac:dyDescent="0.3">
      <c r="F33" s="5" t="s">
        <v>529</v>
      </c>
      <c r="G33" s="5"/>
      <c r="H33" s="5"/>
      <c r="I33" s="310">
        <f>-(J31-I29)/J31</f>
        <v>0.6006025458133265</v>
      </c>
      <c r="J33" s="60" t="s">
        <v>119</v>
      </c>
      <c r="K33" s="310">
        <f>-(J31-K29)/J31</f>
        <v>0.96768621218331607</v>
      </c>
    </row>
    <row r="34" spans="4:11" ht="13.8" thickTop="1" x14ac:dyDescent="0.25">
      <c r="H34" s="256"/>
    </row>
    <row r="35" spans="4:11" x14ac:dyDescent="0.25">
      <c r="H35" s="256"/>
    </row>
    <row r="36" spans="4:11" x14ac:dyDescent="0.25">
      <c r="D36" t="s">
        <v>433</v>
      </c>
      <c r="H36" s="256"/>
    </row>
    <row r="37" spans="4:11" x14ac:dyDescent="0.25">
      <c r="D37" t="s">
        <v>430</v>
      </c>
      <c r="H37" s="256"/>
    </row>
  </sheetData>
  <mergeCells count="3">
    <mergeCell ref="F5:H5"/>
    <mergeCell ref="I5:K5"/>
    <mergeCell ref="M5:O5"/>
  </mergeCells>
  <pageMargins left="0.75" right="0.75" top="1" bottom="1" header="0.5" footer="0.5"/>
  <pageSetup scale="75" orientation="landscape" r:id="rId1"/>
  <headerFooter alignWithMargins="0">
    <oddFooter>Page &amp;P of 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56"/>
  <sheetViews>
    <sheetView view="pageBreakPreview" zoomScale="60" zoomScaleNormal="100" workbookViewId="0">
      <selection activeCell="K52" sqref="K52"/>
    </sheetView>
  </sheetViews>
  <sheetFormatPr defaultRowHeight="13.2" x14ac:dyDescent="0.25"/>
  <cols>
    <col min="2" max="2" width="20" customWidth="1"/>
  </cols>
  <sheetData>
    <row r="1" spans="1:1" ht="17.399999999999999" x14ac:dyDescent="0.3">
      <c r="A1" s="207" t="s">
        <v>440</v>
      </c>
    </row>
    <row r="38" spans="1:1" ht="17.399999999999999" x14ac:dyDescent="0.3">
      <c r="A38" s="207"/>
    </row>
    <row r="56" spans="1:1" ht="17.399999999999999" x14ac:dyDescent="0.3">
      <c r="A56" s="207"/>
    </row>
  </sheetData>
  <pageMargins left="0.25" right="0.25" top="0.5" bottom="0.5" header="0.5" footer="0.5"/>
  <pageSetup scale="81" orientation="landscape" r:id="rId1"/>
  <headerFooter alignWithMargins="0">
    <oddFooter>Page &amp;P of &amp;N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5361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129540</xdr:rowOff>
              </from>
              <to>
                <xdr:col>15</xdr:col>
                <xdr:colOff>518160</xdr:colOff>
                <xdr:row>43</xdr:row>
                <xdr:rowOff>45720</xdr:rowOff>
              </to>
            </anchor>
          </objectPr>
        </oleObject>
      </mc:Choice>
      <mc:Fallback>
        <oleObject progId="Word.Document.8" shapeId="15361" r:id="rId4"/>
      </mc:Fallback>
    </mc:AlternateContent>
  </oleObjec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>
    <pageSetUpPr fitToPage="1"/>
  </sheetPr>
  <dimension ref="A1:AA121"/>
  <sheetViews>
    <sheetView zoomScale="80" zoomScaleNormal="80" workbookViewId="0">
      <selection activeCell="I8" sqref="I8"/>
    </sheetView>
  </sheetViews>
  <sheetFormatPr defaultColWidth="9.109375" defaultRowHeight="13.2" x14ac:dyDescent="0.25"/>
  <cols>
    <col min="1" max="1" width="33.33203125" style="350" customWidth="1"/>
    <col min="2" max="2" width="24.109375" style="350" bestFit="1" customWidth="1"/>
    <col min="3" max="3" width="4.109375" style="350" customWidth="1"/>
    <col min="4" max="4" width="13" style="543" bestFit="1" customWidth="1"/>
    <col min="5" max="6" width="10.109375" style="350" bestFit="1" customWidth="1"/>
    <col min="7" max="7" width="9.109375" style="350"/>
    <col min="8" max="8" width="2.44140625" style="350" customWidth="1"/>
    <col min="9" max="9" width="11.109375" style="350" bestFit="1" customWidth="1"/>
    <col min="10" max="10" width="9.5546875" style="350" customWidth="1"/>
    <col min="11" max="11" width="10.44140625" style="350" customWidth="1"/>
    <col min="12" max="12" width="2.44140625" style="350" customWidth="1"/>
    <col min="13" max="13" width="12" style="350" bestFit="1" customWidth="1"/>
    <col min="14" max="14" width="9.109375" style="350"/>
    <col min="15" max="15" width="12" style="350" bestFit="1" customWidth="1"/>
    <col min="16" max="16" width="2.5546875" style="350" customWidth="1"/>
    <col min="17" max="17" width="11.33203125" style="350" bestFit="1" customWidth="1"/>
    <col min="18" max="18" width="9.109375" style="350"/>
    <col min="19" max="19" width="11.33203125" style="350" bestFit="1" customWidth="1"/>
    <col min="20" max="21" width="9.88671875" style="350" bestFit="1" customWidth="1"/>
    <col min="22" max="16384" width="9.109375" style="350"/>
  </cols>
  <sheetData>
    <row r="1" spans="1:20" ht="21" x14ac:dyDescent="0.4">
      <c r="A1" s="358" t="s">
        <v>776</v>
      </c>
      <c r="B1" s="358"/>
      <c r="C1" s="358"/>
      <c r="D1" s="52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</row>
    <row r="2" spans="1:20" ht="15.6" x14ac:dyDescent="0.3">
      <c r="A2" s="360" t="s">
        <v>530</v>
      </c>
      <c r="B2" s="360"/>
      <c r="C2" s="360"/>
      <c r="D2" s="530"/>
      <c r="E2" s="359"/>
      <c r="F2" s="359"/>
      <c r="G2" s="359"/>
      <c r="H2" s="359"/>
      <c r="I2" s="359"/>
      <c r="J2" s="428"/>
      <c r="K2" s="359"/>
      <c r="L2" s="359"/>
      <c r="M2" s="360"/>
      <c r="N2" s="361"/>
      <c r="O2" s="360"/>
      <c r="P2" s="359"/>
      <c r="Q2" s="359"/>
      <c r="R2" s="359"/>
      <c r="S2" s="359"/>
      <c r="T2" s="359"/>
    </row>
    <row r="3" spans="1:20" s="542" customFormat="1" x14ac:dyDescent="0.25">
      <c r="A3" s="362"/>
      <c r="B3" s="362"/>
      <c r="C3" s="362"/>
      <c r="D3" s="429"/>
      <c r="E3" s="362"/>
      <c r="F3" s="362"/>
      <c r="G3" s="362"/>
      <c r="H3" s="362"/>
      <c r="I3" s="362"/>
      <c r="J3" s="361" t="s">
        <v>45</v>
      </c>
      <c r="K3" s="362"/>
      <c r="L3" s="362"/>
      <c r="M3" s="949" t="s">
        <v>800</v>
      </c>
      <c r="N3" s="949"/>
      <c r="O3" s="949"/>
      <c r="P3" s="362"/>
      <c r="Q3" s="362"/>
      <c r="R3" s="428" t="s">
        <v>684</v>
      </c>
      <c r="S3" s="362"/>
      <c r="T3" s="362"/>
    </row>
    <row r="4" spans="1:20" s="542" customFormat="1" ht="13.8" x14ac:dyDescent="0.25">
      <c r="A4" s="499"/>
      <c r="B4" s="536" t="s">
        <v>779</v>
      </c>
      <c r="C4" s="536"/>
      <c r="D4" s="536" t="s">
        <v>801</v>
      </c>
      <c r="E4" s="948" t="s">
        <v>126</v>
      </c>
      <c r="F4" s="948"/>
      <c r="G4" s="948"/>
      <c r="H4" s="499"/>
      <c r="I4" s="948" t="s">
        <v>128</v>
      </c>
      <c r="J4" s="948"/>
      <c r="K4" s="948"/>
      <c r="L4" s="499"/>
      <c r="M4" s="948" t="s">
        <v>128</v>
      </c>
      <c r="N4" s="948"/>
      <c r="O4" s="948"/>
      <c r="P4" s="499"/>
      <c r="Q4" s="362"/>
      <c r="R4" s="536" t="s">
        <v>531</v>
      </c>
      <c r="S4" s="591"/>
      <c r="T4" s="591"/>
    </row>
    <row r="5" spans="1:20" ht="13.8" x14ac:dyDescent="0.25">
      <c r="A5" s="465"/>
      <c r="B5" s="465"/>
      <c r="C5" s="465"/>
      <c r="D5" s="466"/>
      <c r="E5" s="465"/>
      <c r="F5" s="465"/>
      <c r="G5" s="465"/>
      <c r="H5" s="465"/>
      <c r="I5" s="465"/>
      <c r="J5" s="465"/>
      <c r="K5" s="465"/>
      <c r="L5" s="465"/>
      <c r="M5" s="465"/>
      <c r="N5" s="465"/>
      <c r="O5" s="465"/>
      <c r="P5" s="465"/>
      <c r="Q5" s="359"/>
      <c r="R5" s="359"/>
      <c r="S5" s="359"/>
      <c r="T5" s="359"/>
    </row>
    <row r="6" spans="1:20" ht="13.8" x14ac:dyDescent="0.25">
      <c r="A6" s="465"/>
      <c r="B6" s="500"/>
      <c r="C6" s="500"/>
      <c r="D6" s="531"/>
      <c r="E6" s="465"/>
      <c r="F6" s="465"/>
      <c r="G6" s="465"/>
      <c r="H6" s="465"/>
      <c r="I6" s="465"/>
      <c r="J6" s="465"/>
      <c r="K6" s="465"/>
      <c r="L6" s="465"/>
      <c r="M6" s="465"/>
      <c r="N6" s="465"/>
      <c r="O6" s="465"/>
      <c r="P6" s="465"/>
      <c r="Q6" s="359"/>
      <c r="R6" s="359"/>
      <c r="S6" s="359"/>
      <c r="T6" s="359"/>
    </row>
    <row r="7" spans="1:20" s="406" customFormat="1" ht="16.2" x14ac:dyDescent="0.25">
      <c r="A7" s="465" t="s">
        <v>178</v>
      </c>
      <c r="B7" s="502" t="s">
        <v>777</v>
      </c>
      <c r="C7" s="776" t="s">
        <v>780</v>
      </c>
      <c r="D7" s="532">
        <f>'Segment Fin Proj'!P111</f>
        <v>673.0565562640968</v>
      </c>
      <c r="E7" s="503">
        <v>5.5</v>
      </c>
      <c r="F7" s="504" t="s">
        <v>532</v>
      </c>
      <c r="G7" s="503">
        <v>6.5</v>
      </c>
      <c r="H7" s="464"/>
      <c r="I7" s="505">
        <f>$D7*E7</f>
        <v>3701.8110594525324</v>
      </c>
      <c r="J7" s="506" t="s">
        <v>532</v>
      </c>
      <c r="K7" s="505">
        <f>$D7*G7</f>
        <v>4374.8676157166292</v>
      </c>
      <c r="L7" s="464"/>
      <c r="M7" s="539">
        <v>3500</v>
      </c>
      <c r="N7" s="506" t="s">
        <v>532</v>
      </c>
      <c r="O7" s="539">
        <v>4400</v>
      </c>
      <c r="P7" s="464"/>
      <c r="Q7" s="540">
        <f>+AVERAGE(M7:M8)</f>
        <v>2889.0508443226108</v>
      </c>
      <c r="R7" s="364"/>
      <c r="S7" s="540">
        <f>+AVERAGE(O7:O8)</f>
        <v>3518.9009776367075</v>
      </c>
      <c r="T7" s="364"/>
    </row>
    <row r="8" spans="1:20" ht="16.2" x14ac:dyDescent="0.25">
      <c r="A8" s="465"/>
      <c r="B8" s="466" t="s">
        <v>778</v>
      </c>
      <c r="C8" s="776" t="s">
        <v>780</v>
      </c>
      <c r="D8" s="533">
        <f>+'Segment Fin Proj'!P142</f>
        <v>239.80017775212858</v>
      </c>
      <c r="E8" s="503">
        <v>9.5</v>
      </c>
      <c r="F8" s="504" t="s">
        <v>532</v>
      </c>
      <c r="G8" s="503">
        <v>11</v>
      </c>
      <c r="H8" s="465"/>
      <c r="I8" s="465"/>
      <c r="J8" s="465"/>
      <c r="K8" s="465"/>
      <c r="L8" s="465"/>
      <c r="M8" s="501">
        <f>$D8*E8</f>
        <v>2278.1016886452217</v>
      </c>
      <c r="N8" s="506" t="s">
        <v>532</v>
      </c>
      <c r="O8" s="501">
        <f>$D8*G8</f>
        <v>2637.8019552734145</v>
      </c>
      <c r="P8" s="465"/>
      <c r="Q8" s="359"/>
      <c r="R8" s="359"/>
      <c r="S8" s="359"/>
      <c r="T8" s="359"/>
    </row>
    <row r="9" spans="1:20" ht="13.8" x14ac:dyDescent="0.25">
      <c r="A9" s="465"/>
      <c r="B9" s="466"/>
      <c r="C9" s="466"/>
      <c r="D9" s="533"/>
      <c r="E9" s="503"/>
      <c r="F9" s="465"/>
      <c r="G9" s="503"/>
      <c r="H9" s="465"/>
      <c r="I9" s="465"/>
      <c r="J9" s="539"/>
      <c r="K9" s="465"/>
      <c r="L9" s="465"/>
      <c r="M9" s="465"/>
      <c r="N9" s="465"/>
      <c r="O9" s="465"/>
      <c r="P9" s="465"/>
      <c r="Q9" s="359"/>
      <c r="R9" s="359"/>
      <c r="S9" s="359"/>
      <c r="T9" s="359"/>
    </row>
    <row r="10" spans="1:20" ht="13.8" x14ac:dyDescent="0.25">
      <c r="A10" s="465"/>
      <c r="B10" s="466"/>
      <c r="C10" s="466"/>
      <c r="D10" s="533"/>
      <c r="E10" s="503"/>
      <c r="F10" s="465"/>
      <c r="G10" s="503"/>
      <c r="H10" s="465"/>
      <c r="I10" s="465"/>
      <c r="J10" s="539"/>
      <c r="K10" s="465"/>
      <c r="L10" s="465"/>
      <c r="M10" s="465"/>
      <c r="N10" s="465"/>
      <c r="O10" s="465"/>
      <c r="P10" s="465"/>
      <c r="Q10" s="359"/>
      <c r="R10" s="359"/>
      <c r="S10" s="359"/>
      <c r="T10" s="359"/>
    </row>
    <row r="11" spans="1:20" ht="16.2" x14ac:dyDescent="0.25">
      <c r="A11" s="509" t="s">
        <v>176</v>
      </c>
      <c r="B11" s="502" t="s">
        <v>777</v>
      </c>
      <c r="C11" s="776" t="s">
        <v>780</v>
      </c>
      <c r="D11" s="590">
        <f>'Segment Fin Proj'!P112</f>
        <v>101.72876486385822</v>
      </c>
      <c r="E11" s="503">
        <v>7</v>
      </c>
      <c r="F11" s="504" t="s">
        <v>532</v>
      </c>
      <c r="G11" s="503">
        <v>8</v>
      </c>
      <c r="H11" s="465"/>
      <c r="I11" s="501">
        <f>E11*$D11</f>
        <v>712.10135404700748</v>
      </c>
      <c r="J11" s="506" t="s">
        <v>532</v>
      </c>
      <c r="K11" s="501">
        <f>G11*$D11</f>
        <v>813.83011891086574</v>
      </c>
      <c r="L11" s="465"/>
      <c r="M11" s="538" t="e">
        <f>+I11-'Sum of Parts-Slide'!#REF!</f>
        <v>#REF!</v>
      </c>
      <c r="N11" s="506" t="s">
        <v>532</v>
      </c>
      <c r="O11" s="538" t="e">
        <f>+K11-'Sum of Parts-Slide'!#REF!</f>
        <v>#REF!</v>
      </c>
      <c r="P11" s="465"/>
      <c r="Q11" s="540" t="e">
        <f>+AVERAGE(M11:M12)</f>
        <v>#REF!</v>
      </c>
      <c r="R11" s="359"/>
      <c r="S11" s="540" t="e">
        <f>+AVERAGE(O11:O12)</f>
        <v>#REF!</v>
      </c>
      <c r="T11" s="359"/>
    </row>
    <row r="12" spans="1:20" ht="16.2" x14ac:dyDescent="0.25">
      <c r="A12" s="509"/>
      <c r="B12" s="466" t="s">
        <v>778</v>
      </c>
      <c r="C12" s="776" t="s">
        <v>780</v>
      </c>
      <c r="D12" s="533">
        <f>+'Segment Fin Proj'!P143</f>
        <v>50.415878444693945</v>
      </c>
      <c r="E12" s="503">
        <v>11</v>
      </c>
      <c r="F12" s="504" t="s">
        <v>532</v>
      </c>
      <c r="G12" s="503">
        <v>13</v>
      </c>
      <c r="H12" s="465"/>
      <c r="I12" s="507"/>
      <c r="J12" s="506"/>
      <c r="K12" s="507"/>
      <c r="L12" s="465"/>
      <c r="M12" s="501">
        <f>E12*$D12</f>
        <v>554.57466289163335</v>
      </c>
      <c r="N12" s="506" t="s">
        <v>532</v>
      </c>
      <c r="O12" s="501">
        <f>G12*$D12</f>
        <v>655.40641978102133</v>
      </c>
      <c r="P12" s="465"/>
      <c r="Q12" s="359"/>
      <c r="R12" s="359"/>
      <c r="S12" s="359"/>
      <c r="T12" s="359"/>
    </row>
    <row r="13" spans="1:20" ht="13.8" x14ac:dyDescent="0.25">
      <c r="A13" s="509"/>
      <c r="B13" s="466"/>
      <c r="C13" s="466"/>
      <c r="D13" s="533"/>
      <c r="E13" s="503"/>
      <c r="F13" s="504"/>
      <c r="G13" s="503"/>
      <c r="H13" s="465"/>
      <c r="I13" s="465"/>
      <c r="J13" s="539"/>
      <c r="K13" s="507"/>
      <c r="L13" s="465"/>
      <c r="M13" s="507"/>
      <c r="N13" s="506"/>
      <c r="O13" s="507"/>
      <c r="P13" s="465"/>
      <c r="Q13" s="359"/>
      <c r="R13" s="359"/>
      <c r="S13" s="359"/>
      <c r="T13" s="359"/>
    </row>
    <row r="14" spans="1:20" ht="13.8" x14ac:dyDescent="0.25">
      <c r="A14" s="509"/>
      <c r="B14" s="466"/>
      <c r="C14" s="466"/>
      <c r="D14" s="533"/>
      <c r="E14" s="503"/>
      <c r="F14" s="504"/>
      <c r="G14" s="503"/>
      <c r="H14" s="465"/>
      <c r="I14" s="465"/>
      <c r="J14" s="539"/>
      <c r="K14" s="507"/>
      <c r="L14" s="465"/>
      <c r="M14" s="507"/>
      <c r="N14" s="506"/>
      <c r="O14" s="507"/>
      <c r="P14" s="465"/>
      <c r="Q14" s="359"/>
      <c r="R14" s="359"/>
      <c r="S14" s="359"/>
      <c r="T14" s="359"/>
    </row>
    <row r="15" spans="1:20" ht="16.2" x14ac:dyDescent="0.25">
      <c r="A15" s="465" t="s">
        <v>177</v>
      </c>
      <c r="B15" s="502" t="s">
        <v>777</v>
      </c>
      <c r="C15" s="776" t="s">
        <v>780</v>
      </c>
      <c r="D15" s="533">
        <f>+'Segment Fin Proj'!AA111</f>
        <v>447.23454329361164</v>
      </c>
      <c r="E15" s="503">
        <v>5.5</v>
      </c>
      <c r="F15" s="504" t="s">
        <v>532</v>
      </c>
      <c r="G15" s="503">
        <v>6.5</v>
      </c>
      <c r="H15" s="465"/>
      <c r="I15" s="501">
        <f>E15*$D15</f>
        <v>2459.7899881148642</v>
      </c>
      <c r="J15" s="506" t="s">
        <v>532</v>
      </c>
      <c r="K15" s="501">
        <f>G15*$D15</f>
        <v>2907.0245314084755</v>
      </c>
      <c r="L15" s="465"/>
      <c r="M15" s="538" t="e">
        <f>+I15-'Sum of Parts-Slide'!#REF!-'Sum of Parts-Slide'!$K$9</f>
        <v>#REF!</v>
      </c>
      <c r="N15" s="506" t="s">
        <v>532</v>
      </c>
      <c r="O15" s="538" t="e">
        <f>+K15-'Sum of Parts-Slide'!#REF!+'Sum of Parts-Slide'!$K$9</f>
        <v>#REF!</v>
      </c>
      <c r="P15" s="465"/>
      <c r="Q15" s="540" t="e">
        <f>+AVERAGE(M15:M16)</f>
        <v>#REF!</v>
      </c>
      <c r="R15" s="359"/>
      <c r="S15" s="540" t="e">
        <f>+AVERAGE(O15:O16)</f>
        <v>#REF!</v>
      </c>
      <c r="T15" s="359"/>
    </row>
    <row r="16" spans="1:20" ht="16.2" x14ac:dyDescent="0.25">
      <c r="A16" s="465"/>
      <c r="B16" s="466" t="s">
        <v>778</v>
      </c>
      <c r="C16" s="776" t="s">
        <v>780</v>
      </c>
      <c r="D16" s="533">
        <f>+'Segment Fin Proj'!AA142</f>
        <v>147.85112814369762</v>
      </c>
      <c r="E16" s="503">
        <v>9.5</v>
      </c>
      <c r="F16" s="504" t="s">
        <v>532</v>
      </c>
      <c r="G16" s="503">
        <v>11</v>
      </c>
      <c r="H16" s="465"/>
      <c r="I16" s="465"/>
      <c r="J16" s="465"/>
      <c r="K16" s="465"/>
      <c r="L16" s="465"/>
      <c r="M16" s="501">
        <f>E16*$D16</f>
        <v>1404.5857173651275</v>
      </c>
      <c r="N16" s="506" t="s">
        <v>532</v>
      </c>
      <c r="O16" s="501">
        <f>G16*$D16</f>
        <v>1626.3624095806738</v>
      </c>
      <c r="P16" s="465"/>
      <c r="Q16" s="359"/>
      <c r="R16" s="359"/>
      <c r="S16" s="359"/>
      <c r="T16" s="359"/>
    </row>
    <row r="17" spans="1:20" ht="13.8" x14ac:dyDescent="0.25">
      <c r="A17" s="465"/>
      <c r="B17" s="466"/>
      <c r="C17" s="466"/>
      <c r="D17" s="533"/>
      <c r="E17" s="510"/>
      <c r="F17" s="465"/>
      <c r="G17" s="503"/>
      <c r="H17" s="465"/>
      <c r="I17" s="465"/>
      <c r="J17" s="539"/>
      <c r="K17" s="465"/>
      <c r="L17" s="465"/>
      <c r="M17" s="465"/>
      <c r="N17" s="465"/>
      <c r="O17" s="465"/>
      <c r="P17" s="465"/>
      <c r="Q17" s="359"/>
      <c r="R17" s="359"/>
      <c r="S17" s="359"/>
      <c r="T17" s="359"/>
    </row>
    <row r="18" spans="1:20" ht="13.8" x14ac:dyDescent="0.25">
      <c r="A18" s="465"/>
      <c r="B18" s="466"/>
      <c r="C18" s="466"/>
      <c r="D18" s="533"/>
      <c r="E18" s="510"/>
      <c r="F18" s="465"/>
      <c r="G18" s="503"/>
      <c r="H18" s="465"/>
      <c r="I18" s="465"/>
      <c r="J18" s="539"/>
      <c r="K18" s="465"/>
      <c r="L18" s="465"/>
      <c r="M18" s="465"/>
      <c r="N18" s="465"/>
      <c r="O18" s="465"/>
      <c r="P18" s="465"/>
      <c r="Q18" s="359"/>
      <c r="R18" s="359"/>
      <c r="S18" s="359"/>
      <c r="T18" s="359"/>
    </row>
    <row r="19" spans="1:20" ht="16.2" x14ac:dyDescent="0.25">
      <c r="A19" s="465" t="s">
        <v>535</v>
      </c>
      <c r="B19" s="502" t="s">
        <v>777</v>
      </c>
      <c r="C19" s="776" t="s">
        <v>780</v>
      </c>
      <c r="D19" s="533" t="s">
        <v>478</v>
      </c>
      <c r="E19" s="503">
        <v>7.5</v>
      </c>
      <c r="F19" s="504" t="s">
        <v>532</v>
      </c>
      <c r="G19" s="503">
        <v>8.5</v>
      </c>
      <c r="H19" s="465"/>
      <c r="I19" s="508" t="s">
        <v>478</v>
      </c>
      <c r="J19" s="506" t="s">
        <v>532</v>
      </c>
      <c r="K19" s="508" t="s">
        <v>478</v>
      </c>
      <c r="L19" s="465"/>
      <c r="M19" s="508" t="s">
        <v>478</v>
      </c>
      <c r="N19" s="506" t="s">
        <v>532</v>
      </c>
      <c r="O19" s="508" t="s">
        <v>478</v>
      </c>
      <c r="P19" s="465"/>
      <c r="Q19" s="540">
        <v>0</v>
      </c>
      <c r="R19" s="359"/>
      <c r="S19" s="540">
        <v>0</v>
      </c>
      <c r="T19" s="359"/>
    </row>
    <row r="20" spans="1:20" ht="16.2" x14ac:dyDescent="0.25">
      <c r="A20" s="465"/>
      <c r="B20" s="466" t="s">
        <v>778</v>
      </c>
      <c r="C20" s="776" t="s">
        <v>780</v>
      </c>
      <c r="D20" s="533" t="s">
        <v>478</v>
      </c>
      <c r="E20" s="503">
        <v>10</v>
      </c>
      <c r="F20" s="504" t="s">
        <v>532</v>
      </c>
      <c r="G20" s="503">
        <v>12</v>
      </c>
      <c r="H20" s="465"/>
      <c r="I20" s="465"/>
      <c r="J20" s="465"/>
      <c r="K20" s="465"/>
      <c r="L20" s="465"/>
      <c r="M20" s="359"/>
      <c r="N20" s="359"/>
      <c r="O20" s="359"/>
      <c r="P20" s="465"/>
      <c r="Q20" s="359"/>
      <c r="R20" s="359"/>
      <c r="S20" s="359"/>
      <c r="T20" s="359"/>
    </row>
    <row r="21" spans="1:20" ht="13.8" x14ac:dyDescent="0.25">
      <c r="A21" s="465"/>
      <c r="B21" s="466"/>
      <c r="C21" s="466"/>
      <c r="D21" s="533"/>
      <c r="E21" s="510"/>
      <c r="F21" s="465"/>
      <c r="G21" s="510"/>
      <c r="H21" s="465"/>
      <c r="I21" s="465"/>
      <c r="J21" s="465"/>
      <c r="K21" s="465"/>
      <c r="L21" s="465"/>
      <c r="M21" s="465"/>
      <c r="N21" s="465"/>
      <c r="O21" s="465"/>
      <c r="P21" s="465"/>
      <c r="Q21" s="359"/>
      <c r="R21" s="359"/>
      <c r="S21" s="359"/>
      <c r="T21" s="359"/>
    </row>
    <row r="22" spans="1:20" ht="13.8" x14ac:dyDescent="0.25">
      <c r="A22" s="464"/>
      <c r="B22" s="466"/>
      <c r="C22" s="466"/>
      <c r="D22" s="467"/>
      <c r="E22" s="510"/>
      <c r="F22" s="465"/>
      <c r="G22" s="510"/>
      <c r="H22" s="465"/>
      <c r="I22" s="465"/>
      <c r="J22" s="539"/>
      <c r="L22" s="465"/>
      <c r="M22" s="465"/>
      <c r="N22" s="465"/>
      <c r="O22" s="465"/>
      <c r="P22" s="465"/>
      <c r="Q22" s="359"/>
      <c r="R22" s="359"/>
      <c r="S22" s="359"/>
      <c r="T22" s="359"/>
    </row>
    <row r="23" spans="1:20" s="400" customFormat="1" ht="14.4" thickBot="1" x14ac:dyDescent="0.3">
      <c r="A23" s="511" t="s">
        <v>533</v>
      </c>
      <c r="B23" s="512"/>
      <c r="C23" s="512"/>
      <c r="D23" s="534"/>
      <c r="E23" s="512"/>
      <c r="F23" s="512"/>
      <c r="G23" s="503"/>
      <c r="H23" s="512"/>
      <c r="I23" s="541"/>
      <c r="J23" s="521"/>
      <c r="K23" s="541"/>
      <c r="L23" s="512"/>
      <c r="M23" s="541"/>
      <c r="N23" s="521"/>
      <c r="O23" s="541"/>
      <c r="P23" s="512"/>
      <c r="Q23" s="513" t="e">
        <f>SUM(Q7:Q21)</f>
        <v>#REF!</v>
      </c>
      <c r="R23" s="365"/>
      <c r="S23" s="513" t="e">
        <f>SUM(S7:S21)</f>
        <v>#REF!</v>
      </c>
      <c r="T23" s="365"/>
    </row>
    <row r="24" spans="1:20" ht="14.4" thickTop="1" x14ac:dyDescent="0.25">
      <c r="A24" s="465"/>
      <c r="B24" s="465"/>
      <c r="C24" s="465"/>
      <c r="D24" s="466"/>
      <c r="E24" s="465"/>
      <c r="F24" s="465"/>
      <c r="G24" s="465"/>
      <c r="H24" s="465"/>
      <c r="I24" s="465"/>
      <c r="J24" s="465"/>
      <c r="K24" s="465"/>
      <c r="L24" s="465"/>
      <c r="M24" s="465"/>
      <c r="N24" s="465"/>
      <c r="O24" s="465"/>
      <c r="P24" s="465"/>
      <c r="Q24" s="359"/>
      <c r="R24" s="359"/>
      <c r="S24" s="359"/>
      <c r="T24" s="359"/>
    </row>
    <row r="25" spans="1:20" ht="16.2" x14ac:dyDescent="0.25">
      <c r="A25" s="514"/>
      <c r="B25" s="515"/>
      <c r="C25" s="515"/>
      <c r="D25" s="466"/>
      <c r="E25" s="465"/>
      <c r="F25" s="465"/>
      <c r="G25" s="465"/>
      <c r="H25" s="465"/>
      <c r="I25" s="516"/>
      <c r="J25" s="517"/>
      <c r="K25" s="516"/>
      <c r="L25" s="465"/>
      <c r="M25" s="465"/>
      <c r="N25" s="512"/>
      <c r="O25" s="512"/>
      <c r="P25" s="512"/>
      <c r="Q25" s="365"/>
      <c r="R25" s="359"/>
      <c r="S25" s="359"/>
      <c r="T25" s="359"/>
    </row>
    <row r="26" spans="1:20" ht="16.2" x14ac:dyDescent="0.25">
      <c r="A26" s="514"/>
      <c r="B26" s="515"/>
      <c r="C26" s="515"/>
      <c r="D26" s="535"/>
      <c r="E26" s="465"/>
      <c r="F26" s="465"/>
      <c r="G26" s="465"/>
      <c r="H26" s="359"/>
      <c r="I26" s="359"/>
      <c r="J26" s="359"/>
      <c r="K26" s="464" t="s">
        <v>36</v>
      </c>
      <c r="L26" s="465"/>
      <c r="M26" s="519"/>
      <c r="N26" s="512"/>
      <c r="O26" s="520"/>
      <c r="P26" s="512"/>
      <c r="Q26" s="518" t="e">
        <f>+Q23</f>
        <v>#REF!</v>
      </c>
      <c r="R26" s="518"/>
      <c r="S26" s="518" t="e">
        <f>+S23</f>
        <v>#REF!</v>
      </c>
      <c r="T26" s="359"/>
    </row>
    <row r="27" spans="1:20" ht="13.8" x14ac:dyDescent="0.25">
      <c r="A27" s="465"/>
      <c r="B27" s="465"/>
      <c r="C27" s="465"/>
      <c r="D27" s="466"/>
      <c r="E27" s="465"/>
      <c r="F27" s="465"/>
      <c r="G27" s="465"/>
      <c r="H27" s="359"/>
      <c r="I27" s="359"/>
      <c r="J27" s="359"/>
      <c r="K27" s="465"/>
      <c r="L27" s="465"/>
      <c r="M27" s="465"/>
      <c r="N27" s="512"/>
      <c r="O27" s="512"/>
      <c r="P27" s="512"/>
      <c r="Q27" s="516"/>
      <c r="R27" s="517"/>
      <c r="S27" s="516"/>
      <c r="T27" s="359"/>
    </row>
    <row r="28" spans="1:20" ht="14.4" x14ac:dyDescent="0.3">
      <c r="A28" s="465"/>
      <c r="B28" s="465"/>
      <c r="C28" s="465"/>
      <c r="D28" s="466"/>
      <c r="E28" s="465"/>
      <c r="F28" s="465"/>
      <c r="G28" s="465"/>
      <c r="H28" s="359"/>
      <c r="I28" s="359"/>
      <c r="J28" s="359"/>
      <c r="K28" s="522" t="s">
        <v>249</v>
      </c>
      <c r="L28" s="465"/>
      <c r="M28" s="465"/>
      <c r="N28" s="465"/>
      <c r="O28" s="465"/>
      <c r="P28" s="465"/>
      <c r="Q28" s="523" t="e">
        <f>Q26/'Corp I-S&amp;B-S'!$I$38</f>
        <v>#REF!</v>
      </c>
      <c r="R28" s="524" t="s">
        <v>532</v>
      </c>
      <c r="S28" s="523" t="e">
        <f>S26/'Corp I-S&amp;B-S'!$I$38</f>
        <v>#REF!</v>
      </c>
      <c r="T28" s="359"/>
    </row>
    <row r="29" spans="1:20" ht="13.8" x14ac:dyDescent="0.25">
      <c r="A29" s="465"/>
      <c r="B29" s="465"/>
      <c r="C29" s="465"/>
      <c r="D29" s="466"/>
      <c r="E29" s="465"/>
      <c r="F29" s="465"/>
      <c r="G29" s="465"/>
      <c r="H29" s="359"/>
      <c r="I29" s="359"/>
      <c r="J29" s="359"/>
      <c r="K29" s="465"/>
      <c r="L29" s="465"/>
      <c r="M29" s="465"/>
      <c r="N29" s="465"/>
      <c r="O29" s="465"/>
      <c r="P29" s="465"/>
      <c r="Q29" s="465"/>
      <c r="R29" s="465"/>
      <c r="S29" s="465"/>
      <c r="T29" s="359"/>
    </row>
    <row r="30" spans="1:20" ht="13.8" x14ac:dyDescent="0.25">
      <c r="A30" s="465" t="s">
        <v>781</v>
      </c>
      <c r="B30" s="465"/>
      <c r="C30" s="465"/>
      <c r="D30" s="466"/>
      <c r="E30" s="465"/>
      <c r="F30" s="465"/>
      <c r="G30" s="465"/>
      <c r="H30" s="359"/>
      <c r="I30" s="359"/>
      <c r="J30" s="359"/>
      <c r="K30" s="525" t="s">
        <v>534</v>
      </c>
      <c r="L30" s="465"/>
      <c r="M30" s="465"/>
      <c r="N30" s="465"/>
      <c r="O30" s="465"/>
      <c r="P30" s="465"/>
      <c r="Q30" s="465"/>
      <c r="R30" s="526">
        <f>+'Corp I-S&amp;B-S'!D54</f>
        <v>21.4375</v>
      </c>
      <c r="S30" s="465"/>
      <c r="T30" s="359"/>
    </row>
    <row r="31" spans="1:20" ht="14.4" thickBot="1" x14ac:dyDescent="0.3">
      <c r="A31" s="465"/>
      <c r="B31" s="465"/>
      <c r="C31" s="465"/>
      <c r="D31" s="466"/>
      <c r="E31" s="465"/>
      <c r="F31" s="465"/>
      <c r="G31" s="465"/>
      <c r="H31" s="359"/>
      <c r="I31" s="359"/>
      <c r="J31" s="359"/>
      <c r="K31" s="465" t="s">
        <v>529</v>
      </c>
      <c r="L31" s="465"/>
      <c r="M31" s="465"/>
      <c r="N31" s="465"/>
      <c r="O31" s="465"/>
      <c r="P31" s="465"/>
      <c r="Q31" s="527" t="e">
        <f>+(Q28-R30)/R30</f>
        <v>#REF!</v>
      </c>
      <c r="R31" s="528" t="s">
        <v>119</v>
      </c>
      <c r="S31" s="527" t="e">
        <f>(S28-R30)/R30</f>
        <v>#REF!</v>
      </c>
      <c r="T31" s="359"/>
    </row>
    <row r="32" spans="1:20" ht="14.4" thickTop="1" x14ac:dyDescent="0.25">
      <c r="A32" s="545"/>
      <c r="B32" s="545"/>
      <c r="C32" s="545"/>
      <c r="D32" s="544"/>
      <c r="E32" s="545"/>
      <c r="F32" s="545"/>
      <c r="G32" s="545"/>
      <c r="H32" s="545"/>
      <c r="I32" s="545"/>
      <c r="J32" s="545"/>
      <c r="K32" s="545"/>
      <c r="L32" s="545"/>
      <c r="M32" s="545"/>
      <c r="N32" s="545"/>
      <c r="O32" s="545"/>
      <c r="P32" s="545"/>
    </row>
    <row r="33" spans="1:27" x14ac:dyDescent="0.25">
      <c r="H33" s="336"/>
      <c r="I33" s="336"/>
      <c r="J33" s="336"/>
      <c r="K33" s="336"/>
      <c r="L33" s="336"/>
      <c r="M33" s="336"/>
      <c r="N33" s="336"/>
    </row>
    <row r="34" spans="1:27" ht="15.6" x14ac:dyDescent="0.3">
      <c r="A34" s="546"/>
    </row>
    <row r="35" spans="1:27" x14ac:dyDescent="0.25">
      <c r="A35" s="406"/>
    </row>
    <row r="37" spans="1:27" x14ac:dyDescent="0.25">
      <c r="A37" s="547"/>
      <c r="B37" s="548"/>
      <c r="C37" s="548"/>
      <c r="D37" s="547"/>
      <c r="E37" s="547"/>
      <c r="F37" s="547"/>
      <c r="G37" s="547"/>
      <c r="H37" s="547"/>
      <c r="I37" s="549"/>
      <c r="J37" s="549"/>
      <c r="K37" s="549"/>
      <c r="L37" s="549"/>
      <c r="M37" s="547"/>
      <c r="N37" s="550"/>
      <c r="O37" s="550"/>
      <c r="P37" s="550"/>
      <c r="Q37" s="550"/>
      <c r="R37" s="550"/>
      <c r="S37" s="550"/>
      <c r="T37" s="549"/>
      <c r="U37" s="549"/>
      <c r="V37" s="550"/>
      <c r="W37" s="550"/>
      <c r="X37" s="543"/>
      <c r="Y37" s="543"/>
      <c r="Z37" s="543"/>
      <c r="AA37" s="543"/>
    </row>
    <row r="38" spans="1:27" x14ac:dyDescent="0.25">
      <c r="A38" s="551"/>
      <c r="B38" s="551"/>
      <c r="C38" s="551"/>
      <c r="D38" s="551"/>
      <c r="E38" s="551"/>
      <c r="F38" s="551"/>
      <c r="G38" s="551"/>
      <c r="H38" s="551"/>
      <c r="I38" s="552"/>
      <c r="J38" s="552"/>
      <c r="K38" s="552"/>
      <c r="L38" s="552"/>
      <c r="M38" s="552"/>
      <c r="N38" s="552"/>
      <c r="O38" s="552"/>
      <c r="P38" s="552"/>
      <c r="Q38" s="552"/>
      <c r="R38" s="552"/>
      <c r="S38" s="552"/>
      <c r="T38" s="552"/>
      <c r="U38" s="552"/>
      <c r="V38" s="552"/>
      <c r="W38" s="552"/>
      <c r="X38" s="553"/>
      <c r="Y38" s="553"/>
      <c r="Z38" s="553"/>
      <c r="AA38" s="553"/>
    </row>
    <row r="39" spans="1:27" x14ac:dyDescent="0.25">
      <c r="A39" s="547"/>
      <c r="B39" s="554"/>
      <c r="C39" s="554"/>
      <c r="D39" s="547"/>
      <c r="E39" s="547"/>
      <c r="F39" s="547"/>
      <c r="G39" s="547"/>
      <c r="H39" s="547"/>
      <c r="I39" s="547"/>
      <c r="J39" s="547"/>
      <c r="K39" s="547"/>
      <c r="L39" s="547"/>
      <c r="M39" s="547"/>
      <c r="N39" s="555"/>
      <c r="O39" s="183"/>
      <c r="P39" s="555"/>
      <c r="Q39" s="556"/>
      <c r="R39" s="556"/>
      <c r="S39" s="556"/>
      <c r="T39" s="183"/>
      <c r="U39" s="183"/>
      <c r="V39" s="555"/>
      <c r="W39" s="555"/>
      <c r="X39" s="183"/>
      <c r="Y39" s="183"/>
      <c r="Z39" s="183"/>
      <c r="AA39" s="183"/>
    </row>
    <row r="40" spans="1:27" x14ac:dyDescent="0.25">
      <c r="A40" s="547"/>
      <c r="B40" s="554"/>
      <c r="C40" s="554"/>
      <c r="D40" s="547"/>
      <c r="E40" s="547"/>
      <c r="F40" s="547"/>
      <c r="G40" s="547"/>
      <c r="H40" s="547"/>
      <c r="I40" s="547"/>
      <c r="J40" s="547"/>
      <c r="K40" s="547"/>
      <c r="L40" s="547"/>
      <c r="M40" s="547"/>
      <c r="N40" s="555"/>
      <c r="O40" s="183"/>
      <c r="P40" s="555"/>
      <c r="Q40" s="556"/>
      <c r="R40" s="556"/>
      <c r="S40" s="556"/>
      <c r="T40" s="183"/>
      <c r="U40" s="183"/>
      <c r="V40" s="555"/>
      <c r="W40" s="555"/>
      <c r="X40" s="183"/>
      <c r="Y40" s="183"/>
      <c r="Z40" s="183"/>
      <c r="AA40" s="183"/>
    </row>
    <row r="41" spans="1:27" x14ac:dyDescent="0.25">
      <c r="A41" s="547"/>
      <c r="B41" s="554"/>
      <c r="C41" s="554"/>
      <c r="D41" s="547"/>
      <c r="E41" s="547"/>
      <c r="F41" s="547"/>
      <c r="G41" s="547"/>
      <c r="H41" s="547"/>
      <c r="I41" s="547"/>
      <c r="J41" s="547"/>
      <c r="K41" s="547"/>
      <c r="L41" s="547"/>
      <c r="M41" s="547"/>
      <c r="N41" s="555"/>
      <c r="O41" s="183"/>
      <c r="P41" s="555"/>
      <c r="Q41" s="556"/>
      <c r="R41" s="556"/>
      <c r="S41" s="556"/>
      <c r="T41" s="183"/>
      <c r="U41" s="183"/>
      <c r="V41" s="555"/>
      <c r="W41" s="555"/>
      <c r="X41" s="183"/>
      <c r="Y41" s="183"/>
      <c r="Z41" s="183"/>
      <c r="AA41" s="183"/>
    </row>
    <row r="42" spans="1:27" x14ac:dyDescent="0.25">
      <c r="A42" s="547"/>
      <c r="B42" s="554"/>
      <c r="C42" s="554"/>
      <c r="D42" s="547"/>
      <c r="E42" s="547"/>
      <c r="F42" s="547"/>
      <c r="G42" s="547"/>
      <c r="H42" s="547"/>
      <c r="I42" s="557"/>
      <c r="J42" s="183"/>
      <c r="K42" s="547"/>
      <c r="L42" s="547"/>
      <c r="M42" s="547"/>
      <c r="N42" s="555"/>
      <c r="O42" s="183"/>
      <c r="P42" s="555"/>
      <c r="Q42" s="556"/>
      <c r="R42" s="556"/>
      <c r="S42" s="556"/>
      <c r="T42" s="183"/>
      <c r="U42" s="183"/>
      <c r="V42" s="555"/>
      <c r="W42" s="555"/>
      <c r="X42" s="183"/>
      <c r="Y42" s="183"/>
      <c r="Z42" s="183"/>
      <c r="AA42" s="183"/>
    </row>
    <row r="43" spans="1:27" x14ac:dyDescent="0.25">
      <c r="A43" s="547"/>
      <c r="B43" s="554"/>
      <c r="C43" s="554"/>
      <c r="D43" s="547"/>
      <c r="E43" s="547"/>
      <c r="F43" s="547"/>
      <c r="G43" s="547"/>
      <c r="H43" s="547"/>
      <c r="I43" s="557"/>
      <c r="J43" s="183"/>
      <c r="K43" s="547"/>
      <c r="L43" s="547"/>
      <c r="M43" s="547"/>
      <c r="N43" s="555"/>
      <c r="O43" s="183"/>
      <c r="P43" s="555"/>
      <c r="Q43" s="556"/>
      <c r="R43" s="556"/>
      <c r="S43" s="556"/>
      <c r="T43" s="183"/>
      <c r="U43" s="183"/>
      <c r="V43" s="555"/>
      <c r="W43" s="555"/>
      <c r="X43" s="183"/>
      <c r="Y43" s="183"/>
      <c r="Z43" s="183"/>
      <c r="AA43" s="183"/>
    </row>
    <row r="44" spans="1:27" x14ac:dyDescent="0.25">
      <c r="A44" s="547"/>
      <c r="B44" s="554"/>
      <c r="C44" s="554"/>
      <c r="D44" s="547"/>
      <c r="E44" s="547"/>
      <c r="F44" s="547"/>
      <c r="G44" s="547"/>
      <c r="H44" s="547"/>
      <c r="I44" s="547"/>
      <c r="J44" s="547"/>
      <c r="K44" s="547"/>
      <c r="L44" s="547"/>
      <c r="M44" s="547"/>
      <c r="N44" s="555"/>
      <c r="O44" s="183"/>
      <c r="P44" s="555"/>
      <c r="Q44" s="556"/>
      <c r="R44" s="556"/>
      <c r="S44" s="556"/>
      <c r="T44" s="183"/>
      <c r="U44" s="183"/>
      <c r="V44" s="555"/>
      <c r="W44" s="555"/>
      <c r="X44" s="183"/>
      <c r="Y44" s="183"/>
      <c r="Z44" s="183"/>
      <c r="AA44" s="183"/>
    </row>
    <row r="45" spans="1:27" x14ac:dyDescent="0.25">
      <c r="A45" s="547"/>
      <c r="B45" s="554"/>
      <c r="C45" s="554"/>
      <c r="D45" s="547"/>
      <c r="E45" s="547"/>
      <c r="F45" s="547"/>
      <c r="G45" s="547"/>
      <c r="H45" s="547"/>
      <c r="I45" s="547"/>
      <c r="J45" s="547"/>
      <c r="K45" s="547"/>
      <c r="L45" s="547"/>
      <c r="M45" s="547"/>
      <c r="N45" s="555"/>
      <c r="O45" s="183"/>
      <c r="P45" s="555"/>
      <c r="Q45" s="556"/>
      <c r="R45" s="556"/>
      <c r="S45" s="556"/>
      <c r="T45" s="183"/>
      <c r="U45" s="183"/>
      <c r="V45" s="555"/>
      <c r="W45" s="555"/>
      <c r="X45" s="183"/>
      <c r="Y45" s="183"/>
      <c r="Z45" s="183"/>
      <c r="AA45" s="183"/>
    </row>
    <row r="46" spans="1:27" x14ac:dyDescent="0.25">
      <c r="A46" s="547"/>
      <c r="B46" s="554"/>
      <c r="C46" s="554"/>
      <c r="D46" s="547"/>
      <c r="E46" s="547"/>
      <c r="F46" s="547"/>
      <c r="G46" s="547"/>
      <c r="H46" s="547"/>
      <c r="I46" s="547"/>
      <c r="J46" s="547"/>
      <c r="K46" s="547"/>
      <c r="L46" s="547"/>
      <c r="M46" s="547"/>
      <c r="N46" s="555"/>
      <c r="O46" s="183"/>
      <c r="P46" s="555"/>
      <c r="Q46" s="556"/>
      <c r="R46" s="556"/>
      <c r="S46" s="556"/>
      <c r="T46" s="183"/>
      <c r="U46" s="183"/>
      <c r="V46" s="555"/>
      <c r="W46" s="555"/>
      <c r="X46" s="183"/>
      <c r="Y46" s="183"/>
      <c r="Z46" s="183"/>
      <c r="AA46" s="183"/>
    </row>
    <row r="47" spans="1:27" x14ac:dyDescent="0.25">
      <c r="A47" s="547"/>
      <c r="B47" s="554"/>
      <c r="C47" s="554"/>
      <c r="D47" s="547"/>
      <c r="E47" s="547"/>
      <c r="F47" s="547"/>
      <c r="G47" s="547"/>
      <c r="H47" s="547"/>
      <c r="I47" s="547"/>
      <c r="J47" s="547"/>
      <c r="K47" s="547"/>
      <c r="L47" s="547"/>
      <c r="M47" s="547"/>
      <c r="N47" s="555"/>
      <c r="O47" s="183"/>
      <c r="P47" s="555"/>
      <c r="Q47" s="556"/>
      <c r="R47" s="556"/>
      <c r="S47" s="556"/>
      <c r="T47" s="183"/>
      <c r="U47" s="183"/>
      <c r="V47" s="555"/>
      <c r="W47" s="555"/>
      <c r="X47" s="183"/>
      <c r="Y47" s="183"/>
      <c r="Z47" s="183"/>
      <c r="AA47" s="183"/>
    </row>
    <row r="48" spans="1:27" x14ac:dyDescent="0.25">
      <c r="A48" s="547"/>
      <c r="B48" s="554"/>
      <c r="C48" s="554"/>
      <c r="D48" s="547"/>
      <c r="E48" s="547"/>
      <c r="F48" s="547"/>
      <c r="G48" s="547"/>
      <c r="H48" s="547"/>
      <c r="I48" s="547"/>
      <c r="J48" s="547"/>
      <c r="K48" s="547"/>
      <c r="L48" s="547"/>
      <c r="M48" s="547"/>
      <c r="N48" s="555"/>
      <c r="O48" s="183"/>
      <c r="P48" s="555"/>
      <c r="Q48" s="556"/>
      <c r="R48" s="556"/>
      <c r="S48" s="556"/>
      <c r="T48" s="183"/>
      <c r="U48" s="183"/>
      <c r="V48" s="555"/>
      <c r="W48" s="555"/>
      <c r="X48" s="183"/>
      <c r="Y48" s="183"/>
      <c r="Z48" s="183"/>
      <c r="AA48" s="183"/>
    </row>
    <row r="49" spans="1:27" x14ac:dyDescent="0.25">
      <c r="A49" s="547"/>
      <c r="B49" s="554"/>
      <c r="C49" s="554"/>
      <c r="D49" s="547"/>
      <c r="E49" s="547"/>
      <c r="F49" s="547"/>
      <c r="G49" s="547"/>
      <c r="H49" s="547"/>
      <c r="I49" s="547"/>
      <c r="J49" s="547"/>
      <c r="K49" s="547"/>
      <c r="L49" s="547"/>
      <c r="M49" s="547"/>
      <c r="N49" s="555"/>
      <c r="O49" s="183"/>
      <c r="P49" s="555"/>
      <c r="Q49" s="556"/>
      <c r="R49" s="556"/>
      <c r="S49" s="556"/>
      <c r="T49" s="183"/>
      <c r="U49" s="183"/>
      <c r="V49" s="555"/>
      <c r="W49" s="555"/>
      <c r="X49" s="183"/>
      <c r="Y49" s="183"/>
      <c r="Z49" s="183"/>
      <c r="AA49" s="183"/>
    </row>
    <row r="50" spans="1:27" x14ac:dyDescent="0.25">
      <c r="A50" s="547"/>
      <c r="B50" s="547"/>
      <c r="C50" s="547"/>
      <c r="D50" s="547"/>
      <c r="E50" s="547"/>
      <c r="F50" s="547"/>
      <c r="G50" s="547"/>
      <c r="H50" s="547"/>
      <c r="I50" s="547"/>
      <c r="J50" s="547"/>
      <c r="K50" s="547"/>
      <c r="L50" s="547"/>
      <c r="M50" s="547"/>
      <c r="N50" s="555"/>
      <c r="O50" s="555"/>
      <c r="P50" s="555"/>
      <c r="Q50" s="558"/>
      <c r="R50" s="558"/>
      <c r="S50" s="558"/>
      <c r="T50" s="555"/>
      <c r="U50" s="547"/>
      <c r="V50" s="555"/>
      <c r="W50" s="555"/>
    </row>
    <row r="51" spans="1:27" x14ac:dyDescent="0.25">
      <c r="I51" s="555"/>
      <c r="J51" s="555"/>
      <c r="K51" s="555"/>
      <c r="Q51" s="555"/>
    </row>
    <row r="112" spans="1:23" ht="13.8" thickBot="1" x14ac:dyDescent="0.3">
      <c r="A112" s="547"/>
      <c r="B112" s="547"/>
      <c r="C112" s="547"/>
      <c r="D112" s="547"/>
      <c r="E112" s="547"/>
      <c r="F112" s="547"/>
      <c r="G112" s="547"/>
      <c r="H112" s="547"/>
      <c r="I112" s="547"/>
      <c r="J112" s="547"/>
      <c r="K112" s="547"/>
      <c r="L112" s="547" t="s">
        <v>117</v>
      </c>
      <c r="M112" s="547" t="s">
        <v>14</v>
      </c>
      <c r="N112" s="547" t="s">
        <v>14</v>
      </c>
      <c r="O112" s="547"/>
      <c r="P112" s="547"/>
      <c r="Q112" s="559"/>
      <c r="R112" s="559"/>
      <c r="S112" s="559"/>
      <c r="T112" s="547"/>
      <c r="U112" s="547"/>
      <c r="V112" s="547"/>
      <c r="W112" s="547"/>
    </row>
    <row r="113" spans="1:27" x14ac:dyDescent="0.25">
      <c r="A113" s="560"/>
      <c r="B113" s="562">
        <v>36503</v>
      </c>
      <c r="C113" s="562"/>
      <c r="D113" s="561" t="s">
        <v>43</v>
      </c>
      <c r="E113" s="561" t="s">
        <v>44</v>
      </c>
      <c r="F113" s="561" t="s">
        <v>51</v>
      </c>
      <c r="G113" s="561" t="s">
        <v>34</v>
      </c>
      <c r="H113" s="561" t="s">
        <v>52</v>
      </c>
      <c r="I113" s="563" t="s">
        <v>24</v>
      </c>
      <c r="J113" s="563" t="s">
        <v>24</v>
      </c>
      <c r="K113" s="563" t="s">
        <v>24</v>
      </c>
      <c r="L113" s="563" t="s">
        <v>24</v>
      </c>
      <c r="M113" s="561" t="s">
        <v>24</v>
      </c>
      <c r="N113" s="561" t="s">
        <v>33</v>
      </c>
      <c r="O113" s="561" t="s">
        <v>140</v>
      </c>
      <c r="P113" s="561" t="s">
        <v>139</v>
      </c>
      <c r="Q113" s="564" t="s">
        <v>138</v>
      </c>
      <c r="R113" s="564" t="s">
        <v>138</v>
      </c>
      <c r="S113" s="564" t="s">
        <v>138</v>
      </c>
      <c r="T113" s="563" t="s">
        <v>24</v>
      </c>
      <c r="U113" s="563" t="s">
        <v>24</v>
      </c>
      <c r="V113" s="561" t="s">
        <v>33</v>
      </c>
      <c r="W113" s="561" t="s">
        <v>33</v>
      </c>
      <c r="X113" s="565" t="s">
        <v>115</v>
      </c>
      <c r="Y113" s="565" t="s">
        <v>116</v>
      </c>
      <c r="Z113" s="565" t="s">
        <v>115</v>
      </c>
      <c r="AA113" s="566" t="s">
        <v>116</v>
      </c>
    </row>
    <row r="114" spans="1:27" x14ac:dyDescent="0.25">
      <c r="A114" s="567" t="s">
        <v>62</v>
      </c>
      <c r="B114" s="551" t="s">
        <v>48</v>
      </c>
      <c r="C114" s="551"/>
      <c r="D114" s="551" t="s">
        <v>49</v>
      </c>
      <c r="E114" s="551" t="s">
        <v>50</v>
      </c>
      <c r="F114" s="551"/>
      <c r="G114" s="551"/>
      <c r="H114" s="551"/>
      <c r="I114" s="552">
        <v>1996</v>
      </c>
      <c r="J114" s="552">
        <v>1997</v>
      </c>
      <c r="K114" s="552">
        <v>1998</v>
      </c>
      <c r="L114" s="552">
        <v>1998</v>
      </c>
      <c r="M114" s="552">
        <v>1999</v>
      </c>
      <c r="N114" s="552">
        <v>1999</v>
      </c>
      <c r="O114" s="552">
        <v>1999</v>
      </c>
      <c r="P114" s="552">
        <v>1998</v>
      </c>
      <c r="Q114" s="552">
        <v>1996</v>
      </c>
      <c r="R114" s="552">
        <v>1997</v>
      </c>
      <c r="S114" s="552">
        <v>1998</v>
      </c>
      <c r="T114" s="552">
        <v>1999</v>
      </c>
      <c r="U114" s="552">
        <v>2000</v>
      </c>
      <c r="V114" s="552">
        <v>1999</v>
      </c>
      <c r="W114" s="552">
        <v>2000</v>
      </c>
      <c r="X114" s="553">
        <v>1999</v>
      </c>
      <c r="Y114" s="553">
        <v>1999</v>
      </c>
      <c r="Z114" s="553">
        <v>2000</v>
      </c>
      <c r="AA114" s="568">
        <v>2000</v>
      </c>
    </row>
    <row r="115" spans="1:27" x14ac:dyDescent="0.25">
      <c r="A115" s="569" t="s">
        <v>96</v>
      </c>
      <c r="B115" s="570">
        <v>15</v>
      </c>
      <c r="C115" s="570"/>
      <c r="D115" s="550">
        <v>2.3974530000000001</v>
      </c>
      <c r="E115" s="550">
        <f t="shared" ref="E115:E120" si="0">B115*D115</f>
        <v>35.961795000000002</v>
      </c>
      <c r="F115" s="571">
        <f>51.729581+2.45</f>
        <v>54.179581000000006</v>
      </c>
      <c r="G115" s="571">
        <v>0.34533000000000003</v>
      </c>
      <c r="H115" s="550">
        <v>0</v>
      </c>
      <c r="I115" s="550">
        <f>5.469558
+1.5595
+2.510952</f>
        <v>9.5400100000000005</v>
      </c>
      <c r="J115" s="550">
        <f>5.356456
+0.9648
+2.935257</f>
        <v>9.256513</v>
      </c>
      <c r="K115" s="550">
        <f>6.79977
+1.401
+3.445382</f>
        <v>11.646152000000001</v>
      </c>
      <c r="L115" s="550">
        <f>3.657209+0.97452+1.469425</f>
        <v>6.1011540000000002</v>
      </c>
      <c r="M115" s="550">
        <f>L115-(3.452451
+0.868254
+1.377325)+6.79977+1.401+3.445382</f>
        <v>12.049276000000001</v>
      </c>
      <c r="N115" s="572" t="e">
        <f>#REF!/M115</f>
        <v>#REF!</v>
      </c>
      <c r="O115" s="573">
        <v>94.584199999999996</v>
      </c>
      <c r="P115" s="572" t="e">
        <f>#REF!/O115</f>
        <v>#REF!</v>
      </c>
      <c r="Q115" s="574" t="e">
        <f>I115/#REF!</f>
        <v>#REF!</v>
      </c>
      <c r="R115" s="574" t="e">
        <f>J115/#REF!</f>
        <v>#REF!</v>
      </c>
      <c r="S115" s="574" t="e">
        <f>K115/#REF!</f>
        <v>#REF!</v>
      </c>
      <c r="T115" s="573">
        <f>X115*D115*4.5</f>
        <v>11.327965425</v>
      </c>
      <c r="U115" s="573">
        <f>D115*Z115*4.5</f>
        <v>13.269902355000001</v>
      </c>
      <c r="V115" s="572" t="e">
        <f>#REF!/T115</f>
        <v>#REF!</v>
      </c>
      <c r="W115" s="572" t="e">
        <f>#REF!/U115</f>
        <v>#REF!</v>
      </c>
      <c r="X115" s="575">
        <v>1.05</v>
      </c>
      <c r="Y115" s="574">
        <f>B115/X115</f>
        <v>14.285714285714285</v>
      </c>
      <c r="Z115" s="575">
        <v>1.23</v>
      </c>
      <c r="AA115" s="576">
        <f>B115/Z115</f>
        <v>12.195121951219512</v>
      </c>
    </row>
    <row r="116" spans="1:27" x14ac:dyDescent="0.25">
      <c r="A116" s="569" t="s">
        <v>97</v>
      </c>
      <c r="B116" s="570">
        <f>54+3/8</f>
        <v>54.375</v>
      </c>
      <c r="C116" s="570"/>
      <c r="D116" s="550">
        <v>3.32</v>
      </c>
      <c r="E116" s="550">
        <f t="shared" si="0"/>
        <v>180.52499999999998</v>
      </c>
      <c r="F116" s="550">
        <f>44.815+0.939</f>
        <v>45.753999999999998</v>
      </c>
      <c r="G116" s="571">
        <v>6.2469999999999999</v>
      </c>
      <c r="H116" s="550">
        <v>0</v>
      </c>
      <c r="I116" s="550">
        <f>8.947
+0.907+
3.635
+5.825</f>
        <v>19.314</v>
      </c>
      <c r="J116" s="550">
        <f>9.547
+0.956
+6.153
+3.808</f>
        <v>20.463999999999999</v>
      </c>
      <c r="K116" s="550">
        <f>8.951
+1.173
+6.604
+3.102</f>
        <v>19.830000000000002</v>
      </c>
      <c r="L116" s="550">
        <f>7.856
+0.532
+2.154
+4.226</f>
        <v>14.768000000000001</v>
      </c>
      <c r="M116" s="550">
        <f>L116-(6.658
+0.337
+1.725
+3.427)+8.951+1.173+3.102+6.604</f>
        <v>22.451000000000001</v>
      </c>
      <c r="N116" s="572" t="e">
        <f>#REF!/M116</f>
        <v>#REF!</v>
      </c>
      <c r="O116" s="573">
        <v>116.76300000000001</v>
      </c>
      <c r="P116" s="572" t="e">
        <f>#REF!/O116</f>
        <v>#REF!</v>
      </c>
      <c r="Q116" s="574" t="e">
        <f>I116/#REF!</f>
        <v>#REF!</v>
      </c>
      <c r="R116" s="574" t="e">
        <f>J116/#REF!</f>
        <v>#REF!</v>
      </c>
      <c r="S116" s="574" t="e">
        <f>K116/#REF!</f>
        <v>#REF!</v>
      </c>
      <c r="T116" s="573">
        <f>X116*D116*3.1</f>
        <v>19.5548</v>
      </c>
      <c r="U116" s="573">
        <f>D116*Z116*3.1</f>
        <v>20.892759999999999</v>
      </c>
      <c r="V116" s="572" t="e">
        <f>#REF!/T116</f>
        <v>#REF!</v>
      </c>
      <c r="W116" s="572" t="e">
        <f>#REF!/U116</f>
        <v>#REF!</v>
      </c>
      <c r="X116" s="575">
        <v>1.9</v>
      </c>
      <c r="Y116" s="574">
        <f>B116/X116</f>
        <v>28.618421052631579</v>
      </c>
      <c r="Z116" s="575">
        <v>2.0299999999999998</v>
      </c>
      <c r="AA116" s="576">
        <f>B116/Z116</f>
        <v>26.785714285714288</v>
      </c>
    </row>
    <row r="117" spans="1:27" x14ac:dyDescent="0.25">
      <c r="A117" s="569" t="s">
        <v>101</v>
      </c>
      <c r="B117" s="570">
        <f>21+1/4</f>
        <v>21.25</v>
      </c>
      <c r="C117" s="570"/>
      <c r="D117" s="550">
        <v>2.1955849999999999</v>
      </c>
      <c r="E117" s="550">
        <f t="shared" si="0"/>
        <v>46.656181249999996</v>
      </c>
      <c r="F117" s="550">
        <v>19.5</v>
      </c>
      <c r="G117" s="571">
        <v>0.420595</v>
      </c>
      <c r="H117" s="550">
        <v>0</v>
      </c>
      <c r="I117" s="573">
        <f>3.1335
+0.341432
+1.608641</f>
        <v>5.0835730000000003</v>
      </c>
      <c r="J117" s="550">
        <f>3.710948
+0.427768
+1.934959</f>
        <v>6.0736750000000006</v>
      </c>
      <c r="K117" s="550">
        <f>3.849352
+0.686909
+2.050207</f>
        <v>6.586468</v>
      </c>
      <c r="L117" s="550">
        <f>(2161150
+1081876
+925576)/1000000</f>
        <v>4.1686019999999999</v>
      </c>
      <c r="M117" s="550">
        <f>L117-(1.963386
+1.04636
+0.815617)+3.849352+0.013661+0.686909+2.050207</f>
        <v>6.9433679999999995</v>
      </c>
      <c r="N117" s="572" t="e">
        <f>#REF!/M117</f>
        <v>#REF!</v>
      </c>
      <c r="O117" s="573">
        <f>4.251787+39.121536</f>
        <v>43.373322999999999</v>
      </c>
      <c r="P117" s="572" t="e">
        <f>#REF!/O117</f>
        <v>#REF!</v>
      </c>
      <c r="Q117" s="574" t="e">
        <f>I117/#REF!</f>
        <v>#REF!</v>
      </c>
      <c r="R117" s="574" t="e">
        <f>J117/#REF!</f>
        <v>#REF!</v>
      </c>
      <c r="S117" s="574" t="e">
        <f>K117/#REF!</f>
        <v>#REF!</v>
      </c>
      <c r="T117" s="573">
        <f>X117*D117*3.5</f>
        <v>0</v>
      </c>
      <c r="U117" s="573">
        <f>D117*Z117*3.5</f>
        <v>0</v>
      </c>
      <c r="V117" s="572"/>
      <c r="W117" s="572"/>
      <c r="X117" s="577"/>
      <c r="Y117" s="574"/>
      <c r="Z117" s="577"/>
      <c r="AA117" s="576"/>
    </row>
    <row r="118" spans="1:27" x14ac:dyDescent="0.25">
      <c r="A118" s="569" t="s">
        <v>98</v>
      </c>
      <c r="B118" s="570">
        <f>37+11/16</f>
        <v>37.6875</v>
      </c>
      <c r="C118" s="570"/>
      <c r="D118" s="578">
        <v>5.9965000000000002</v>
      </c>
      <c r="E118" s="550">
        <f t="shared" si="0"/>
        <v>225.99309375000001</v>
      </c>
      <c r="F118" s="550">
        <v>96.373999999999995</v>
      </c>
      <c r="G118" s="571">
        <v>6.3639999999999999</v>
      </c>
      <c r="H118" s="550">
        <v>3.2</v>
      </c>
      <c r="I118" s="550">
        <f>17.131
+4.683
+11.997</f>
        <v>33.811</v>
      </c>
      <c r="J118" s="550">
        <f>16.06
+4.608
+12.874</f>
        <v>33.542000000000002</v>
      </c>
      <c r="K118" s="550">
        <f>15.062
+3.628
+14.485</f>
        <v>33.174999999999997</v>
      </c>
      <c r="L118" s="550">
        <f>13.227
+5.657
+4.373</f>
        <v>23.257000000000001</v>
      </c>
      <c r="M118" s="550">
        <f>L118-(11.727
+5.052
+3.79
)+15.062+14.485+3.628</f>
        <v>35.863</v>
      </c>
      <c r="N118" s="572" t="e">
        <f>#REF!/M118</f>
        <v>#REF!</v>
      </c>
      <c r="O118" s="573">
        <f>212.319+2.517</f>
        <v>214.83599999999998</v>
      </c>
      <c r="P118" s="572" t="e">
        <f>#REF!/O118</f>
        <v>#REF!</v>
      </c>
      <c r="Q118" s="574" t="e">
        <f>I118/#REF!</f>
        <v>#REF!</v>
      </c>
      <c r="R118" s="574" t="e">
        <f>J118/#REF!</f>
        <v>#REF!</v>
      </c>
      <c r="S118" s="574" t="e">
        <f>K118/#REF!</f>
        <v>#REF!</v>
      </c>
      <c r="T118" s="573">
        <f>X118*D118*4.2</f>
        <v>31.481625000000005</v>
      </c>
      <c r="U118" s="573">
        <f>D118*Z118*4.2</f>
        <v>35.259419999999999</v>
      </c>
      <c r="V118" s="572" t="e">
        <f>#REF!/T118</f>
        <v>#REF!</v>
      </c>
      <c r="W118" s="572" t="e">
        <f>#REF!/U118</f>
        <v>#REF!</v>
      </c>
      <c r="X118" s="575">
        <v>1.25</v>
      </c>
      <c r="Y118" s="574">
        <f>B118/X118</f>
        <v>30.15</v>
      </c>
      <c r="Z118" s="575">
        <v>1.4</v>
      </c>
      <c r="AA118" s="576">
        <f>B118/Z118</f>
        <v>26.919642857142858</v>
      </c>
    </row>
    <row r="119" spans="1:27" x14ac:dyDescent="0.25">
      <c r="A119" s="569" t="s">
        <v>99</v>
      </c>
      <c r="B119" s="570">
        <f>20+3/4</f>
        <v>20.75</v>
      </c>
      <c r="C119" s="570"/>
      <c r="D119" s="550">
        <f>2.690937/1.49</f>
        <v>1.8059979865771811</v>
      </c>
      <c r="E119" s="550">
        <f t="shared" si="0"/>
        <v>37.47445822147651</v>
      </c>
      <c r="F119" s="571">
        <f>20.840843+0.022883</f>
        <v>20.863726</v>
      </c>
      <c r="G119" s="571">
        <v>0.54661999999999999</v>
      </c>
      <c r="H119" s="550">
        <v>0</v>
      </c>
      <c r="I119" s="550">
        <f>4.113044
+0.963895
+2.294447</f>
        <v>7.3713860000000002</v>
      </c>
      <c r="J119" s="550">
        <f>4.550333
+0.857964
+2.533912</f>
        <v>7.9422090000000001</v>
      </c>
      <c r="K119" s="550">
        <f>4.82259
+1.100506
+2.806278</f>
        <v>8.729374</v>
      </c>
      <c r="L119" s="550">
        <f>(3224052
+3293+767390
+1071466)/1000000</f>
        <v>5.0662010000000004</v>
      </c>
      <c r="M119" s="550">
        <f>L119-(2.679221
+0.006031+0.713802
+0.846912)+4.82259+0.042443+1.100506+2.806278</f>
        <v>9.5920519999999989</v>
      </c>
      <c r="N119" s="572" t="e">
        <f>#REF!/M119</f>
        <v>#REF!</v>
      </c>
      <c r="O119" s="573">
        <f>48.091975+8.932001</f>
        <v>57.023975999999998</v>
      </c>
      <c r="P119" s="572" t="e">
        <f>#REF!/O119</f>
        <v>#REF!</v>
      </c>
      <c r="Q119" s="574" t="e">
        <f>I119/#REF!</f>
        <v>#REF!</v>
      </c>
      <c r="R119" s="574" t="e">
        <f>J119/#REF!</f>
        <v>#REF!</v>
      </c>
      <c r="S119" s="574" t="e">
        <f>K119/#REF!</f>
        <v>#REF!</v>
      </c>
      <c r="T119" s="573">
        <f>X119*D119*3.3</f>
        <v>8.0457210302013422</v>
      </c>
      <c r="U119" s="573">
        <f>D119*Z119*3.3</f>
        <v>8.0457210302013422</v>
      </c>
      <c r="V119" s="572" t="e">
        <f>#REF!/T119</f>
        <v>#REF!</v>
      </c>
      <c r="W119" s="572" t="e">
        <f>#REF!/U119</f>
        <v>#REF!</v>
      </c>
      <c r="X119" s="575">
        <v>1.35</v>
      </c>
      <c r="Y119" s="574">
        <f>B119/X119</f>
        <v>15.37037037037037</v>
      </c>
      <c r="Z119" s="575">
        <v>1.35</v>
      </c>
      <c r="AA119" s="576">
        <f>B119/Z119</f>
        <v>15.37037037037037</v>
      </c>
    </row>
    <row r="120" spans="1:27" ht="13.8" thickBot="1" x14ac:dyDescent="0.3">
      <c r="A120" s="579" t="s">
        <v>100</v>
      </c>
      <c r="B120" s="581">
        <f>22+13/16</f>
        <v>22.8125</v>
      </c>
      <c r="C120" s="581"/>
      <c r="D120" s="582">
        <v>4.97689</v>
      </c>
      <c r="E120" s="580">
        <f t="shared" si="0"/>
        <v>113.535303125</v>
      </c>
      <c r="F120" s="580">
        <f>29.553
+2.289</f>
        <v>31.842000000000002</v>
      </c>
      <c r="G120" s="583">
        <v>0.55400000000000005</v>
      </c>
      <c r="H120" s="580">
        <v>0</v>
      </c>
      <c r="I120" s="580">
        <f>7.310083
+1.443547
+2.956727</f>
        <v>11.710356999999998</v>
      </c>
      <c r="J120" s="580">
        <f>7.027587
+1.334677
+3.143719</f>
        <v>11.505983000000001</v>
      </c>
      <c r="K120" s="580">
        <f>6.646724
+1.330045
+3.274513</f>
        <v>11.251282</v>
      </c>
      <c r="L120" s="580">
        <f>4.059
+1.775
+0.852</f>
        <v>6.6859999999999999</v>
      </c>
      <c r="M120" s="580">
        <f>L120-(3.991+1.593
+0.825)+6.646724+1.330045+3.274513</f>
        <v>11.528282000000001</v>
      </c>
      <c r="N120" s="584" t="e">
        <f>#REF!/M120</f>
        <v>#REF!</v>
      </c>
      <c r="O120" s="585">
        <f>51.755+1.926+4.147</f>
        <v>57.828000000000003</v>
      </c>
      <c r="P120" s="584" t="e">
        <f>#REF!/O120</f>
        <v>#REF!</v>
      </c>
      <c r="Q120" s="586" t="e">
        <f>I120/#REF!</f>
        <v>#REF!</v>
      </c>
      <c r="R120" s="586" t="e">
        <f>J120/#REF!</f>
        <v>#REF!</v>
      </c>
      <c r="S120" s="586" t="e">
        <f>K120/#REF!</f>
        <v>#REF!</v>
      </c>
      <c r="T120" s="585">
        <f>X120*D120*3.1</f>
        <v>11.57126925</v>
      </c>
      <c r="U120" s="585">
        <f>D120*Z120*3.1</f>
        <v>14.194090280000001</v>
      </c>
      <c r="V120" s="584" t="e">
        <f>#REF!/T120</f>
        <v>#REF!</v>
      </c>
      <c r="W120" s="584" t="e">
        <f>#REF!/U120</f>
        <v>#REF!</v>
      </c>
      <c r="X120" s="586">
        <v>0.75</v>
      </c>
      <c r="Y120" s="586">
        <f>B120/X120</f>
        <v>30.416666666666668</v>
      </c>
      <c r="Z120" s="586">
        <v>0.92</v>
      </c>
      <c r="AA120" s="587">
        <f>B120/Z120</f>
        <v>24.79619565217391</v>
      </c>
    </row>
    <row r="121" spans="1:27" x14ac:dyDescent="0.25">
      <c r="A121" s="547"/>
      <c r="B121" s="554"/>
      <c r="C121" s="554"/>
      <c r="D121" s="588"/>
      <c r="E121" s="547"/>
      <c r="F121" s="547"/>
      <c r="G121" s="589"/>
      <c r="H121" s="547"/>
      <c r="I121" s="550"/>
      <c r="J121" s="547"/>
      <c r="K121" s="547"/>
      <c r="L121" s="547"/>
      <c r="M121" s="547"/>
      <c r="N121" s="555"/>
      <c r="O121" s="183"/>
      <c r="P121" s="555"/>
      <c r="Q121" s="556"/>
      <c r="R121" s="556"/>
      <c r="S121" s="556"/>
      <c r="T121" s="183"/>
      <c r="U121" s="183"/>
      <c r="V121" s="555"/>
      <c r="W121" s="555"/>
      <c r="X121" s="556"/>
      <c r="Y121" s="556"/>
      <c r="Z121" s="556"/>
      <c r="AA121" s="556"/>
    </row>
  </sheetData>
  <mergeCells count="4">
    <mergeCell ref="E4:G4"/>
    <mergeCell ref="I4:K4"/>
    <mergeCell ref="M4:O4"/>
    <mergeCell ref="M3:O3"/>
  </mergeCells>
  <pageMargins left="0.75" right="0.75" top="1" bottom="1" header="0.5" footer="0.5"/>
  <pageSetup scale="59" orientation="landscape" r:id="rId1"/>
  <headerFooter alignWithMargins="0">
    <oddFooter>&amp;L&amp;F&amp;C&amp;P&amp;R&amp;D&amp;T</oddFooter>
  </headerFooter>
  <rowBreaks count="1" manualBreakCount="1">
    <brk id="34" max="3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"/>
  <sheetViews>
    <sheetView view="pageBreakPreview" zoomScale="75" zoomScaleNormal="100" zoomScaleSheetLayoutView="100" workbookViewId="0">
      <selection activeCell="A19" sqref="A19"/>
    </sheetView>
  </sheetViews>
  <sheetFormatPr defaultRowHeight="13.2" x14ac:dyDescent="0.25"/>
  <cols>
    <col min="1" max="1" width="33.109375" customWidth="1"/>
    <col min="2" max="2" width="20" customWidth="1"/>
    <col min="3" max="3" width="15.44140625" customWidth="1"/>
    <col min="4" max="4" width="10.109375" customWidth="1"/>
    <col min="5" max="5" width="10.44140625" customWidth="1"/>
    <col min="6" max="6" width="5.109375" customWidth="1"/>
    <col min="7" max="7" width="5.6640625" customWidth="1"/>
    <col min="8" max="8" width="5.109375" customWidth="1"/>
    <col min="9" max="9" width="7.88671875" customWidth="1"/>
    <col min="10" max="10" width="5" customWidth="1"/>
    <col min="11" max="11" width="4.88671875" customWidth="1"/>
    <col min="12" max="12" width="6.44140625" customWidth="1"/>
    <col min="13" max="13" width="5" customWidth="1"/>
    <col min="14" max="14" width="6.109375" customWidth="1"/>
    <col min="15" max="15" width="6.33203125" customWidth="1"/>
    <col min="16" max="16" width="5.33203125" customWidth="1"/>
    <col min="17" max="17" width="8.6640625" customWidth="1"/>
  </cols>
  <sheetData>
    <row r="2" spans="1:4" ht="17.399999999999999" x14ac:dyDescent="0.3">
      <c r="A2" s="207"/>
      <c r="C2" s="6"/>
    </row>
    <row r="3" spans="1:4" ht="17.399999999999999" x14ac:dyDescent="0.3">
      <c r="A3" s="207"/>
      <c r="C3" s="6"/>
    </row>
    <row r="4" spans="1:4" x14ac:dyDescent="0.25">
      <c r="A4" s="1"/>
      <c r="B4" s="1"/>
      <c r="C4" s="1"/>
      <c r="D4" s="1"/>
    </row>
  </sheetData>
  <pageMargins left="0.75" right="0.75" top="1" bottom="1" header="0.5" footer="0.5"/>
  <pageSetup scale="60" fitToHeight="0" orientation="landscape" r:id="rId1"/>
  <headerFooter alignWithMargins="0"/>
  <rowBreaks count="2" manualBreakCount="2">
    <brk id="47" max="16383" man="1"/>
    <brk id="106" max="16383" man="1"/>
  </rowBreaks>
  <drawing r:id="rId2"/>
  <legacyDrawing r:id="rId3"/>
  <oleObjects>
    <mc:AlternateContent xmlns:mc="http://schemas.openxmlformats.org/markup-compatibility/2006">
      <mc:Choice Requires="x14">
        <oleObject progId="Word.Document.8" shapeId="25601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45720</xdr:rowOff>
              </from>
              <to>
                <xdr:col>20</xdr:col>
                <xdr:colOff>601980</xdr:colOff>
                <xdr:row>50</xdr:row>
                <xdr:rowOff>144780</xdr:rowOff>
              </to>
            </anchor>
          </objectPr>
        </oleObject>
      </mc:Choice>
      <mc:Fallback>
        <oleObject progId="Word.Document.8" shapeId="25601" r:id="rId4"/>
      </mc:Fallback>
    </mc:AlternateContent>
    <mc:AlternateContent xmlns:mc="http://schemas.openxmlformats.org/markup-compatibility/2006">
      <mc:Choice Requires="x14">
        <oleObject progId="Word.Document.8" shapeId="25602" r:id="rId6">
          <objectPr defaultSize="0" autoPict="0" r:id="rId7">
            <anchor moveWithCells="1">
              <from>
                <xdr:col>0</xdr:col>
                <xdr:colOff>22860</xdr:colOff>
                <xdr:row>47</xdr:row>
                <xdr:rowOff>76200</xdr:rowOff>
              </from>
              <to>
                <xdr:col>20</xdr:col>
                <xdr:colOff>571500</xdr:colOff>
                <xdr:row>70</xdr:row>
                <xdr:rowOff>76200</xdr:rowOff>
              </to>
            </anchor>
          </objectPr>
        </oleObject>
      </mc:Choice>
      <mc:Fallback>
        <oleObject progId="Word.Document.8" shapeId="25602" r:id="rId6"/>
      </mc:Fallback>
    </mc:AlternateContent>
    <mc:AlternateContent xmlns:mc="http://schemas.openxmlformats.org/markup-compatibility/2006">
      <mc:Choice Requires="x14">
        <oleObject progId="Word.Document.8" shapeId="25603" r:id="rId8">
          <objectPr defaultSize="0" autoPict="0" r:id="rId9">
            <anchor moveWithCells="1">
              <from>
                <xdr:col>0</xdr:col>
                <xdr:colOff>0</xdr:colOff>
                <xdr:row>65</xdr:row>
                <xdr:rowOff>99060</xdr:rowOff>
              </from>
              <to>
                <xdr:col>20</xdr:col>
                <xdr:colOff>563880</xdr:colOff>
                <xdr:row>107</xdr:row>
                <xdr:rowOff>160020</xdr:rowOff>
              </to>
            </anchor>
          </objectPr>
        </oleObject>
      </mc:Choice>
      <mc:Fallback>
        <oleObject progId="Word.Document.8" shapeId="25603" r:id="rId8"/>
      </mc:Fallback>
    </mc:AlternateContent>
    <mc:AlternateContent xmlns:mc="http://schemas.openxmlformats.org/markup-compatibility/2006">
      <mc:Choice Requires="x14">
        <oleObject progId="Word.Document.8" shapeId="25604" r:id="rId10">
          <objectPr defaultSize="0" autoPict="0" r:id="rId11">
            <anchor moveWithCells="1">
              <from>
                <xdr:col>0</xdr:col>
                <xdr:colOff>0</xdr:colOff>
                <xdr:row>106</xdr:row>
                <xdr:rowOff>91440</xdr:rowOff>
              </from>
              <to>
                <xdr:col>20</xdr:col>
                <xdr:colOff>563880</xdr:colOff>
                <xdr:row>159</xdr:row>
                <xdr:rowOff>30480</xdr:rowOff>
              </to>
            </anchor>
          </objectPr>
        </oleObject>
      </mc:Choice>
      <mc:Fallback>
        <oleObject progId="Word.Document.8" shapeId="25604" r:id="rId10"/>
      </mc:Fallback>
    </mc:AlternateContent>
  </oleObjec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zoomScale="75" zoomScaleNormal="100" zoomScaleSheetLayoutView="100" workbookViewId="0"/>
  </sheetViews>
  <sheetFormatPr defaultColWidth="9.109375" defaultRowHeight="13.2" x14ac:dyDescent="0.25"/>
  <cols>
    <col min="1" max="1" width="25.44140625" style="5" customWidth="1"/>
    <col min="2" max="3" width="9.109375" style="5"/>
    <col min="4" max="4" width="10.44140625" style="5" bestFit="1" customWidth="1"/>
    <col min="5" max="5" width="9.109375" style="5"/>
    <col min="6" max="6" width="31.5546875" style="5" customWidth="1"/>
    <col min="7" max="7" width="7.6640625" style="5" bestFit="1" customWidth="1"/>
    <col min="8" max="8" width="12" style="5" bestFit="1" customWidth="1"/>
    <col min="9" max="9" width="20.6640625" style="5" bestFit="1" customWidth="1"/>
    <col min="10" max="10" width="9.6640625" style="5" bestFit="1" customWidth="1"/>
    <col min="11" max="11" width="6.44140625" style="5" bestFit="1" customWidth="1"/>
    <col min="12" max="12" width="7.6640625" style="5" bestFit="1" customWidth="1"/>
    <col min="13" max="14" width="6.44140625" style="5" bestFit="1" customWidth="1"/>
    <col min="15" max="15" width="6.33203125" style="5" bestFit="1" customWidth="1"/>
    <col min="16" max="16384" width="9.109375" style="5"/>
  </cols>
  <sheetData>
    <row r="1" spans="1:10" ht="15.6" x14ac:dyDescent="0.3">
      <c r="A1" s="5" t="s">
        <v>562</v>
      </c>
      <c r="F1" s="367"/>
      <c r="G1" s="366"/>
      <c r="H1" s="366"/>
      <c r="I1" s="368"/>
      <c r="J1" s="336"/>
    </row>
    <row r="2" spans="1:10" ht="15.6" x14ac:dyDescent="0.3">
      <c r="F2" s="367"/>
      <c r="G2" s="366"/>
      <c r="H2" s="366"/>
      <c r="I2" s="368"/>
      <c r="J2" s="336"/>
    </row>
    <row r="3" spans="1:10" x14ac:dyDescent="0.25">
      <c r="A3" s="369" t="s">
        <v>483</v>
      </c>
      <c r="B3" s="370"/>
      <c r="C3" s="370"/>
      <c r="D3" s="371"/>
      <c r="E3" s="372"/>
      <c r="F3" s="366" t="s">
        <v>541</v>
      </c>
      <c r="G3" s="366"/>
      <c r="H3" s="366"/>
      <c r="I3" s="368"/>
      <c r="J3" s="336"/>
    </row>
    <row r="4" spans="1:10" x14ac:dyDescent="0.25">
      <c r="A4" s="351"/>
      <c r="B4" s="373"/>
      <c r="C4" s="373"/>
      <c r="D4" s="373"/>
      <c r="E4" s="373"/>
      <c r="F4" s="366" t="s">
        <v>542</v>
      </c>
      <c r="G4" s="366"/>
      <c r="H4" s="366"/>
      <c r="I4" s="368"/>
      <c r="J4" s="336"/>
    </row>
    <row r="5" spans="1:10" x14ac:dyDescent="0.25">
      <c r="A5" s="374" t="s">
        <v>484</v>
      </c>
      <c r="B5" s="374"/>
      <c r="C5" s="374"/>
      <c r="D5" s="375">
        <f>'Corp I-S&amp;B-S'!I41</f>
        <v>159.24600000000001</v>
      </c>
      <c r="E5" s="374"/>
      <c r="F5" s="366"/>
      <c r="G5" s="366"/>
      <c r="H5" s="366"/>
      <c r="I5" s="368"/>
      <c r="J5" s="336"/>
    </row>
    <row r="6" spans="1:10" x14ac:dyDescent="0.25">
      <c r="A6" s="374" t="s">
        <v>485</v>
      </c>
      <c r="B6" s="376">
        <v>36545</v>
      </c>
      <c r="C6" s="336"/>
      <c r="D6" s="377">
        <f>+'Corp I-S&amp;B-S'!D54</f>
        <v>21.4375</v>
      </c>
      <c r="E6" s="374"/>
      <c r="F6" s="378" t="s">
        <v>494</v>
      </c>
      <c r="G6" s="379"/>
      <c r="H6" s="380">
        <v>1999</v>
      </c>
      <c r="I6" s="381">
        <v>2000</v>
      </c>
      <c r="J6" s="381">
        <v>2001</v>
      </c>
    </row>
    <row r="7" spans="1:10" x14ac:dyDescent="0.25">
      <c r="A7" s="374" t="s">
        <v>486</v>
      </c>
      <c r="B7" s="376">
        <v>36545</v>
      </c>
      <c r="C7" s="336"/>
      <c r="D7" s="377">
        <f>+'Corp I-S&amp;B-S'!D55</f>
        <v>68.4375</v>
      </c>
      <c r="E7" s="374"/>
      <c r="F7" s="336"/>
      <c r="G7" s="336"/>
      <c r="H7" s="336"/>
      <c r="I7" s="336"/>
      <c r="J7" s="336"/>
    </row>
    <row r="8" spans="1:10" x14ac:dyDescent="0.25">
      <c r="A8" s="366"/>
      <c r="B8" s="366"/>
      <c r="C8" s="366"/>
      <c r="D8" s="366"/>
      <c r="E8" s="382"/>
      <c r="F8" s="366" t="s">
        <v>496</v>
      </c>
      <c r="G8" s="366"/>
      <c r="H8" s="383">
        <v>955</v>
      </c>
      <c r="I8" s="383">
        <v>1110.8979999999999</v>
      </c>
      <c r="J8" s="383">
        <v>1342.3659999999998</v>
      </c>
    </row>
    <row r="9" spans="1:10" x14ac:dyDescent="0.25">
      <c r="A9" s="366" t="s">
        <v>487</v>
      </c>
      <c r="B9" s="366"/>
      <c r="C9" s="366"/>
      <c r="D9" s="384">
        <f>D6*D5</f>
        <v>3413.8361250000003</v>
      </c>
      <c r="E9" s="385"/>
      <c r="F9" s="386" t="s">
        <v>543</v>
      </c>
      <c r="G9" s="366"/>
      <c r="H9" s="384">
        <f>'Corp I-S&amp;B-S'!I25</f>
        <v>403.64100000000002</v>
      </c>
      <c r="I9" s="384">
        <f>'Corp I-S&amp;B-S'!J25</f>
        <v>414.37212000000068</v>
      </c>
      <c r="J9" s="384">
        <f>'Corp I-S&amp;B-S'!K25</f>
        <v>427.21884000000091</v>
      </c>
    </row>
    <row r="10" spans="1:10" x14ac:dyDescent="0.25">
      <c r="A10" s="366" t="s">
        <v>488</v>
      </c>
      <c r="B10" s="387">
        <f>(1+D10)*D6</f>
        <v>27.868750000000002</v>
      </c>
      <c r="C10" s="366"/>
      <c r="D10" s="388">
        <v>0.3</v>
      </c>
      <c r="E10" s="336"/>
      <c r="F10" s="386" t="s">
        <v>544</v>
      </c>
      <c r="G10" s="366"/>
      <c r="H10" s="389">
        <f>-$D$32</f>
        <v>-44.990499062500021</v>
      </c>
      <c r="I10" s="389">
        <f>-$D$32</f>
        <v>-44.990499062500021</v>
      </c>
      <c r="J10" s="389">
        <f>-$D$32</f>
        <v>-44.990499062500021</v>
      </c>
    </row>
    <row r="11" spans="1:10" x14ac:dyDescent="0.25">
      <c r="A11" s="366" t="s">
        <v>489</v>
      </c>
      <c r="B11" s="366"/>
      <c r="C11" s="366"/>
      <c r="D11" s="390">
        <f>D5*B10</f>
        <v>4437.986962500001</v>
      </c>
      <c r="E11" s="382"/>
      <c r="F11" s="5" t="s">
        <v>560</v>
      </c>
      <c r="G11" s="405">
        <v>7.0000000000000007E-2</v>
      </c>
      <c r="I11" s="33">
        <f>-$G$11*$D$24</f>
        <v>62.095110585339121</v>
      </c>
      <c r="J11" s="33">
        <f>-$G$11*$D$24</f>
        <v>62.095110585339121</v>
      </c>
    </row>
    <row r="12" spans="1:10" x14ac:dyDescent="0.25">
      <c r="A12" s="366" t="s">
        <v>35</v>
      </c>
      <c r="B12" s="366"/>
      <c r="C12" s="366"/>
      <c r="D12" s="389">
        <f>'Corp I-S&amp;B-S'!C71</f>
        <v>3549.5990000000002</v>
      </c>
      <c r="E12" s="382"/>
      <c r="F12" s="366" t="s">
        <v>497</v>
      </c>
      <c r="G12" s="391"/>
      <c r="H12" s="389">
        <f>SUM(H9:H10)</f>
        <v>358.6505009375</v>
      </c>
      <c r="I12" s="389">
        <f>SUM(I9:I11)</f>
        <v>431.47673152283977</v>
      </c>
      <c r="J12" s="389">
        <f>SUM(J9:J11)</f>
        <v>444.32345152284</v>
      </c>
    </row>
    <row r="13" spans="1:10" ht="13.8" thickBot="1" x14ac:dyDescent="0.3">
      <c r="A13" s="366" t="s">
        <v>490</v>
      </c>
      <c r="B13" s="366"/>
      <c r="C13" s="366"/>
      <c r="D13" s="390">
        <f>D11+D12</f>
        <v>7987.5859625000012</v>
      </c>
      <c r="E13" s="382"/>
      <c r="F13" s="366" t="s">
        <v>498</v>
      </c>
      <c r="G13" s="366"/>
      <c r="H13" s="392">
        <f>H8+H12</f>
        <v>1313.6505009375001</v>
      </c>
      <c r="I13" s="392">
        <f>I8+I12</f>
        <v>1542.3747315228397</v>
      </c>
      <c r="J13" s="392">
        <f>J8+J12</f>
        <v>1786.6894515228398</v>
      </c>
    </row>
    <row r="14" spans="1:10" ht="13.8" thickTop="1" x14ac:dyDescent="0.25">
      <c r="A14" s="366"/>
      <c r="B14" s="366"/>
      <c r="C14" s="366"/>
      <c r="D14" s="391"/>
      <c r="E14" s="382"/>
    </row>
    <row r="15" spans="1:10" x14ac:dyDescent="0.25">
      <c r="A15" s="366" t="s">
        <v>559</v>
      </c>
      <c r="D15" s="218">
        <v>0.5</v>
      </c>
      <c r="E15" s="382"/>
      <c r="F15" s="366" t="s">
        <v>500</v>
      </c>
      <c r="G15" s="366"/>
      <c r="H15" s="393">
        <v>769.5</v>
      </c>
      <c r="I15" s="393">
        <v>805.9</v>
      </c>
      <c r="J15" s="393">
        <v>844.2</v>
      </c>
    </row>
    <row r="16" spans="1:10" x14ac:dyDescent="0.25">
      <c r="E16" s="366"/>
      <c r="F16" s="366" t="s">
        <v>501</v>
      </c>
      <c r="G16" s="366"/>
      <c r="H16" s="394">
        <f>$D$21</f>
        <v>77.809095464650056</v>
      </c>
      <c r="I16" s="394">
        <f>$D$21</f>
        <v>77.809095464650056</v>
      </c>
      <c r="J16" s="394">
        <f>$D$21</f>
        <v>77.809095464650056</v>
      </c>
    </row>
    <row r="17" spans="1:16" x14ac:dyDescent="0.25">
      <c r="A17" s="366" t="s">
        <v>495</v>
      </c>
      <c r="B17" s="366" t="s">
        <v>51</v>
      </c>
      <c r="C17" s="404">
        <v>0.33333299999999999</v>
      </c>
      <c r="D17" s="384">
        <f>+C17*D13</f>
        <v>2662.5259916380128</v>
      </c>
      <c r="E17" s="366"/>
      <c r="F17" s="366" t="s">
        <v>503</v>
      </c>
      <c r="G17" s="366"/>
      <c r="H17" s="391">
        <f>H15+H16</f>
        <v>847.30909546465</v>
      </c>
      <c r="I17" s="391">
        <f>I15+I16</f>
        <v>883.70909546465009</v>
      </c>
      <c r="J17" s="391">
        <f>J15+J16</f>
        <v>922.00909546465004</v>
      </c>
    </row>
    <row r="18" spans="1:16" x14ac:dyDescent="0.25">
      <c r="A18" s="366"/>
      <c r="B18" s="366" t="s">
        <v>379</v>
      </c>
      <c r="C18" s="405">
        <f>1-C17</f>
        <v>0.66666700000000001</v>
      </c>
      <c r="D18" s="389">
        <f>+D13-D17</f>
        <v>5325.0599708619884</v>
      </c>
      <c r="E18" s="366"/>
      <c r="F18" s="396" t="s">
        <v>510</v>
      </c>
      <c r="G18" s="366"/>
      <c r="H18" s="395"/>
      <c r="I18" s="368"/>
      <c r="J18" s="336"/>
    </row>
    <row r="19" spans="1:16" x14ac:dyDescent="0.25">
      <c r="A19" s="366"/>
      <c r="B19" s="366"/>
      <c r="C19" s="366"/>
      <c r="D19" s="390">
        <f>SUM(D17:D18)</f>
        <v>7987.5859625000012</v>
      </c>
      <c r="E19" s="366"/>
      <c r="F19" s="366" t="s">
        <v>507</v>
      </c>
      <c r="G19" s="366"/>
      <c r="H19" s="398">
        <v>1.17</v>
      </c>
      <c r="I19" s="398">
        <f>+I8/I15</f>
        <v>1.3784563841667701</v>
      </c>
      <c r="J19" s="398">
        <f>+J8/J15</f>
        <v>1.5901042407012553</v>
      </c>
      <c r="L19" s="425">
        <f>+I8/I15</f>
        <v>1.3784563841667701</v>
      </c>
    </row>
    <row r="20" spans="1:16" x14ac:dyDescent="0.25">
      <c r="A20" s="366"/>
      <c r="B20" s="366"/>
      <c r="C20" s="366"/>
      <c r="D20" s="390"/>
      <c r="E20" s="385"/>
      <c r="F20" s="366" t="s">
        <v>546</v>
      </c>
      <c r="G20" s="366"/>
      <c r="H20" s="399">
        <f>H13/H17</f>
        <v>1.5503793219841648</v>
      </c>
      <c r="I20" s="399">
        <f>I13/I17</f>
        <v>1.7453421487213123</v>
      </c>
      <c r="J20" s="399">
        <f>J13/J17</f>
        <v>1.9378219372363465</v>
      </c>
    </row>
    <row r="21" spans="1:16" x14ac:dyDescent="0.25">
      <c r="A21" s="366" t="s">
        <v>491</v>
      </c>
      <c r="B21" s="366"/>
      <c r="C21" s="366"/>
      <c r="D21" s="384">
        <f>D18/D7</f>
        <v>77.809095464650056</v>
      </c>
      <c r="E21" s="382"/>
      <c r="F21" s="400" t="s">
        <v>509</v>
      </c>
      <c r="G21" s="400"/>
      <c r="H21" s="401">
        <f>H20-H19</f>
        <v>0.38037932198416491</v>
      </c>
      <c r="I21" s="401">
        <f>I20-I19</f>
        <v>0.36688576455454225</v>
      </c>
      <c r="J21" s="401">
        <f>J20-J19</f>
        <v>0.34771769653509121</v>
      </c>
    </row>
    <row r="22" spans="1:16" x14ac:dyDescent="0.25">
      <c r="A22" s="366" t="s">
        <v>492</v>
      </c>
      <c r="B22" s="366"/>
      <c r="C22" s="366"/>
      <c r="D22" s="393">
        <v>805.9</v>
      </c>
      <c r="E22" s="385"/>
      <c r="F22" s="402"/>
      <c r="G22" s="336"/>
      <c r="H22" s="382">
        <f>H21/H19</f>
        <v>0.32511053161039738</v>
      </c>
      <c r="I22" s="382">
        <f>I21/I19</f>
        <v>0.266156962794519</v>
      </c>
      <c r="J22" s="382">
        <f>J21/J19</f>
        <v>0.2186760387367708</v>
      </c>
    </row>
    <row r="23" spans="1:16" x14ac:dyDescent="0.25">
      <c r="A23" s="366" t="s">
        <v>493</v>
      </c>
      <c r="B23" s="366"/>
      <c r="C23" s="366"/>
      <c r="D23" s="397">
        <f>D21/D22</f>
        <v>9.6549318109753146E-2</v>
      </c>
      <c r="E23" s="382"/>
      <c r="F23" s="336"/>
      <c r="G23" s="336"/>
      <c r="H23" s="403"/>
      <c r="I23" s="403"/>
      <c r="J23" s="336"/>
      <c r="K23" s="336"/>
    </row>
    <row r="24" spans="1:16" x14ac:dyDescent="0.25">
      <c r="A24" s="366" t="s">
        <v>561</v>
      </c>
      <c r="B24" s="366"/>
      <c r="C24" s="366"/>
      <c r="D24" s="384">
        <f>-D12+D17</f>
        <v>-887.07300836198738</v>
      </c>
      <c r="E24" s="382"/>
      <c r="F24" s="336"/>
      <c r="G24" s="336"/>
      <c r="H24" s="403"/>
      <c r="I24" s="403"/>
      <c r="J24" s="336"/>
      <c r="K24" s="336"/>
    </row>
    <row r="25" spans="1:16" x14ac:dyDescent="0.25">
      <c r="A25" s="366"/>
      <c r="B25" s="366"/>
      <c r="C25" s="366"/>
      <c r="D25" s="366"/>
      <c r="E25" s="382"/>
      <c r="F25" s="336"/>
      <c r="I25" s="1" t="s">
        <v>545</v>
      </c>
    </row>
    <row r="26" spans="1:16" x14ac:dyDescent="0.25">
      <c r="A26" s="369" t="s">
        <v>499</v>
      </c>
      <c r="B26" s="370"/>
      <c r="C26" s="370"/>
      <c r="D26" s="370"/>
      <c r="E26" s="385"/>
      <c r="F26" s="406"/>
      <c r="J26" s="407">
        <f t="shared" ref="J26:P26" si="0">H41</f>
        <v>0</v>
      </c>
      <c r="K26" s="407">
        <f t="shared" si="0"/>
        <v>0.2</v>
      </c>
      <c r="L26" s="407">
        <f t="shared" si="0"/>
        <v>0.25</v>
      </c>
      <c r="M26" s="407">
        <f t="shared" si="0"/>
        <v>0.3</v>
      </c>
      <c r="N26" s="407">
        <f t="shared" si="0"/>
        <v>0.35</v>
      </c>
      <c r="O26" s="407">
        <f t="shared" si="0"/>
        <v>0.4</v>
      </c>
      <c r="P26" s="407">
        <f t="shared" si="0"/>
        <v>0.45</v>
      </c>
    </row>
    <row r="27" spans="1:16" x14ac:dyDescent="0.25">
      <c r="A27" s="351"/>
      <c r="B27" s="370"/>
      <c r="C27" s="370"/>
      <c r="D27" s="370"/>
      <c r="E27" s="366"/>
      <c r="F27" s="336"/>
      <c r="I27" s="1">
        <v>2000</v>
      </c>
      <c r="J27" s="408">
        <f>+H42</f>
        <v>0.44346872457592057</v>
      </c>
      <c r="K27" s="408">
        <f t="shared" ref="K27:P27" si="1">+I42</f>
        <v>0.39222056487636281</v>
      </c>
      <c r="L27" s="408">
        <f t="shared" si="1"/>
        <v>0.37952928530602703</v>
      </c>
      <c r="M27" s="408">
        <f t="shared" si="1"/>
        <v>0.36688576455454225</v>
      </c>
      <c r="N27" s="408">
        <f t="shared" si="1"/>
        <v>0.35428973354488225</v>
      </c>
      <c r="O27" s="408">
        <f t="shared" si="1"/>
        <v>0.34174092521756672</v>
      </c>
      <c r="P27" s="408">
        <f t="shared" si="1"/>
        <v>0.3292390745117888</v>
      </c>
    </row>
    <row r="28" spans="1:16" x14ac:dyDescent="0.25">
      <c r="A28" s="366" t="s">
        <v>502</v>
      </c>
      <c r="B28" s="366"/>
      <c r="C28" s="366"/>
      <c r="D28" s="384">
        <f>D11</f>
        <v>4437.986962500001</v>
      </c>
      <c r="E28" s="366"/>
      <c r="G28" s="336"/>
      <c r="H28" s="409"/>
      <c r="I28" s="410">
        <v>2001</v>
      </c>
      <c r="J28" s="408">
        <f>+H44</f>
        <v>0.42319011468161905</v>
      </c>
      <c r="K28" s="408">
        <f t="shared" ref="K28:P28" si="2">+I44</f>
        <v>0.37269303629390627</v>
      </c>
      <c r="L28" s="408">
        <f t="shared" si="2"/>
        <v>0.36018280545251047</v>
      </c>
      <c r="M28" s="408">
        <f t="shared" si="2"/>
        <v>0.34771769653509121</v>
      </c>
      <c r="N28" s="408">
        <f t="shared" si="2"/>
        <v>0.33529746586234088</v>
      </c>
      <c r="O28" s="408">
        <f t="shared" si="2"/>
        <v>0.32292187150644036</v>
      </c>
      <c r="P28" s="408">
        <f t="shared" si="2"/>
        <v>0.31059067327535006</v>
      </c>
    </row>
    <row r="29" spans="1:16" x14ac:dyDescent="0.25">
      <c r="A29" s="366" t="s">
        <v>504</v>
      </c>
      <c r="B29" s="366"/>
      <c r="C29" s="366"/>
      <c r="D29" s="389">
        <f>'Corp I-S&amp;B-S'!N56</f>
        <v>2638.3670000000002</v>
      </c>
      <c r="E29" s="366"/>
      <c r="G29" s="336"/>
      <c r="H29" s="411"/>
      <c r="I29" s="411"/>
      <c r="K29" s="411"/>
    </row>
    <row r="30" spans="1:16" x14ac:dyDescent="0.25">
      <c r="A30" s="366" t="s">
        <v>505</v>
      </c>
      <c r="B30" s="366"/>
      <c r="C30" s="366"/>
      <c r="D30" s="390">
        <f>IF(D28-D29&lt;0,0,D28-D29)</f>
        <v>1799.6199625000008</v>
      </c>
      <c r="E30" s="366"/>
      <c r="G30" s="368"/>
      <c r="H30" s="412"/>
      <c r="I30" s="412"/>
      <c r="K30" s="412"/>
    </row>
    <row r="31" spans="1:16" x14ac:dyDescent="0.25">
      <c r="A31" s="366" t="s">
        <v>506</v>
      </c>
      <c r="B31" s="366"/>
      <c r="C31" s="366"/>
      <c r="D31" s="384">
        <v>40</v>
      </c>
      <c r="E31" s="366"/>
      <c r="G31" s="409"/>
      <c r="H31" s="411"/>
      <c r="I31" s="411"/>
      <c r="K31" s="411"/>
    </row>
    <row r="32" spans="1:16" x14ac:dyDescent="0.25">
      <c r="A32" s="366" t="s">
        <v>508</v>
      </c>
      <c r="B32" s="366"/>
      <c r="C32" s="366"/>
      <c r="D32" s="384">
        <f>D30/D31</f>
        <v>44.990499062500021</v>
      </c>
      <c r="E32" s="366"/>
      <c r="F32" s="336"/>
      <c r="G32" s="411"/>
      <c r="H32" s="336"/>
      <c r="I32" s="336"/>
      <c r="J32" s="411"/>
      <c r="K32" s="336"/>
    </row>
    <row r="33" spans="1:15" x14ac:dyDescent="0.25">
      <c r="A33" s="366"/>
      <c r="B33" s="366"/>
      <c r="C33" s="366"/>
      <c r="D33" s="366"/>
      <c r="E33" s="366"/>
      <c r="G33" s="412"/>
      <c r="H33" s="336"/>
      <c r="I33" s="336"/>
      <c r="J33" s="412"/>
      <c r="K33" s="336"/>
    </row>
    <row r="34" spans="1:15" x14ac:dyDescent="0.25">
      <c r="A34" s="402"/>
      <c r="B34" s="409"/>
      <c r="C34" s="409"/>
      <c r="D34" s="409"/>
      <c r="E34" s="366"/>
      <c r="F34" s="341"/>
      <c r="G34" s="411"/>
      <c r="H34" s="342"/>
      <c r="I34" s="343"/>
      <c r="J34" s="411"/>
    </row>
    <row r="35" spans="1:15" x14ac:dyDescent="0.25">
      <c r="A35" s="409"/>
      <c r="B35" s="409"/>
      <c r="C35" s="409"/>
      <c r="D35" s="411"/>
      <c r="E35" s="413"/>
      <c r="F35" s="338"/>
      <c r="G35" s="344"/>
      <c r="H35" s="346"/>
      <c r="I35" s="347"/>
      <c r="J35" s="336"/>
    </row>
    <row r="36" spans="1:15" x14ac:dyDescent="0.25">
      <c r="A36" s="409"/>
      <c r="B36" s="409"/>
      <c r="C36" s="409"/>
      <c r="D36" s="412"/>
      <c r="E36" s="413"/>
      <c r="F36" s="338"/>
      <c r="G36" s="344"/>
      <c r="H36" s="346"/>
      <c r="I36" s="347"/>
      <c r="J36" s="336"/>
    </row>
    <row r="37" spans="1:15" x14ac:dyDescent="0.25">
      <c r="A37" s="409"/>
      <c r="B37" s="409"/>
      <c r="C37" s="409"/>
      <c r="D37" s="411"/>
      <c r="E37" s="366"/>
      <c r="F37" s="338"/>
      <c r="G37" s="337"/>
      <c r="H37" s="348"/>
      <c r="I37" s="349"/>
    </row>
    <row r="38" spans="1:15" x14ac:dyDescent="0.25">
      <c r="A38" s="366"/>
      <c r="B38" s="336"/>
      <c r="C38" s="336"/>
      <c r="D38" s="336"/>
      <c r="E38" s="366"/>
      <c r="F38" s="338"/>
      <c r="G38" s="337"/>
      <c r="H38" s="338"/>
      <c r="I38" s="337"/>
    </row>
    <row r="39" spans="1:15" x14ac:dyDescent="0.25">
      <c r="A39" s="336"/>
      <c r="E39" s="366"/>
    </row>
    <row r="40" spans="1:15" x14ac:dyDescent="0.25">
      <c r="A40" s="336"/>
      <c r="B40" s="337"/>
      <c r="C40" s="338"/>
      <c r="D40" s="337"/>
      <c r="E40" s="382"/>
    </row>
    <row r="41" spans="1:15" x14ac:dyDescent="0.25">
      <c r="E41" s="385"/>
      <c r="G41" s="337"/>
      <c r="H41" s="414">
        <v>0</v>
      </c>
      <c r="I41" s="414">
        <v>0.2</v>
      </c>
      <c r="J41" s="345">
        <v>0.25</v>
      </c>
      <c r="K41" s="345">
        <v>0.3</v>
      </c>
      <c r="L41" s="345">
        <v>0.35</v>
      </c>
      <c r="M41" s="345">
        <v>0.4</v>
      </c>
      <c r="N41" s="345">
        <v>0.45</v>
      </c>
    </row>
    <row r="42" spans="1:15" x14ac:dyDescent="0.25">
      <c r="B42" s="218"/>
      <c r="C42" s="339"/>
      <c r="D42" s="339"/>
      <c r="E42" s="409"/>
      <c r="F42" s="5">
        <v>2000</v>
      </c>
      <c r="G42" s="337">
        <f>+I21</f>
        <v>0.36688576455454225</v>
      </c>
      <c r="H42" s="5">
        <f t="dataTable" ref="H42:N42" dt2D="0" dtr="1" r1="D10" ca="1"/>
        <v>0.44346872457592057</v>
      </c>
      <c r="I42" s="592">
        <v>0.39222056487636281</v>
      </c>
      <c r="J42" s="592">
        <v>0.37952928530602703</v>
      </c>
      <c r="K42" s="592">
        <v>0.36688576455454225</v>
      </c>
      <c r="L42" s="592">
        <v>0.35428973354488225</v>
      </c>
      <c r="M42" s="592">
        <v>0.34174092521756672</v>
      </c>
      <c r="N42" s="592">
        <v>0.3292390745117888</v>
      </c>
      <c r="O42" s="592"/>
    </row>
    <row r="43" spans="1:15" x14ac:dyDescent="0.25">
      <c r="B43" s="218"/>
      <c r="C43" s="339"/>
      <c r="D43" s="339"/>
      <c r="E43" s="411"/>
      <c r="H43" s="414">
        <v>0</v>
      </c>
      <c r="I43" s="414">
        <v>0.2</v>
      </c>
      <c r="J43" s="345">
        <v>0.25</v>
      </c>
      <c r="K43" s="345">
        <v>0.3</v>
      </c>
      <c r="L43" s="345">
        <v>0.35</v>
      </c>
      <c r="M43" s="345">
        <v>0.4</v>
      </c>
      <c r="N43" s="345">
        <v>0.45</v>
      </c>
    </row>
    <row r="44" spans="1:15" x14ac:dyDescent="0.25">
      <c r="E44" s="412"/>
      <c r="F44" s="5">
        <v>2001</v>
      </c>
      <c r="G44" s="337">
        <f>+J21</f>
        <v>0.34771769653509121</v>
      </c>
      <c r="H44" s="5">
        <f t="dataTable" ref="H44:N44" dt2D="0" dtr="1" r1="D10"/>
        <v>0.42319011468161905</v>
      </c>
      <c r="I44" s="414">
        <v>0.37269303629390627</v>
      </c>
      <c r="J44" s="414">
        <v>0.36018280545251047</v>
      </c>
      <c r="K44" s="345">
        <v>0.34771769653509121</v>
      </c>
      <c r="L44" s="345">
        <v>0.33529746586234088</v>
      </c>
      <c r="M44" s="345">
        <v>0.32292187150644036</v>
      </c>
      <c r="N44" s="345">
        <v>0.31059067327535006</v>
      </c>
      <c r="O44" s="345"/>
    </row>
    <row r="45" spans="1:15" x14ac:dyDescent="0.25">
      <c r="E45" s="411"/>
    </row>
    <row r="46" spans="1:15" x14ac:dyDescent="0.25">
      <c r="E46" s="336"/>
    </row>
    <row r="47" spans="1:15" x14ac:dyDescent="0.25">
      <c r="B47" s="337"/>
      <c r="C47" s="375"/>
      <c r="D47" s="33"/>
    </row>
    <row r="48" spans="1:15" x14ac:dyDescent="0.25">
      <c r="B48" s="218"/>
      <c r="C48" s="339"/>
      <c r="D48" s="339"/>
      <c r="E48" s="340"/>
    </row>
    <row r="49" spans="2:4" x14ac:dyDescent="0.25">
      <c r="B49" s="218"/>
      <c r="C49" s="339"/>
      <c r="D49" s="339"/>
    </row>
    <row r="50" spans="2:4" x14ac:dyDescent="0.25">
      <c r="B50" s="218"/>
      <c r="C50" s="339"/>
      <c r="D50" s="339"/>
    </row>
    <row r="52" spans="2:4" x14ac:dyDescent="0.25">
      <c r="B52" s="337"/>
    </row>
    <row r="53" spans="2:4" x14ac:dyDescent="0.25">
      <c r="B53" s="218"/>
    </row>
    <row r="54" spans="2:4" x14ac:dyDescent="0.25">
      <c r="B54" s="218"/>
    </row>
    <row r="55" spans="2:4" x14ac:dyDescent="0.25">
      <c r="B55" s="218"/>
    </row>
  </sheetData>
  <pageMargins left="0.75" right="0.75" top="1" bottom="1" header="0.5" footer="0.5"/>
  <pageSetup scale="96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51"/>
  <sheetViews>
    <sheetView zoomScale="75" workbookViewId="0">
      <selection activeCell="D8" sqref="D8"/>
    </sheetView>
  </sheetViews>
  <sheetFormatPr defaultRowHeight="13.2" x14ac:dyDescent="0.25"/>
  <cols>
    <col min="1" max="1" width="6.44140625" customWidth="1"/>
    <col min="2" max="2" width="13.6640625" bestFit="1" customWidth="1"/>
    <col min="3" max="3" width="17.6640625" bestFit="1" customWidth="1"/>
    <col min="4" max="4" width="17.88671875" style="189" bestFit="1" customWidth="1"/>
  </cols>
  <sheetData>
    <row r="1" spans="1:5" x14ac:dyDescent="0.25">
      <c r="A1" s="1" t="s">
        <v>226</v>
      </c>
    </row>
    <row r="3" spans="1:5" x14ac:dyDescent="0.25">
      <c r="A3" s="1" t="s">
        <v>180</v>
      </c>
      <c r="B3" s="1" t="s">
        <v>181</v>
      </c>
      <c r="C3" t="s">
        <v>182</v>
      </c>
      <c r="D3" s="189">
        <v>4806.9579999999996</v>
      </c>
      <c r="E3" s="8">
        <f>D3/D5</f>
        <v>0.85943724694474266</v>
      </c>
    </row>
    <row r="4" spans="1:5" ht="15" x14ac:dyDescent="0.4">
      <c r="C4" t="s">
        <v>183</v>
      </c>
      <c r="D4" s="190">
        <v>786.18799999999999</v>
      </c>
      <c r="E4" s="8">
        <f>D4/D5</f>
        <v>0.14056275305525728</v>
      </c>
    </row>
    <row r="5" spans="1:5" x14ac:dyDescent="0.25">
      <c r="D5" s="189">
        <f>SUM(D3:D4)</f>
        <v>5593.1459999999997</v>
      </c>
    </row>
    <row r="7" spans="1:5" ht="15" x14ac:dyDescent="0.4">
      <c r="B7" s="1" t="s">
        <v>184</v>
      </c>
      <c r="C7" t="s">
        <v>185</v>
      </c>
      <c r="D7" s="190">
        <v>3252.2</v>
      </c>
    </row>
    <row r="8" spans="1:5" x14ac:dyDescent="0.25">
      <c r="C8" t="s">
        <v>182</v>
      </c>
      <c r="D8" s="191">
        <f>D7*E3</f>
        <v>2795.0618145136918</v>
      </c>
    </row>
    <row r="9" spans="1:5" x14ac:dyDescent="0.25">
      <c r="C9" t="s">
        <v>183</v>
      </c>
      <c r="D9" s="191">
        <f>D7*E4</f>
        <v>457.13818548630769</v>
      </c>
    </row>
    <row r="12" spans="1:5" x14ac:dyDescent="0.25">
      <c r="A12" s="1" t="s">
        <v>177</v>
      </c>
      <c r="B12" s="1" t="s">
        <v>184</v>
      </c>
      <c r="C12" t="s">
        <v>185</v>
      </c>
      <c r="D12" s="191">
        <v>2592.2440000000001</v>
      </c>
    </row>
    <row r="18" spans="1:7" x14ac:dyDescent="0.25">
      <c r="A18" s="1" t="s">
        <v>227</v>
      </c>
    </row>
    <row r="19" spans="1:7" x14ac:dyDescent="0.25">
      <c r="A19" t="s">
        <v>228</v>
      </c>
    </row>
    <row r="20" spans="1:7" x14ac:dyDescent="0.25">
      <c r="A20" t="s">
        <v>229</v>
      </c>
    </row>
    <row r="21" spans="1:7" x14ac:dyDescent="0.25">
      <c r="C21" s="203" t="s">
        <v>222</v>
      </c>
      <c r="D21" s="203" t="s">
        <v>223</v>
      </c>
      <c r="E21" t="s">
        <v>470</v>
      </c>
    </row>
    <row r="22" spans="1:7" x14ac:dyDescent="0.25">
      <c r="A22" s="1" t="s">
        <v>180</v>
      </c>
    </row>
    <row r="23" spans="1:7" x14ac:dyDescent="0.25">
      <c r="A23" s="1"/>
      <c r="B23" t="s">
        <v>182</v>
      </c>
      <c r="C23" s="189">
        <v>419.41539399999999</v>
      </c>
      <c r="D23" s="189">
        <v>1105.5495920000001</v>
      </c>
      <c r="E23" s="199">
        <f>D23+C23</f>
        <v>1524.964986</v>
      </c>
    </row>
    <row r="24" spans="1:7" x14ac:dyDescent="0.25">
      <c r="A24" s="1"/>
      <c r="B24" t="s">
        <v>183</v>
      </c>
      <c r="C24" s="189">
        <v>0</v>
      </c>
      <c r="D24" s="189">
        <v>548.00226099999998</v>
      </c>
      <c r="E24" s="199">
        <f>D24+C24</f>
        <v>548.00226099999998</v>
      </c>
    </row>
    <row r="25" spans="1:7" x14ac:dyDescent="0.25">
      <c r="A25" s="1" t="s">
        <v>177</v>
      </c>
      <c r="C25" s="189"/>
      <c r="E25" s="199"/>
    </row>
    <row r="26" spans="1:7" x14ac:dyDescent="0.25">
      <c r="A26" s="1"/>
      <c r="B26" t="s">
        <v>182</v>
      </c>
      <c r="C26" s="189">
        <v>625.82928500000003</v>
      </c>
      <c r="D26" s="189">
        <v>1385.6222580000001</v>
      </c>
      <c r="E26" s="199">
        <f>D26+C26</f>
        <v>2011.4515430000001</v>
      </c>
    </row>
    <row r="27" spans="1:7" x14ac:dyDescent="0.25">
      <c r="A27" s="1"/>
      <c r="C27" s="189"/>
      <c r="E27" s="199">
        <f>SUM(E23:E26)</f>
        <v>4084.4187900000002</v>
      </c>
    </row>
    <row r="28" spans="1:7" x14ac:dyDescent="0.25">
      <c r="A28" s="3" t="s">
        <v>230</v>
      </c>
      <c r="C28" s="189"/>
      <c r="E28" s="199"/>
    </row>
    <row r="29" spans="1:7" x14ac:dyDescent="0.25">
      <c r="A29" s="1"/>
      <c r="C29" s="189"/>
      <c r="E29" s="199"/>
    </row>
    <row r="30" spans="1:7" x14ac:dyDescent="0.25">
      <c r="A30" s="1" t="s">
        <v>180</v>
      </c>
      <c r="C30" s="189"/>
      <c r="E30" s="199"/>
    </row>
    <row r="31" spans="1:7" x14ac:dyDescent="0.25">
      <c r="A31" s="1"/>
      <c r="B31" t="s">
        <v>182</v>
      </c>
      <c r="C31" s="189">
        <v>141.35101700000001</v>
      </c>
      <c r="D31" s="189">
        <v>334.15025200000002</v>
      </c>
      <c r="E31" s="199">
        <f>D31+C31</f>
        <v>475.50126900000004</v>
      </c>
    </row>
    <row r="32" spans="1:7" x14ac:dyDescent="0.25">
      <c r="A32" s="1"/>
      <c r="B32" t="s">
        <v>183</v>
      </c>
      <c r="C32" s="189"/>
      <c r="E32" s="199">
        <f>D32+C32</f>
        <v>0</v>
      </c>
      <c r="G32" s="201"/>
    </row>
    <row r="33" spans="1:7" x14ac:dyDescent="0.25">
      <c r="A33" s="1" t="s">
        <v>177</v>
      </c>
      <c r="C33" s="189"/>
      <c r="E33" s="199"/>
      <c r="G33" s="11"/>
    </row>
    <row r="34" spans="1:7" x14ac:dyDescent="0.25">
      <c r="A34" s="1"/>
      <c r="B34" t="s">
        <v>182</v>
      </c>
      <c r="C34" s="189">
        <v>250.720035</v>
      </c>
      <c r="D34" s="189">
        <v>466.72335299999997</v>
      </c>
      <c r="E34" s="199">
        <f>D34+C34</f>
        <v>717.44338799999991</v>
      </c>
      <c r="G34" s="11"/>
    </row>
    <row r="35" spans="1:7" x14ac:dyDescent="0.25">
      <c r="A35" s="1"/>
      <c r="C35" s="189"/>
      <c r="E35" s="199">
        <f>E34+E31</f>
        <v>1192.944657</v>
      </c>
    </row>
    <row r="36" spans="1:7" x14ac:dyDescent="0.25">
      <c r="A36" s="3" t="s">
        <v>547</v>
      </c>
      <c r="C36" s="201">
        <f>C26+C23-C31-C34</f>
        <v>653.1736269999999</v>
      </c>
      <c r="D36" s="189">
        <f>D26+D23-D31-D34</f>
        <v>1690.2982450000004</v>
      </c>
      <c r="E36" s="199"/>
    </row>
    <row r="37" spans="1:7" x14ac:dyDescent="0.25">
      <c r="A37" s="1"/>
      <c r="C37" s="201"/>
      <c r="E37" s="199"/>
    </row>
    <row r="38" spans="1:7" x14ac:dyDescent="0.25">
      <c r="A38" s="1" t="s">
        <v>180</v>
      </c>
      <c r="C38" s="201"/>
      <c r="E38" s="199"/>
    </row>
    <row r="39" spans="1:7" x14ac:dyDescent="0.25">
      <c r="A39" s="1"/>
      <c r="B39" t="s">
        <v>182</v>
      </c>
      <c r="C39" s="201">
        <f>+C23-C31</f>
        <v>278.06437699999998</v>
      </c>
      <c r="D39" s="201">
        <f>+D23-D31</f>
        <v>771.39934000000005</v>
      </c>
      <c r="E39" s="199">
        <f>D39+C39</f>
        <v>1049.4637170000001</v>
      </c>
    </row>
    <row r="40" spans="1:7" x14ac:dyDescent="0.25">
      <c r="A40" s="1"/>
      <c r="B40" t="s">
        <v>183</v>
      </c>
      <c r="C40" s="201">
        <f>+C24-C32</f>
        <v>0</v>
      </c>
      <c r="D40" s="201">
        <f>+D24-D32</f>
        <v>548.00226099999998</v>
      </c>
      <c r="E40" s="199">
        <f>D40+C40</f>
        <v>548.00226099999998</v>
      </c>
    </row>
    <row r="41" spans="1:7" x14ac:dyDescent="0.25">
      <c r="A41" s="1" t="s">
        <v>177</v>
      </c>
      <c r="C41" s="201"/>
      <c r="E41" s="199"/>
    </row>
    <row r="42" spans="1:7" x14ac:dyDescent="0.25">
      <c r="A42" s="1"/>
      <c r="B42" t="s">
        <v>182</v>
      </c>
      <c r="C42" s="201">
        <f>+C26-C34</f>
        <v>375.10925000000003</v>
      </c>
      <c r="D42" s="201">
        <f>+D26-D34</f>
        <v>918.89890500000013</v>
      </c>
      <c r="E42" s="199">
        <f>D42+C42</f>
        <v>1294.0081550000002</v>
      </c>
    </row>
    <row r="44" spans="1:7" x14ac:dyDescent="0.25">
      <c r="A44" s="1" t="s">
        <v>245</v>
      </c>
    </row>
    <row r="46" spans="1:7" x14ac:dyDescent="0.25">
      <c r="B46" t="s">
        <v>246</v>
      </c>
      <c r="C46" s="201">
        <f>$C$23+$D$23+$C$26+$D$26</f>
        <v>3536.4165290000001</v>
      </c>
      <c r="D46" s="201"/>
    </row>
    <row r="47" spans="1:7" x14ac:dyDescent="0.25">
      <c r="B47" t="s">
        <v>247</v>
      </c>
      <c r="C47" s="11">
        <f>C46*0.4</f>
        <v>1414.5666116000002</v>
      </c>
      <c r="D47" s="11"/>
    </row>
    <row r="48" spans="1:7" ht="15" x14ac:dyDescent="0.4">
      <c r="B48" t="s">
        <v>250</v>
      </c>
      <c r="C48" s="206" t="e">
        <f>AVERAGE('Sum of Parts-Slide'!#REF!)</f>
        <v>#REF!</v>
      </c>
      <c r="D48" s="206"/>
    </row>
    <row r="49" spans="2:4" x14ac:dyDescent="0.25">
      <c r="B49" t="s">
        <v>248</v>
      </c>
      <c r="C49" s="11" t="e">
        <f>C48-C47</f>
        <v>#REF!</v>
      </c>
      <c r="D49" s="11"/>
    </row>
    <row r="50" spans="2:4" ht="15" x14ac:dyDescent="0.4">
      <c r="B50" t="s">
        <v>257</v>
      </c>
      <c r="C50" s="206" t="e">
        <f>C49*0.35</f>
        <v>#REF!</v>
      </c>
      <c r="D50" s="206"/>
    </row>
    <row r="51" spans="2:4" x14ac:dyDescent="0.25">
      <c r="B51" t="s">
        <v>249</v>
      </c>
      <c r="C51" s="11" t="e">
        <f>C50/158.8</f>
        <v>#REF!</v>
      </c>
      <c r="D51" s="11"/>
    </row>
  </sheetData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view="pageBreakPreview" zoomScaleNormal="100" workbookViewId="0">
      <selection activeCell="F1" sqref="F1"/>
    </sheetView>
  </sheetViews>
  <sheetFormatPr defaultColWidth="9.109375" defaultRowHeight="13.2" x14ac:dyDescent="0.25"/>
  <cols>
    <col min="1" max="1" width="9.109375" style="93"/>
    <col min="2" max="2" width="10.6640625" style="93" customWidth="1"/>
    <col min="3" max="3" width="9.109375" style="93"/>
    <col min="4" max="4" width="11.109375" style="93" customWidth="1"/>
    <col min="5" max="5" width="8.6640625" style="93" customWidth="1"/>
    <col min="6" max="6" width="11.44140625" style="93" bestFit="1" customWidth="1"/>
    <col min="7" max="7" width="11.109375" style="93" customWidth="1"/>
    <col min="8" max="16384" width="9.109375" style="93"/>
  </cols>
  <sheetData>
    <row r="1" spans="1:9" ht="15.6" x14ac:dyDescent="0.3">
      <c r="A1" s="187" t="s">
        <v>421</v>
      </c>
      <c r="F1" s="187" t="s">
        <v>424</v>
      </c>
    </row>
    <row r="3" spans="1:9" x14ac:dyDescent="0.25">
      <c r="B3" s="307" t="s">
        <v>422</v>
      </c>
      <c r="C3" s="308"/>
      <c r="D3" s="309"/>
      <c r="G3" s="307" t="s">
        <v>422</v>
      </c>
      <c r="H3" s="308"/>
      <c r="I3" s="309"/>
    </row>
    <row r="4" spans="1:9" x14ac:dyDescent="0.25">
      <c r="B4" s="313" t="s">
        <v>129</v>
      </c>
      <c r="C4" s="289" t="s">
        <v>119</v>
      </c>
      <c r="D4" s="314" t="s">
        <v>130</v>
      </c>
      <c r="G4" s="313" t="s">
        <v>129</v>
      </c>
      <c r="H4" s="289" t="s">
        <v>119</v>
      </c>
      <c r="I4" s="314" t="s">
        <v>130</v>
      </c>
    </row>
    <row r="5" spans="1:9" x14ac:dyDescent="0.25">
      <c r="A5" s="195" t="s">
        <v>14</v>
      </c>
      <c r="B5" s="290" t="s">
        <v>478</v>
      </c>
      <c r="C5" s="291" t="s">
        <v>119</v>
      </c>
      <c r="D5" s="292" t="s">
        <v>478</v>
      </c>
      <c r="F5" s="195" t="s">
        <v>14</v>
      </c>
      <c r="G5" s="290">
        <v>18</v>
      </c>
      <c r="H5" s="291" t="s">
        <v>119</v>
      </c>
      <c r="I5" s="292">
        <v>19.5</v>
      </c>
    </row>
    <row r="6" spans="1:9" x14ac:dyDescent="0.25">
      <c r="A6" s="195" t="s">
        <v>141</v>
      </c>
      <c r="B6" s="293">
        <v>10.5</v>
      </c>
      <c r="C6" s="294" t="s">
        <v>119</v>
      </c>
      <c r="D6" s="295">
        <v>11.5</v>
      </c>
      <c r="F6" s="195" t="s">
        <v>141</v>
      </c>
      <c r="G6" s="293">
        <v>17.5</v>
      </c>
      <c r="H6" s="294" t="s">
        <v>119</v>
      </c>
      <c r="I6" s="295">
        <v>19</v>
      </c>
    </row>
    <row r="7" spans="1:9" x14ac:dyDescent="0.25">
      <c r="A7" s="195" t="s">
        <v>135</v>
      </c>
      <c r="B7" s="296">
        <v>9</v>
      </c>
      <c r="C7" s="297" t="s">
        <v>119</v>
      </c>
      <c r="D7" s="298">
        <v>10</v>
      </c>
      <c r="F7" s="195" t="s">
        <v>135</v>
      </c>
      <c r="G7" s="296">
        <v>17</v>
      </c>
      <c r="H7" s="297" t="s">
        <v>119</v>
      </c>
      <c r="I7" s="298">
        <v>18</v>
      </c>
    </row>
    <row r="8" spans="1:9" x14ac:dyDescent="0.25">
      <c r="A8" s="256"/>
      <c r="D8" s="256"/>
    </row>
    <row r="9" spans="1:9" x14ac:dyDescent="0.25">
      <c r="A9" s="256"/>
      <c r="B9" s="307" t="s">
        <v>357</v>
      </c>
      <c r="C9" s="308"/>
      <c r="D9" s="309"/>
      <c r="G9" s="307" t="s">
        <v>357</v>
      </c>
      <c r="H9" s="308"/>
      <c r="I9" s="309"/>
    </row>
    <row r="10" spans="1:9" x14ac:dyDescent="0.25">
      <c r="B10" s="313" t="s">
        <v>129</v>
      </c>
      <c r="C10" s="289" t="s">
        <v>119</v>
      </c>
      <c r="D10" s="314" t="s">
        <v>130</v>
      </c>
      <c r="G10" s="313" t="s">
        <v>129</v>
      </c>
      <c r="H10" s="289" t="s">
        <v>119</v>
      </c>
      <c r="I10" s="314" t="s">
        <v>130</v>
      </c>
    </row>
    <row r="11" spans="1:9" x14ac:dyDescent="0.25">
      <c r="B11" s="299">
        <v>1.5</v>
      </c>
      <c r="C11" s="289" t="s">
        <v>119</v>
      </c>
      <c r="D11" s="300">
        <v>2</v>
      </c>
      <c r="G11" s="299">
        <v>2</v>
      </c>
      <c r="H11" s="289" t="s">
        <v>119</v>
      </c>
      <c r="I11" s="300">
        <v>2.5</v>
      </c>
    </row>
    <row r="13" spans="1:9" x14ac:dyDescent="0.25">
      <c r="B13" s="307" t="s">
        <v>423</v>
      </c>
      <c r="C13" s="308"/>
      <c r="D13" s="309"/>
      <c r="G13" s="307" t="s">
        <v>423</v>
      </c>
      <c r="H13" s="308"/>
      <c r="I13" s="309"/>
    </row>
    <row r="14" spans="1:9" x14ac:dyDescent="0.25">
      <c r="B14" s="313" t="s">
        <v>129</v>
      </c>
      <c r="C14" s="289" t="s">
        <v>119</v>
      </c>
      <c r="D14" s="314" t="s">
        <v>130</v>
      </c>
      <c r="G14" s="313" t="s">
        <v>129</v>
      </c>
      <c r="H14" s="289" t="s">
        <v>119</v>
      </c>
      <c r="I14" s="314" t="s">
        <v>130</v>
      </c>
    </row>
    <row r="15" spans="1:9" x14ac:dyDescent="0.25">
      <c r="A15" s="195" t="s">
        <v>14</v>
      </c>
      <c r="B15" s="290">
        <v>6.5</v>
      </c>
      <c r="C15" s="291" t="s">
        <v>119</v>
      </c>
      <c r="D15" s="292">
        <v>7</v>
      </c>
      <c r="F15" s="195" t="s">
        <v>14</v>
      </c>
      <c r="G15" s="290">
        <v>8.5</v>
      </c>
      <c r="H15" s="291" t="s">
        <v>119</v>
      </c>
      <c r="I15" s="292">
        <v>9.5</v>
      </c>
    </row>
    <row r="16" spans="1:9" x14ac:dyDescent="0.25">
      <c r="A16" s="195" t="s">
        <v>141</v>
      </c>
      <c r="B16" s="293">
        <v>6.5</v>
      </c>
      <c r="C16" s="294" t="s">
        <v>119</v>
      </c>
      <c r="D16" s="295">
        <v>7</v>
      </c>
      <c r="F16" s="195" t="s">
        <v>141</v>
      </c>
      <c r="G16" s="293"/>
      <c r="H16" s="294" t="s">
        <v>119</v>
      </c>
      <c r="I16" s="295"/>
    </row>
    <row r="17" spans="1:9" x14ac:dyDescent="0.25">
      <c r="A17" s="195" t="s">
        <v>135</v>
      </c>
      <c r="B17" s="296">
        <v>6</v>
      </c>
      <c r="C17" s="297" t="s">
        <v>119</v>
      </c>
      <c r="D17" s="298">
        <v>6.5</v>
      </c>
      <c r="F17" s="195" t="s">
        <v>135</v>
      </c>
      <c r="G17" s="296"/>
      <c r="H17" s="297" t="s">
        <v>119</v>
      </c>
      <c r="I17" s="298"/>
    </row>
    <row r="19" spans="1:9" ht="15.6" x14ac:dyDescent="0.3">
      <c r="A19" s="187" t="s">
        <v>427</v>
      </c>
    </row>
    <row r="22" spans="1:9" x14ac:dyDescent="0.25">
      <c r="B22" s="307" t="s">
        <v>423</v>
      </c>
      <c r="C22" s="308"/>
      <c r="D22" s="309"/>
    </row>
    <row r="23" spans="1:9" x14ac:dyDescent="0.25">
      <c r="B23" s="313" t="s">
        <v>129</v>
      </c>
      <c r="C23" s="289" t="s">
        <v>119</v>
      </c>
      <c r="D23" s="314" t="s">
        <v>130</v>
      </c>
    </row>
    <row r="24" spans="1:9" x14ac:dyDescent="0.25">
      <c r="A24" s="195" t="s">
        <v>14</v>
      </c>
      <c r="B24" s="290">
        <v>10</v>
      </c>
      <c r="C24" s="291" t="s">
        <v>119</v>
      </c>
      <c r="D24" s="292">
        <v>10.5</v>
      </c>
    </row>
    <row r="25" spans="1:9" x14ac:dyDescent="0.25">
      <c r="A25" s="195" t="s">
        <v>141</v>
      </c>
      <c r="B25" s="293"/>
      <c r="C25" s="294" t="s">
        <v>119</v>
      </c>
      <c r="D25" s="295"/>
    </row>
    <row r="26" spans="1:9" x14ac:dyDescent="0.25">
      <c r="A26" s="195" t="s">
        <v>135</v>
      </c>
      <c r="B26" s="296"/>
      <c r="C26" s="297" t="s">
        <v>119</v>
      </c>
      <c r="D26" s="298"/>
    </row>
  </sheetData>
  <pageMargins left="0.75" right="0.75" top="1" bottom="1" header="0.5" footer="0.5"/>
  <pageSetup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zoomScaleNormal="100" workbookViewId="0">
      <selection activeCell="A20" sqref="A20"/>
    </sheetView>
  </sheetViews>
  <sheetFormatPr defaultRowHeight="13.2" x14ac:dyDescent="0.25"/>
  <cols>
    <col min="1" max="1" width="12" bestFit="1" customWidth="1"/>
    <col min="2" max="2" width="45.6640625" bestFit="1" customWidth="1"/>
    <col min="3" max="3" width="15.109375" bestFit="1" customWidth="1"/>
    <col min="4" max="4" width="21.109375" bestFit="1" customWidth="1"/>
    <col min="5" max="5" width="14.109375" bestFit="1" customWidth="1"/>
    <col min="6" max="6" width="18.33203125" bestFit="1" customWidth="1"/>
    <col min="7" max="7" width="18.6640625" bestFit="1" customWidth="1"/>
    <col min="8" max="8" width="18" bestFit="1" customWidth="1"/>
    <col min="9" max="9" width="11.33203125" bestFit="1" customWidth="1"/>
  </cols>
  <sheetData>
    <row r="1" spans="1:9" ht="15.6" x14ac:dyDescent="0.3">
      <c r="A1" s="2" t="s">
        <v>441</v>
      </c>
      <c r="C1" s="4"/>
    </row>
    <row r="2" spans="1:9" x14ac:dyDescent="0.25">
      <c r="C2" s="4"/>
    </row>
    <row r="3" spans="1:9" x14ac:dyDescent="0.25">
      <c r="A3" s="315" t="s">
        <v>394</v>
      </c>
      <c r="B3" s="316" t="s">
        <v>442</v>
      </c>
      <c r="C3" s="317" t="s">
        <v>443</v>
      </c>
      <c r="D3" s="318" t="s">
        <v>444</v>
      </c>
      <c r="E3" s="318" t="s">
        <v>445</v>
      </c>
      <c r="F3" s="318" t="s">
        <v>446</v>
      </c>
      <c r="G3" s="318" t="s">
        <v>447</v>
      </c>
      <c r="H3" s="318" t="s">
        <v>448</v>
      </c>
      <c r="I3" s="318" t="s">
        <v>449</v>
      </c>
    </row>
    <row r="4" spans="1:9" x14ac:dyDescent="0.25">
      <c r="A4" s="319">
        <v>36430</v>
      </c>
      <c r="B4" s="285" t="s">
        <v>453</v>
      </c>
      <c r="C4" s="320">
        <v>686.16640239534456</v>
      </c>
      <c r="D4" s="285">
        <v>21.576070303716605</v>
      </c>
      <c r="E4" s="285">
        <v>0.54509653851060358</v>
      </c>
      <c r="F4" s="285">
        <v>15.788155695568081</v>
      </c>
      <c r="G4" s="285">
        <v>6.273779324270305</v>
      </c>
      <c r="H4" s="285">
        <v>7.8525948938271135</v>
      </c>
      <c r="I4" s="285">
        <v>29.428665197543719</v>
      </c>
    </row>
    <row r="5" spans="1:9" x14ac:dyDescent="0.25">
      <c r="A5" s="319">
        <v>36402</v>
      </c>
      <c r="B5" s="285" t="s">
        <v>454</v>
      </c>
      <c r="C5" s="4">
        <v>640.04990642545226</v>
      </c>
      <c r="D5" s="11">
        <v>21.875759978564826</v>
      </c>
      <c r="E5" s="11">
        <v>0.56660258637960981</v>
      </c>
      <c r="F5" s="11">
        <v>12.060571317992475</v>
      </c>
      <c r="G5" s="11">
        <v>4.4149811226206328</v>
      </c>
      <c r="H5" s="11">
        <v>5.6210382544198803</v>
      </c>
      <c r="I5" s="285">
        <v>27.496798232984705</v>
      </c>
    </row>
    <row r="6" spans="1:9" x14ac:dyDescent="0.25">
      <c r="A6" s="319">
        <v>36242</v>
      </c>
      <c r="B6" s="285" t="s">
        <v>455</v>
      </c>
      <c r="C6" s="4">
        <v>528.49456462062153</v>
      </c>
      <c r="D6" s="11">
        <v>34.04635691488037</v>
      </c>
      <c r="E6" s="11">
        <v>0.32183599382213729</v>
      </c>
      <c r="F6" s="11">
        <v>6.9341935172152391</v>
      </c>
      <c r="G6" s="11">
        <v>6.4754974990197809</v>
      </c>
      <c r="H6" s="11">
        <v>7.1689168507413044</v>
      </c>
      <c r="I6" s="285">
        <v>41.215273765621674</v>
      </c>
    </row>
    <row r="7" spans="1:9" x14ac:dyDescent="0.25">
      <c r="A7" s="319">
        <v>35827</v>
      </c>
      <c r="B7" s="285" t="s">
        <v>456</v>
      </c>
      <c r="C7" s="4">
        <v>167.87003610108303</v>
      </c>
      <c r="D7" s="11">
        <v>24.472899025910728</v>
      </c>
      <c r="E7" s="11">
        <v>0.31839038005044262</v>
      </c>
      <c r="F7" s="11">
        <v>27.80414633100591</v>
      </c>
      <c r="G7" s="11">
        <v>21.04274942178365</v>
      </c>
      <c r="H7" s="11">
        <v>23.823164054884241</v>
      </c>
      <c r="I7" s="285">
        <v>48.296063080794966</v>
      </c>
    </row>
    <row r="8" spans="1:9" x14ac:dyDescent="0.25">
      <c r="A8" s="319">
        <v>35794</v>
      </c>
      <c r="B8" s="285" t="s">
        <v>457</v>
      </c>
      <c r="C8" s="4">
        <v>138.77551020408163</v>
      </c>
      <c r="D8" s="11">
        <v>39.592394088224161</v>
      </c>
      <c r="E8" s="11">
        <v>0.4376429852763023</v>
      </c>
      <c r="F8" s="11">
        <v>1.09184705399343</v>
      </c>
      <c r="G8" s="11">
        <v>1.6593557093246014</v>
      </c>
      <c r="H8" s="11">
        <v>1.7685404147239443</v>
      </c>
      <c r="I8" s="285">
        <v>41.360934502948105</v>
      </c>
    </row>
    <row r="9" spans="1:9" x14ac:dyDescent="0.25">
      <c r="A9" s="256"/>
      <c r="C9" s="4"/>
    </row>
    <row r="10" spans="1:9" x14ac:dyDescent="0.25">
      <c r="A10" s="256"/>
      <c r="C10" s="4"/>
      <c r="D10" s="11"/>
      <c r="E10" s="11"/>
      <c r="F10" s="11"/>
      <c r="G10" s="11"/>
      <c r="H10" s="11"/>
      <c r="I10" s="11"/>
    </row>
    <row r="11" spans="1:9" ht="15.6" x14ac:dyDescent="0.3">
      <c r="A11" s="2" t="s">
        <v>450</v>
      </c>
      <c r="C11" s="4"/>
      <c r="D11" s="11"/>
      <c r="E11" s="11"/>
      <c r="F11" s="11"/>
      <c r="G11" s="11"/>
      <c r="H11" s="11"/>
      <c r="I11" s="11"/>
    </row>
    <row r="12" spans="1:9" x14ac:dyDescent="0.25">
      <c r="A12" s="256"/>
      <c r="C12" s="4"/>
      <c r="D12" s="11"/>
      <c r="E12" s="11"/>
      <c r="F12" s="11"/>
      <c r="G12" s="11"/>
      <c r="H12" s="11"/>
      <c r="I12" s="11"/>
    </row>
    <row r="13" spans="1:9" x14ac:dyDescent="0.25">
      <c r="A13" s="315" t="s">
        <v>394</v>
      </c>
      <c r="B13" s="315" t="s">
        <v>442</v>
      </c>
      <c r="C13" s="317" t="s">
        <v>443</v>
      </c>
      <c r="D13" s="318" t="s">
        <v>444</v>
      </c>
      <c r="E13" s="318" t="s">
        <v>445</v>
      </c>
      <c r="F13" s="318" t="s">
        <v>446</v>
      </c>
      <c r="G13" s="318" t="s">
        <v>447</v>
      </c>
      <c r="H13" s="318" t="s">
        <v>448</v>
      </c>
      <c r="I13" s="318" t="s">
        <v>449</v>
      </c>
    </row>
    <row r="14" spans="1:9" x14ac:dyDescent="0.25">
      <c r="A14" s="319">
        <v>36335</v>
      </c>
      <c r="B14" t="s">
        <v>458</v>
      </c>
      <c r="C14" s="4">
        <v>207.41088095517219</v>
      </c>
      <c r="D14" s="11">
        <v>42.278656517898774</v>
      </c>
      <c r="E14" s="11">
        <v>0.24560357063918964</v>
      </c>
      <c r="F14" s="11">
        <v>10.37046558110586</v>
      </c>
      <c r="G14" s="11">
        <v>4.0865784927985773</v>
      </c>
      <c r="H14" s="11">
        <v>5.1236250509091636</v>
      </c>
      <c r="I14" s="285">
        <v>47.402281568807936</v>
      </c>
    </row>
    <row r="15" spans="1:9" x14ac:dyDescent="0.25">
      <c r="A15" s="319">
        <v>36305</v>
      </c>
      <c r="B15" t="s">
        <v>459</v>
      </c>
      <c r="C15" s="4">
        <v>239.54802259887006</v>
      </c>
      <c r="D15" s="11">
        <v>22.694802426458168</v>
      </c>
      <c r="E15" s="11">
        <v>0.62100420074125673</v>
      </c>
      <c r="F15" s="11">
        <v>89.966544721088809</v>
      </c>
      <c r="G15" s="11">
        <v>21.491714625538265</v>
      </c>
      <c r="H15" s="11">
        <v>30.488369097647144</v>
      </c>
      <c r="I15" s="285">
        <v>53.183171524105312</v>
      </c>
    </row>
    <row r="16" spans="1:9" x14ac:dyDescent="0.25">
      <c r="A16" s="319">
        <v>36251</v>
      </c>
      <c r="B16" t="s">
        <v>460</v>
      </c>
      <c r="C16" s="4">
        <v>53.699284009546538</v>
      </c>
      <c r="D16" s="11">
        <v>64.055803892965173</v>
      </c>
      <c r="E16" s="11">
        <v>2.9788867274768149E-2</v>
      </c>
      <c r="F16" s="11">
        <v>4.4215222943480441</v>
      </c>
      <c r="G16" s="11">
        <v>1.8717280549121647</v>
      </c>
      <c r="H16" s="11">
        <v>2.3138802843469692</v>
      </c>
      <c r="I16" s="285">
        <v>66.369684177312138</v>
      </c>
    </row>
    <row r="17" spans="1:9" x14ac:dyDescent="0.25">
      <c r="A17" s="319">
        <v>36222</v>
      </c>
      <c r="B17" t="s">
        <v>461</v>
      </c>
      <c r="C17" s="4">
        <v>295.06437768240346</v>
      </c>
      <c r="D17" s="11">
        <v>38.04240647517593</v>
      </c>
      <c r="E17" s="11">
        <v>0.24983822902580988</v>
      </c>
      <c r="F17" s="11">
        <v>0.65291259250325751</v>
      </c>
      <c r="G17" s="11">
        <v>1.9228546212010069</v>
      </c>
      <c r="H17" s="11">
        <v>1.9881458804513326</v>
      </c>
      <c r="I17" s="285">
        <v>40.030552355627265</v>
      </c>
    </row>
    <row r="18" spans="1:9" x14ac:dyDescent="0.25">
      <c r="A18" s="319">
        <v>36189</v>
      </c>
      <c r="B18" t="s">
        <v>462</v>
      </c>
      <c r="C18" s="4">
        <v>307.17948406012204</v>
      </c>
      <c r="D18" s="11">
        <v>39.621179628923628</v>
      </c>
      <c r="E18" s="11">
        <v>7.6496982325076637E-2</v>
      </c>
      <c r="F18" s="11">
        <v>0</v>
      </c>
      <c r="G18" s="11">
        <v>1.5767305702303795</v>
      </c>
      <c r="H18" s="11">
        <v>1.5767305702303795</v>
      </c>
      <c r="I18" s="285">
        <v>41.197910199154009</v>
      </c>
    </row>
    <row r="19" spans="1:9" x14ac:dyDescent="0.25">
      <c r="A19" s="319">
        <v>36189</v>
      </c>
      <c r="B19" t="s">
        <v>463</v>
      </c>
      <c r="C19" s="4">
        <v>257.82768300583029</v>
      </c>
      <c r="D19" s="11">
        <v>39.333233066624821</v>
      </c>
      <c r="E19" s="11">
        <v>0.17655889336208538</v>
      </c>
      <c r="F19" s="11">
        <v>1.3567980235009436</v>
      </c>
      <c r="G19" s="11">
        <v>1.9108895858305479</v>
      </c>
      <c r="H19" s="11">
        <v>2.0465693881806422</v>
      </c>
      <c r="I19" s="285">
        <v>41.379802454805464</v>
      </c>
    </row>
    <row r="20" spans="1:9" x14ac:dyDescent="0.25">
      <c r="A20" s="319">
        <v>36152</v>
      </c>
      <c r="B20" t="s">
        <v>464</v>
      </c>
      <c r="C20" s="4">
        <v>260.07326007326009</v>
      </c>
      <c r="D20" s="11">
        <v>18.729934098754018</v>
      </c>
      <c r="E20" s="11">
        <v>0.6049256694599161</v>
      </c>
      <c r="F20" s="11">
        <v>30.313691263599431</v>
      </c>
      <c r="G20" s="11">
        <v>5.5267628713945651</v>
      </c>
      <c r="H20" s="11">
        <v>8.5581319977545078</v>
      </c>
      <c r="I20" s="285">
        <v>27.288066096508526</v>
      </c>
    </row>
    <row r="21" spans="1:9" x14ac:dyDescent="0.25">
      <c r="A21" s="319">
        <v>36123</v>
      </c>
      <c r="B21" s="4" t="s">
        <v>465</v>
      </c>
      <c r="C21" s="4">
        <v>272.88697362661105</v>
      </c>
      <c r="D21" s="11">
        <v>32.8887326776238</v>
      </c>
      <c r="E21" s="11">
        <v>0.28689549934565012</v>
      </c>
      <c r="F21" s="11">
        <v>4.1603343326242115</v>
      </c>
      <c r="G21" s="11">
        <v>2.0688211010166841</v>
      </c>
      <c r="H21" s="11">
        <v>2.4848545342791053</v>
      </c>
      <c r="I21" s="285">
        <v>35.373587211902908</v>
      </c>
    </row>
    <row r="22" spans="1:9" x14ac:dyDescent="0.25">
      <c r="A22" s="319">
        <v>36109</v>
      </c>
      <c r="B22" t="s">
        <v>466</v>
      </c>
      <c r="C22" s="4">
        <v>371.86405712540233</v>
      </c>
      <c r="D22" s="11">
        <v>23.829724390701138</v>
      </c>
      <c r="E22" s="11">
        <v>0.28443820067186859</v>
      </c>
      <c r="F22" s="11">
        <v>21.683616816939654</v>
      </c>
      <c r="G22" s="11">
        <v>3.7532775919202606</v>
      </c>
      <c r="H22" s="11">
        <v>5.9216392736142254</v>
      </c>
      <c r="I22" s="285">
        <v>29.751363664315363</v>
      </c>
    </row>
    <row r="23" spans="1:9" x14ac:dyDescent="0.25">
      <c r="A23" s="319">
        <v>36010</v>
      </c>
      <c r="B23" t="s">
        <v>467</v>
      </c>
      <c r="C23" s="4">
        <v>950.3695881731785</v>
      </c>
      <c r="D23" s="11">
        <v>19.272213046048936</v>
      </c>
      <c r="E23" s="11">
        <v>0.69608137690278848</v>
      </c>
      <c r="F23" s="11">
        <v>29.195830278665689</v>
      </c>
      <c r="G23" s="11">
        <v>5.1983618934583404</v>
      </c>
      <c r="H23" s="11">
        <v>8.1179449213249093</v>
      </c>
      <c r="I23" s="285">
        <v>27.390157967373845</v>
      </c>
    </row>
    <row r="24" spans="1:9" x14ac:dyDescent="0.25">
      <c r="A24" s="319">
        <v>35942</v>
      </c>
      <c r="B24" s="90" t="s">
        <v>468</v>
      </c>
      <c r="C24" s="4">
        <v>256.84931506849318</v>
      </c>
      <c r="D24" s="11">
        <v>34.78060694296876</v>
      </c>
      <c r="E24" s="11">
        <v>0.33560000000000001</v>
      </c>
      <c r="F24" s="11">
        <v>20.078195385303118</v>
      </c>
      <c r="G24" s="11">
        <v>5.2893204777538365</v>
      </c>
      <c r="H24" s="11">
        <v>7.297140016284148</v>
      </c>
      <c r="I24" s="285">
        <v>42.077746959252906</v>
      </c>
    </row>
    <row r="25" spans="1:9" x14ac:dyDescent="0.25">
      <c r="A25" s="256"/>
      <c r="C25" s="4"/>
    </row>
    <row r="26" spans="1:9" x14ac:dyDescent="0.25">
      <c r="A26" s="256"/>
      <c r="C26" s="4"/>
    </row>
    <row r="27" spans="1:9" x14ac:dyDescent="0.25">
      <c r="A27" s="256"/>
      <c r="C27" s="4"/>
    </row>
    <row r="28" spans="1:9" x14ac:dyDescent="0.25">
      <c r="A28" s="256"/>
      <c r="C28" s="4"/>
    </row>
    <row r="29" spans="1:9" x14ac:dyDescent="0.25">
      <c r="A29" s="256"/>
      <c r="B29" s="1" t="s">
        <v>451</v>
      </c>
      <c r="C29" s="321">
        <v>200</v>
      </c>
    </row>
    <row r="30" spans="1:9" x14ac:dyDescent="0.25">
      <c r="A30" s="256"/>
      <c r="B30" s="1" t="s">
        <v>452</v>
      </c>
      <c r="C30" s="321">
        <v>2000</v>
      </c>
    </row>
  </sheetData>
  <pageMargins left="0.75" right="0.75" top="1" bottom="1" header="0.5" footer="0.5"/>
  <pageSetup scale="70" orientation="landscape" r:id="rId1"/>
  <headerFooter alignWithMargins="0">
    <oddFooter>Page &amp;P of 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zoomScale="75" workbookViewId="0">
      <selection activeCell="C1" sqref="C1"/>
    </sheetView>
  </sheetViews>
  <sheetFormatPr defaultRowHeight="13.2" x14ac:dyDescent="0.25"/>
  <cols>
    <col min="1" max="1" width="36.88671875" customWidth="1"/>
    <col min="2" max="2" width="10.44140625" bestFit="1" customWidth="1"/>
    <col min="3" max="7" width="10.33203125" bestFit="1" customWidth="1"/>
  </cols>
  <sheetData>
    <row r="1" spans="1:7" ht="15.6" x14ac:dyDescent="0.3">
      <c r="A1" s="2" t="str">
        <f>'Segment Fin Proj'!A1</f>
        <v>Cat</v>
      </c>
      <c r="C1" s="5"/>
    </row>
    <row r="2" spans="1:7" x14ac:dyDescent="0.25">
      <c r="A2" s="1" t="str">
        <f>'Segment Fin Proj'!A2</f>
        <v>Financials</v>
      </c>
      <c r="C2" s="5"/>
    </row>
    <row r="3" spans="1:7" x14ac:dyDescent="0.25">
      <c r="A3" t="str">
        <f>'Segment Fin Proj'!A3</f>
        <v>($'s in millions)</v>
      </c>
      <c r="C3" s="5"/>
    </row>
    <row r="4" spans="1:7" ht="15.6" x14ac:dyDescent="0.3">
      <c r="A4" s="88"/>
      <c r="B4" s="88"/>
      <c r="C4" s="950"/>
      <c r="D4" s="950"/>
      <c r="E4" s="950"/>
      <c r="F4" s="88"/>
      <c r="G4" s="88"/>
    </row>
    <row r="5" spans="1:7" x14ac:dyDescent="0.25">
      <c r="C5" s="15" t="str">
        <f>'Segment Fin Proj'!AR5</f>
        <v>Pro Forma</v>
      </c>
      <c r="E5" s="6" t="str">
        <f>'Segment Fin Proj'!AT5</f>
        <v>LTM</v>
      </c>
    </row>
    <row r="6" spans="1:7" x14ac:dyDescent="0.25">
      <c r="A6" s="1"/>
      <c r="B6" s="7" t="str">
        <f>'Segment Fin Proj'!AQ6</f>
        <v>Adjustment</v>
      </c>
      <c r="C6" s="12">
        <f>'Segment Fin Proj'!AR6</f>
        <v>1997</v>
      </c>
      <c r="D6" s="12">
        <f>'Segment Fin Proj'!AS6</f>
        <v>1998</v>
      </c>
      <c r="E6" s="12">
        <f>'Segment Fin Proj'!AT6</f>
        <v>1999</v>
      </c>
      <c r="F6" s="12">
        <f>'Segment Fin Proj'!AU6</f>
        <v>1999</v>
      </c>
      <c r="G6" s="12">
        <f>'Segment Fin Proj'!AV6</f>
        <v>2000</v>
      </c>
    </row>
    <row r="7" spans="1:7" x14ac:dyDescent="0.25">
      <c r="C7" s="5"/>
    </row>
    <row r="8" spans="1:7" x14ac:dyDescent="0.25">
      <c r="A8" s="1" t="str">
        <f>'Segment Fin Proj'!A8</f>
        <v xml:space="preserve">Electric Revenues </v>
      </c>
      <c r="C8" s="5"/>
    </row>
    <row r="9" spans="1:7" x14ac:dyDescent="0.25">
      <c r="A9" t="s">
        <v>356</v>
      </c>
      <c r="B9" s="9"/>
      <c r="C9" s="16">
        <f>'Segment Fin Proj'!AR16</f>
        <v>2257.0141659999999</v>
      </c>
      <c r="D9" s="16">
        <f>'Segment Fin Proj'!AS16</f>
        <v>2373.1370290000004</v>
      </c>
      <c r="E9" s="16">
        <f>'Segment Fin Proj'!AT16</f>
        <v>2652.5879248214223</v>
      </c>
      <c r="F9" s="16">
        <f>'Segment Fin Proj'!AU16</f>
        <v>2407.3758118173964</v>
      </c>
      <c r="G9" s="16">
        <f>'Segment Fin Proj'!AV16</f>
        <v>2421.8159489167256</v>
      </c>
    </row>
    <row r="10" spans="1:7" x14ac:dyDescent="0.25">
      <c r="A10" t="str">
        <f>'Segment Fin Proj'!A18</f>
        <v>Wholesale sales</v>
      </c>
      <c r="B10" s="14"/>
      <c r="C10" s="16">
        <f>'Segment Fin Proj'!AR18</f>
        <v>1557.1390929999998</v>
      </c>
      <c r="D10" s="16">
        <f>'Segment Fin Proj'!AS18</f>
        <v>2391.1760920000002</v>
      </c>
      <c r="E10" s="16">
        <f>'Segment Fin Proj'!AT18</f>
        <v>2667.8997642253889</v>
      </c>
      <c r="F10" s="16">
        <f>'Segment Fin Proj'!AU18</f>
        <v>2476.8399754959</v>
      </c>
      <c r="G10" s="16">
        <f>'Segment Fin Proj'!AV18</f>
        <v>2565.5727676180413</v>
      </c>
    </row>
    <row r="11" spans="1:7" x14ac:dyDescent="0.25">
      <c r="A11" t="str">
        <f>'Segment Fin Proj'!A19</f>
        <v>Provision for rate refund</v>
      </c>
      <c r="B11" s="14"/>
      <c r="C11" s="16">
        <f>'Segment Fin Proj'!AR19</f>
        <v>3.8718469999999998</v>
      </c>
      <c r="D11" s="16">
        <f>'Segment Fin Proj'!AS19</f>
        <v>-4.4640029999999999</v>
      </c>
      <c r="E11" s="16">
        <f>'Segment Fin Proj'!AT19</f>
        <v>-4.5274044662423618</v>
      </c>
      <c r="F11" s="16">
        <f>'Segment Fin Proj'!AU19</f>
        <v>0</v>
      </c>
      <c r="G11" s="16">
        <f>'Segment Fin Proj'!AV19</f>
        <v>0</v>
      </c>
    </row>
    <row r="12" spans="1:7" ht="15" x14ac:dyDescent="0.4">
      <c r="A12" t="str">
        <f>'Segment Fin Proj'!A20</f>
        <v>Other</v>
      </c>
      <c r="B12" s="14"/>
      <c r="C12" s="29">
        <f>'Segment Fin Proj'!AR20</f>
        <v>48.575392000000001</v>
      </c>
      <c r="D12" s="29">
        <f>'Segment Fin Proj'!AS20</f>
        <v>50.648491999999997</v>
      </c>
      <c r="E12" s="29">
        <f>'Segment Fin Proj'!AT20</f>
        <v>54.324261419431252</v>
      </c>
      <c r="F12" s="34">
        <f>'Segment Fin Proj'!AU20</f>
        <v>51.661461840000001</v>
      </c>
      <c r="G12" s="34">
        <f>'Segment Fin Proj'!AV20</f>
        <v>52.694691076800005</v>
      </c>
    </row>
    <row r="13" spans="1:7" ht="13.8" thickBot="1" x14ac:dyDescent="0.3">
      <c r="B13" s="39"/>
      <c r="C13" s="41">
        <f>'Segment Fin Proj'!AR25</f>
        <v>3868.5269490000001</v>
      </c>
      <c r="D13" s="41">
        <f>'Segment Fin Proj'!AS25</f>
        <v>4810.4975460000005</v>
      </c>
      <c r="E13" s="41">
        <f>'Segment Fin Proj'!AT25</f>
        <v>5370.2845460000008</v>
      </c>
      <c r="F13" s="41">
        <f>'Segment Fin Proj'!AU25</f>
        <v>4981.1097031532972</v>
      </c>
      <c r="G13" s="41">
        <f>'Segment Fin Proj'!AV25</f>
        <v>5085.315861611567</v>
      </c>
    </row>
    <row r="14" spans="1:7" ht="13.8" thickTop="1" x14ac:dyDescent="0.25">
      <c r="B14" s="16"/>
      <c r="C14" s="16"/>
      <c r="D14" s="16"/>
      <c r="E14" s="16"/>
    </row>
    <row r="15" spans="1:7" ht="13.8" thickBot="1" x14ac:dyDescent="0.3">
      <c r="A15" s="1" t="str">
        <f>'Segment Fin Proj'!A60</f>
        <v>Gas Revenues</v>
      </c>
      <c r="B15" s="39"/>
      <c r="C15" s="41">
        <f>'Segment Fin Proj'!AR63</f>
        <v>495.62</v>
      </c>
      <c r="D15" s="41">
        <f>'Segment Fin Proj'!AS63</f>
        <v>403.43099999999998</v>
      </c>
      <c r="E15" s="41">
        <f>'Segment Fin Proj'!AT63</f>
        <v>435.35399999999993</v>
      </c>
      <c r="F15" s="41">
        <f>'Segment Fin Proj'!AU63</f>
        <v>411.49961999999999</v>
      </c>
      <c r="G15" s="41">
        <f>'Segment Fin Proj'!AV63</f>
        <v>419.72961240000001</v>
      </c>
    </row>
    <row r="16" spans="1:7" ht="13.8" thickTop="1" x14ac:dyDescent="0.25">
      <c r="B16" s="9"/>
      <c r="C16" s="16"/>
      <c r="D16" s="16"/>
      <c r="E16" s="16"/>
    </row>
    <row r="17" spans="1:7" ht="13.8" thickBot="1" x14ac:dyDescent="0.3">
      <c r="A17" s="1" t="s">
        <v>16</v>
      </c>
      <c r="B17" s="39"/>
      <c r="C17" s="40">
        <f>'Segment Fin Proj'!AR68</f>
        <v>4364.1469489999999</v>
      </c>
      <c r="D17" s="40">
        <f>'Segment Fin Proj'!AS68</f>
        <v>5213.9285460000001</v>
      </c>
      <c r="E17" s="40">
        <f>'Segment Fin Proj'!AT68</f>
        <v>5805.638546000001</v>
      </c>
      <c r="F17" s="40">
        <f>'Segment Fin Proj'!AU68</f>
        <v>5392.6093231532968</v>
      </c>
      <c r="G17" s="40">
        <f>'Segment Fin Proj'!AV68</f>
        <v>5505.0454740115674</v>
      </c>
    </row>
    <row r="18" spans="1:7" ht="13.8" thickTop="1" x14ac:dyDescent="0.25">
      <c r="B18" s="39"/>
      <c r="C18" s="48"/>
      <c r="D18" s="48"/>
      <c r="E18" s="48"/>
      <c r="F18" s="48"/>
      <c r="G18" s="48"/>
    </row>
    <row r="19" spans="1:7" x14ac:dyDescent="0.25">
      <c r="B19" s="9"/>
      <c r="C19" s="16"/>
      <c r="D19" s="9"/>
    </row>
    <row r="20" spans="1:7" x14ac:dyDescent="0.25">
      <c r="A20" s="1" t="str">
        <f>'Segment Fin Proj'!A71</f>
        <v>Cost of Goods Sold</v>
      </c>
      <c r="B20" s="9"/>
      <c r="C20" s="16"/>
      <c r="D20" s="9"/>
      <c r="E20" s="9"/>
    </row>
    <row r="21" spans="1:7" x14ac:dyDescent="0.25">
      <c r="A21" t="str">
        <f>'Segment Fin Proj'!A72</f>
        <v>Fuel for electric generation</v>
      </c>
      <c r="B21" s="14"/>
      <c r="C21" s="16">
        <f>'Segment Fin Proj'!AR72</f>
        <v>693</v>
      </c>
      <c r="D21" s="16">
        <f>'Segment Fin Proj'!AS72</f>
        <v>721</v>
      </c>
      <c r="E21" s="16">
        <f>'Segment Fin Proj'!AT72</f>
        <v>1391.066</v>
      </c>
      <c r="F21" s="100">
        <f>'Segment Fin Proj'!AU72</f>
        <v>721</v>
      </c>
      <c r="G21" s="100">
        <f>'Segment Fin Proj'!AV72</f>
        <v>721</v>
      </c>
    </row>
    <row r="22" spans="1:7" x14ac:dyDescent="0.25">
      <c r="A22" t="str">
        <f>'Segment Fin Proj'!A73</f>
        <v>Power purchased</v>
      </c>
      <c r="B22" s="14"/>
      <c r="C22" s="16">
        <f>'Segment Fin Proj'!AR73</f>
        <v>1262</v>
      </c>
      <c r="D22" s="16">
        <f>'Segment Fin Proj'!AS73</f>
        <v>2234</v>
      </c>
      <c r="E22" s="16">
        <f>'Segment Fin Proj'!AT73</f>
        <v>2030.328</v>
      </c>
      <c r="F22" s="100">
        <f>'Segment Fin Proj'!AU73</f>
        <v>2234</v>
      </c>
      <c r="G22" s="100">
        <f>'Segment Fin Proj'!AV73</f>
        <v>2234</v>
      </c>
    </row>
    <row r="23" spans="1:7" ht="15" x14ac:dyDescent="0.4">
      <c r="A23" t="str">
        <f>'Segment Fin Proj'!A74</f>
        <v>Gas supply expenses</v>
      </c>
      <c r="B23" s="34"/>
      <c r="C23" s="34">
        <f>'Segment Fin Proj'!AR74</f>
        <v>266.12299999999999</v>
      </c>
      <c r="D23" s="34">
        <f>'Segment Fin Proj'!AS74</f>
        <v>199.68299999999999</v>
      </c>
      <c r="E23" s="34">
        <f>'Segment Fin Proj'!AT74</f>
        <v>180.74399999999997</v>
      </c>
      <c r="F23" s="101">
        <f>'Segment Fin Proj'!AU74</f>
        <v>199.68299999999999</v>
      </c>
      <c r="G23" s="101">
        <f>'Segment Fin Proj'!AV74</f>
        <v>199.68299999999999</v>
      </c>
    </row>
    <row r="24" spans="1:7" ht="15" x14ac:dyDescent="0.4">
      <c r="B24" s="34"/>
      <c r="C24" s="16">
        <f>'Segment Fin Proj'!AR77</f>
        <v>2221.123</v>
      </c>
      <c r="D24" s="16">
        <f>'Segment Fin Proj'!AS77</f>
        <v>3154.683</v>
      </c>
      <c r="E24" s="16">
        <f>'Segment Fin Proj'!AT77</f>
        <v>3602.1380000000004</v>
      </c>
      <c r="F24" s="16">
        <f>'Segment Fin Proj'!AU77</f>
        <v>3154.683</v>
      </c>
      <c r="G24" s="16">
        <f>'Segment Fin Proj'!AV77</f>
        <v>3154.683</v>
      </c>
    </row>
    <row r="25" spans="1:7" ht="15" x14ac:dyDescent="0.4">
      <c r="B25" s="34"/>
      <c r="C25" s="16"/>
      <c r="D25" s="16"/>
      <c r="E25" s="16"/>
    </row>
    <row r="26" spans="1:7" x14ac:dyDescent="0.25">
      <c r="A26" s="1" t="str">
        <f>'Segment Fin Proj'!A79</f>
        <v>Operating Expenses</v>
      </c>
      <c r="B26" s="9"/>
      <c r="C26" s="16"/>
      <c r="D26" s="9"/>
      <c r="E26" s="9"/>
    </row>
    <row r="27" spans="1:7" x14ac:dyDescent="0.25">
      <c r="A27" t="str">
        <f>'Segment Fin Proj'!A80</f>
        <v>Electric</v>
      </c>
      <c r="B27" s="14"/>
      <c r="C27" s="16">
        <f>'Segment Fin Proj'!AR80</f>
        <v>584.59131266155316</v>
      </c>
      <c r="D27" s="16">
        <f>'Segment Fin Proj'!AS80</f>
        <v>642.30595349214718</v>
      </c>
      <c r="E27" s="16">
        <f>'Segment Fin Proj'!AT80</f>
        <v>593.59144930535831</v>
      </c>
      <c r="F27" s="100">
        <f>'Segment Fin Proj'!AU80</f>
        <v>629.45983442230431</v>
      </c>
      <c r="G27" s="100">
        <f>'Segment Fin Proj'!AV80</f>
        <v>616.87063773385808</v>
      </c>
    </row>
    <row r="28" spans="1:7" x14ac:dyDescent="0.25">
      <c r="A28" t="str">
        <f>'Segment Fin Proj'!A81</f>
        <v>Gas</v>
      </c>
      <c r="B28" s="9"/>
      <c r="C28" s="16">
        <f>'Segment Fin Proj'!AR81</f>
        <v>68.525687338446758</v>
      </c>
      <c r="D28" s="16">
        <f>'Segment Fin Proj'!AS81</f>
        <v>66.694046507852775</v>
      </c>
      <c r="E28" s="16">
        <f>'Segment Fin Proj'!AT81</f>
        <v>53.577550694641722</v>
      </c>
      <c r="F28" s="100">
        <f>'Segment Fin Proj'!AU81</f>
        <v>65.360165577695724</v>
      </c>
      <c r="G28" s="100">
        <f>'Segment Fin Proj'!AV81</f>
        <v>64.052962266141805</v>
      </c>
    </row>
    <row r="29" spans="1:7" ht="15" x14ac:dyDescent="0.4">
      <c r="A29" t="str">
        <f>'Segment Fin Proj'!A82</f>
        <v>Other</v>
      </c>
      <c r="B29" s="9"/>
      <c r="C29" s="34">
        <f>'Segment Fin Proj'!AR82</f>
        <v>0</v>
      </c>
      <c r="D29" s="34">
        <f>'Segment Fin Proj'!AS82</f>
        <v>0</v>
      </c>
      <c r="E29" s="34">
        <f>'Segment Fin Proj'!AT82</f>
        <v>0</v>
      </c>
      <c r="F29" s="101">
        <f>'Segment Fin Proj'!AU82</f>
        <v>0</v>
      </c>
      <c r="G29" s="101">
        <f>'Segment Fin Proj'!AV82</f>
        <v>0</v>
      </c>
    </row>
    <row r="30" spans="1:7" x14ac:dyDescent="0.25">
      <c r="B30" s="9"/>
      <c r="C30" s="9">
        <f>'Segment Fin Proj'!AR83</f>
        <v>653.11699999999996</v>
      </c>
      <c r="D30" s="9">
        <f>'Segment Fin Proj'!AS83</f>
        <v>709</v>
      </c>
      <c r="E30" s="9">
        <f>'Segment Fin Proj'!AT83</f>
        <v>647.16899999999998</v>
      </c>
      <c r="F30" s="9">
        <f>'Segment Fin Proj'!AU83</f>
        <v>694.82</v>
      </c>
      <c r="G30" s="9">
        <f>'Segment Fin Proj'!AV83</f>
        <v>680.92359999999985</v>
      </c>
    </row>
    <row r="31" spans="1:7" x14ac:dyDescent="0.25">
      <c r="A31" s="1" t="str">
        <f>'Segment Fin Proj'!A84</f>
        <v>Maintenance</v>
      </c>
      <c r="B31" s="9"/>
      <c r="C31" s="16"/>
      <c r="D31" s="9"/>
      <c r="E31" s="9"/>
    </row>
    <row r="32" spans="1:7" x14ac:dyDescent="0.25">
      <c r="A32" t="str">
        <f>'Segment Fin Proj'!A85</f>
        <v>Electric</v>
      </c>
      <c r="B32" s="9"/>
      <c r="C32" s="16">
        <f>'Segment Fin Proj'!AR85</f>
        <v>164.84536700000001</v>
      </c>
      <c r="D32" s="16">
        <f>'Segment Fin Proj'!AS85</f>
        <v>180.72829999999999</v>
      </c>
      <c r="E32" s="16">
        <f>'Segment Fin Proj'!AT85</f>
        <v>211.12596688172044</v>
      </c>
      <c r="F32" s="100">
        <f>'Segment Fin Proj'!AU85</f>
        <v>177.11373400000002</v>
      </c>
      <c r="G32" s="100">
        <f>'Segment Fin Proj'!AV85</f>
        <v>173.57145932</v>
      </c>
    </row>
    <row r="33" spans="1:7" x14ac:dyDescent="0.25">
      <c r="A33" t="str">
        <f>'Segment Fin Proj'!A86</f>
        <v>Gas</v>
      </c>
      <c r="B33" s="9"/>
      <c r="C33" s="16">
        <f>'Segment Fin Proj'!AR86</f>
        <v>5.7828160000000004</v>
      </c>
      <c r="D33" s="16">
        <f>'Segment Fin Proj'!AS86</f>
        <v>6.2081749999999998</v>
      </c>
      <c r="E33" s="16">
        <f>'Segment Fin Proj'!AT86</f>
        <v>7.543266397849461</v>
      </c>
      <c r="F33" s="100">
        <f>'Segment Fin Proj'!AU86</f>
        <v>6.0840114999999999</v>
      </c>
      <c r="G33" s="100">
        <f>'Segment Fin Proj'!AV86</f>
        <v>5.96233127</v>
      </c>
    </row>
    <row r="34" spans="1:7" ht="15" x14ac:dyDescent="0.4">
      <c r="A34" t="str">
        <f>'Segment Fin Proj'!A87</f>
        <v>Other</v>
      </c>
      <c r="B34" s="9"/>
      <c r="C34" s="34">
        <f>'Segment Fin Proj'!AR87</f>
        <v>5.8432749999999878</v>
      </c>
      <c r="D34" s="34">
        <f>'Segment Fin Proj'!AS87</f>
        <v>5.8926739999999969</v>
      </c>
      <c r="E34" s="34">
        <f>'Segment Fin Proj'!AT87</f>
        <v>7.1599157204301029</v>
      </c>
      <c r="F34" s="101">
        <f>'Segment Fin Proj'!AU87</f>
        <v>5.7748205199999969</v>
      </c>
      <c r="G34" s="101">
        <f>'Segment Fin Proj'!AV87</f>
        <v>5.6593241095999964</v>
      </c>
    </row>
    <row r="35" spans="1:7" x14ac:dyDescent="0.25">
      <c r="B35" s="9"/>
      <c r="C35" s="9">
        <f>'Segment Fin Proj'!AR88</f>
        <v>176.47145799999998</v>
      </c>
      <c r="D35" s="9">
        <f>'Segment Fin Proj'!AS88</f>
        <v>192.829149</v>
      </c>
      <c r="E35" s="9">
        <f>'Segment Fin Proj'!AT88</f>
        <v>225.829149</v>
      </c>
      <c r="F35" s="9">
        <f>'Segment Fin Proj'!AU88</f>
        <v>188.97256602000002</v>
      </c>
      <c r="G35" s="9">
        <f>'Segment Fin Proj'!AV88</f>
        <v>185.19311469959999</v>
      </c>
    </row>
    <row r="36" spans="1:7" x14ac:dyDescent="0.25">
      <c r="A36" s="1" t="str">
        <f>'Segment Fin Proj'!A89</f>
        <v>DD&amp;A</v>
      </c>
      <c r="B36" s="9"/>
      <c r="C36" s="16"/>
      <c r="D36" s="9"/>
      <c r="E36" s="9"/>
      <c r="F36" s="9"/>
      <c r="G36" s="9"/>
    </row>
    <row r="37" spans="1:7" x14ac:dyDescent="0.25">
      <c r="A37" t="str">
        <f>'Segment Fin Proj'!A90</f>
        <v>Electric</v>
      </c>
      <c r="B37" s="9"/>
      <c r="C37" s="16">
        <f>'Segment Fin Proj'!AR90</f>
        <v>279.99319100000002</v>
      </c>
      <c r="D37" s="16">
        <f>'Segment Fin Proj'!AS90</f>
        <v>297.04327799999999</v>
      </c>
      <c r="E37" s="16">
        <f>'Segment Fin Proj'!AT90</f>
        <v>305.07311555574188</v>
      </c>
      <c r="F37" s="100">
        <f>'Segment Fin Proj'!AU90</f>
        <v>297.04327799999999</v>
      </c>
      <c r="G37" s="100">
        <f>'Segment Fin Proj'!AV90</f>
        <v>297.04327799999999</v>
      </c>
    </row>
    <row r="38" spans="1:7" x14ac:dyDescent="0.25">
      <c r="A38" t="str">
        <f>'Segment Fin Proj'!A91</f>
        <v>Gas</v>
      </c>
      <c r="B38" s="14"/>
      <c r="C38" s="16">
        <f>'Segment Fin Proj'!AR91</f>
        <v>17.349834999999999</v>
      </c>
      <c r="D38" s="16">
        <f>'Segment Fin Proj'!AS91</f>
        <v>17.872567</v>
      </c>
      <c r="E38" s="16">
        <f>'Segment Fin Proj'!AT91</f>
        <v>18.404323306411523</v>
      </c>
      <c r="F38" s="100">
        <f>'Segment Fin Proj'!AU91</f>
        <v>17.872567</v>
      </c>
      <c r="G38" s="100">
        <f>'Segment Fin Proj'!AV91</f>
        <v>17.872567</v>
      </c>
    </row>
    <row r="39" spans="1:7" ht="15" x14ac:dyDescent="0.4">
      <c r="A39" t="str">
        <f>'Segment Fin Proj'!A92</f>
        <v>Other</v>
      </c>
      <c r="B39" s="14"/>
      <c r="C39" s="34">
        <f>'Segment Fin Proj'!AR92</f>
        <v>9.5789739999999881</v>
      </c>
      <c r="D39" s="34">
        <f>'Segment Fin Proj'!AS92</f>
        <v>6.7971550000000036</v>
      </c>
      <c r="E39" s="34">
        <f>'Segment Fin Proj'!AT92</f>
        <v>7.0405611378466277</v>
      </c>
      <c r="F39" s="101">
        <f>'Segment Fin Proj'!AU92</f>
        <v>6.7971550000000036</v>
      </c>
      <c r="G39" s="101">
        <f>'Segment Fin Proj'!AV92</f>
        <v>6.7971550000000036</v>
      </c>
    </row>
    <row r="40" spans="1:7" x14ac:dyDescent="0.25">
      <c r="B40" s="9"/>
      <c r="C40" s="9">
        <f>'Segment Fin Proj'!AR93</f>
        <v>306.92200000000003</v>
      </c>
      <c r="D40" s="9">
        <f>'Segment Fin Proj'!AS93</f>
        <v>321.71299999999997</v>
      </c>
      <c r="E40" s="9">
        <f>'Segment Fin Proj'!AT93</f>
        <v>330.51800000000003</v>
      </c>
      <c r="F40" s="9">
        <f>'Segment Fin Proj'!AU93</f>
        <v>321.71299999999997</v>
      </c>
      <c r="G40" s="9">
        <f>'Segment Fin Proj'!AV93</f>
        <v>321.71299999999997</v>
      </c>
    </row>
    <row r="41" spans="1:7" x14ac:dyDescent="0.25">
      <c r="A41" s="1" t="str">
        <f>'Segment Fin Proj'!A94</f>
        <v>Property &amp; Other Taxes</v>
      </c>
      <c r="B41" s="9"/>
      <c r="C41" s="16"/>
      <c r="D41" s="9"/>
      <c r="E41" s="9"/>
      <c r="F41" s="9"/>
      <c r="G41" s="9"/>
    </row>
    <row r="42" spans="1:7" x14ac:dyDescent="0.25">
      <c r="A42" s="5" t="str">
        <f>'Segment Fin Proj'!A95</f>
        <v>Electric</v>
      </c>
      <c r="B42" s="14"/>
      <c r="C42" s="16">
        <f>'Segment Fin Proj'!AR95</f>
        <v>214.066464</v>
      </c>
      <c r="D42" s="16">
        <f>'Segment Fin Proj'!AS95</f>
        <v>219.58266500000002</v>
      </c>
      <c r="E42" s="16">
        <f>'Segment Fin Proj'!AT95</f>
        <v>219.31145459170565</v>
      </c>
      <c r="F42" s="100">
        <f>'Segment Fin Proj'!AU95</f>
        <v>219.58266500000002</v>
      </c>
      <c r="G42" s="100">
        <f>'Segment Fin Proj'!AV95</f>
        <v>219.58266500000002</v>
      </c>
    </row>
    <row r="43" spans="1:7" x14ac:dyDescent="0.25">
      <c r="A43" t="str">
        <f>'Segment Fin Proj'!A96</f>
        <v>Gas</v>
      </c>
      <c r="B43" s="9"/>
      <c r="C43" s="16">
        <f>'Segment Fin Proj'!AR96</f>
        <v>46.537624000000001</v>
      </c>
      <c r="D43" s="16">
        <f>'Segment Fin Proj'!AS96</f>
        <v>48.302554000000001</v>
      </c>
      <c r="E43" s="16">
        <f>'Segment Fin Proj'!AT96</f>
        <v>48.433022883656193</v>
      </c>
      <c r="F43" s="100">
        <f>'Segment Fin Proj'!AU96</f>
        <v>48.302554000000001</v>
      </c>
      <c r="G43" s="100">
        <f>'Segment Fin Proj'!AV96</f>
        <v>48.302554000000001</v>
      </c>
    </row>
    <row r="44" spans="1:7" ht="15" x14ac:dyDescent="0.4">
      <c r="A44" t="str">
        <f>'Segment Fin Proj'!A97</f>
        <v>Other</v>
      </c>
      <c r="B44" s="14"/>
      <c r="C44" s="34">
        <f>'Segment Fin Proj'!AR97</f>
        <v>4.4196259999999867</v>
      </c>
      <c r="D44" s="34">
        <f>'Segment Fin Proj'!AS97</f>
        <v>4.3469799999999879</v>
      </c>
      <c r="E44" s="34">
        <f>'Segment Fin Proj'!AT97</f>
        <v>4.3587215246381215</v>
      </c>
      <c r="F44" s="101">
        <f>'Segment Fin Proj'!AU97</f>
        <v>4.3469799999999879</v>
      </c>
      <c r="G44" s="101">
        <f>'Segment Fin Proj'!AV97</f>
        <v>4.3469799999999879</v>
      </c>
    </row>
    <row r="45" spans="1:7" x14ac:dyDescent="0.25">
      <c r="B45" s="9"/>
      <c r="C45" s="16">
        <f>'Segment Fin Proj'!AR98</f>
        <v>265.02371399999998</v>
      </c>
      <c r="D45" s="16">
        <f>'Segment Fin Proj'!AS98</f>
        <v>272.23219899999998</v>
      </c>
      <c r="E45" s="16">
        <f>'Segment Fin Proj'!AT98</f>
        <v>272.10319899999996</v>
      </c>
      <c r="F45" s="16">
        <f>'Segment Fin Proj'!AU98</f>
        <v>272.23219899999998</v>
      </c>
      <c r="G45" s="16">
        <f>'Segment Fin Proj'!AV98</f>
        <v>272.23219899999998</v>
      </c>
    </row>
    <row r="46" spans="1:7" x14ac:dyDescent="0.25">
      <c r="A46" s="1" t="str">
        <f>'Segment Fin Proj'!A104</f>
        <v>EBIT</v>
      </c>
      <c r="B46" s="9"/>
      <c r="C46" s="16"/>
      <c r="D46" s="9"/>
      <c r="E46" s="9"/>
      <c r="F46" s="9"/>
      <c r="G46" s="9"/>
    </row>
    <row r="47" spans="1:7" x14ac:dyDescent="0.25">
      <c r="A47" t="str">
        <f>'Segment Fin Proj'!A105</f>
        <v>Electric</v>
      </c>
      <c r="B47" s="9"/>
      <c r="C47" s="9">
        <f>'Segment Fin Proj'!AR105</f>
        <v>670.03061433844687</v>
      </c>
      <c r="D47" s="9">
        <f>'Segment Fin Proj'!AS105</f>
        <v>515.83734950785333</v>
      </c>
      <c r="E47" s="9">
        <f>'Segment Fin Proj'!AT105</f>
        <v>619.78855966547474</v>
      </c>
      <c r="F47" s="9">
        <f>'Segment Fin Proj'!AU105</f>
        <v>702.91019173099289</v>
      </c>
      <c r="G47" s="9">
        <f>'Segment Fin Proj'!AV105</f>
        <v>823.24782155770879</v>
      </c>
    </row>
    <row r="48" spans="1:7" x14ac:dyDescent="0.25">
      <c r="A48" t="str">
        <f>'Segment Fin Proj'!A106</f>
        <v>Gas</v>
      </c>
      <c r="B48" s="9"/>
      <c r="C48" s="9">
        <f>'Segment Fin Proj'!AR106</f>
        <v>91.301037661553266</v>
      </c>
      <c r="D48" s="9">
        <f>'Segment Fin Proj'!AS106</f>
        <v>64.670657492147214</v>
      </c>
      <c r="E48" s="9">
        <f>'Segment Fin Proj'!AT106</f>
        <v>126.65183671744104</v>
      </c>
      <c r="F48" s="9">
        <f>'Segment Fin Proj'!AU106</f>
        <v>74.197321922304255</v>
      </c>
      <c r="G48" s="9">
        <f>'Segment Fin Proj'!AV106</f>
        <v>83.856197863858213</v>
      </c>
    </row>
    <row r="49" spans="1:7" ht="15" x14ac:dyDescent="0.4">
      <c r="A49" s="30" t="str">
        <f>'Segment Fin Proj'!A107</f>
        <v>Other</v>
      </c>
      <c r="B49" s="27"/>
      <c r="C49" s="34">
        <f>'Segment Fin Proj'!AR107</f>
        <v>-19.841874999999963</v>
      </c>
      <c r="D49" s="34">
        <f>'Segment Fin Proj'!AS107</f>
        <v>-17.036808999999987</v>
      </c>
      <c r="E49" s="34">
        <f>'Segment Fin Proj'!AT107</f>
        <v>-18.55919838291485</v>
      </c>
      <c r="F49" s="34">
        <f>'Segment Fin Proj'!AU107</f>
        <v>-16.91895551999999</v>
      </c>
      <c r="G49" s="34">
        <f>'Segment Fin Proj'!AV107</f>
        <v>-16.803459109599988</v>
      </c>
    </row>
    <row r="50" spans="1:7" x14ac:dyDescent="0.25">
      <c r="B50" s="9"/>
      <c r="C50" s="9">
        <f>'Segment Fin Proj'!AR108</f>
        <v>741.48977700000012</v>
      </c>
      <c r="D50" s="9">
        <f>'Segment Fin Proj'!AS108</f>
        <v>563.47119800000064</v>
      </c>
      <c r="E50" s="9">
        <f>'Segment Fin Proj'!AT108</f>
        <v>727.88119800000095</v>
      </c>
      <c r="F50" s="9">
        <f>'Segment Fin Proj'!AU108</f>
        <v>760.18855813329719</v>
      </c>
      <c r="G50" s="9">
        <f>'Segment Fin Proj'!AV108</f>
        <v>890.30056031196705</v>
      </c>
    </row>
    <row r="51" spans="1:7" x14ac:dyDescent="0.25">
      <c r="A51" s="1" t="str">
        <f>'Segment Fin Proj'!A110</f>
        <v>EBITDA</v>
      </c>
      <c r="B51" s="9"/>
      <c r="C51" s="16"/>
      <c r="D51" s="9"/>
      <c r="E51" s="9"/>
      <c r="F51" s="9"/>
      <c r="G51" s="9"/>
    </row>
    <row r="52" spans="1:7" x14ac:dyDescent="0.25">
      <c r="A52" t="str">
        <f>'Segment Fin Proj'!A111</f>
        <v>Electric</v>
      </c>
      <c r="B52" s="9"/>
      <c r="C52" s="9">
        <f>'Segment Fin Proj'!AR111</f>
        <v>950.02380533844689</v>
      </c>
      <c r="D52" s="9">
        <f>'Segment Fin Proj'!AS111</f>
        <v>812.88062750785332</v>
      </c>
      <c r="E52" s="9">
        <f>'Segment Fin Proj'!AT111</f>
        <v>924.86167522121661</v>
      </c>
      <c r="F52" s="9">
        <f>'Segment Fin Proj'!AU111</f>
        <v>999.95346973099288</v>
      </c>
      <c r="G52" s="9">
        <f>'Segment Fin Proj'!AV111</f>
        <v>1120.2910995577088</v>
      </c>
    </row>
    <row r="53" spans="1:7" x14ac:dyDescent="0.25">
      <c r="A53" t="str">
        <f>'Segment Fin Proj'!A112</f>
        <v>Gas</v>
      </c>
      <c r="B53" s="9"/>
      <c r="C53" s="9">
        <f>'Segment Fin Proj'!AR112</f>
        <v>108.65087266155327</v>
      </c>
      <c r="D53" s="9">
        <f>'Segment Fin Proj'!AS112</f>
        <v>82.543224492147218</v>
      </c>
      <c r="E53" s="9">
        <f>'Segment Fin Proj'!AT112</f>
        <v>145.05616002385256</v>
      </c>
      <c r="F53" s="9">
        <f>'Segment Fin Proj'!AU112</f>
        <v>92.069888922304258</v>
      </c>
      <c r="G53" s="9">
        <f>'Segment Fin Proj'!AV112</f>
        <v>101.72876486385822</v>
      </c>
    </row>
    <row r="54" spans="1:7" ht="15" x14ac:dyDescent="0.4">
      <c r="A54" s="30" t="str">
        <f>'Segment Fin Proj'!A113</f>
        <v>Other</v>
      </c>
      <c r="B54" s="27"/>
      <c r="C54" s="34">
        <f>'Segment Fin Proj'!AR113</f>
        <v>-10.262900999999975</v>
      </c>
      <c r="D54" s="34">
        <f>'Segment Fin Proj'!AS113</f>
        <v>-10.239653999999984</v>
      </c>
      <c r="E54" s="34">
        <f>'Segment Fin Proj'!AT113</f>
        <v>-11.518637245068224</v>
      </c>
      <c r="F54" s="34">
        <f>'Segment Fin Proj'!AU113</f>
        <v>-10.121800519999987</v>
      </c>
      <c r="G54" s="34">
        <f>'Segment Fin Proj'!AV113</f>
        <v>-10.006304109599984</v>
      </c>
    </row>
    <row r="55" spans="1:7" ht="13.8" thickBot="1" x14ac:dyDescent="0.3">
      <c r="B55" s="39"/>
      <c r="C55" s="40">
        <f>'Segment Fin Proj'!AR114</f>
        <v>1048.411777</v>
      </c>
      <c r="D55" s="40">
        <f>'Segment Fin Proj'!AS114</f>
        <v>885.18419800000061</v>
      </c>
      <c r="E55" s="40">
        <f>'Segment Fin Proj'!AT114</f>
        <v>1058.399198000001</v>
      </c>
      <c r="F55" s="40">
        <f>'Segment Fin Proj'!AU114</f>
        <v>1081.9015581332972</v>
      </c>
      <c r="G55" s="40">
        <f>'Segment Fin Proj'!AV114</f>
        <v>1212.013560311967</v>
      </c>
    </row>
    <row r="56" spans="1:7" ht="13.8" thickTop="1" x14ac:dyDescent="0.25">
      <c r="B56" s="39"/>
      <c r="C56" s="48"/>
      <c r="D56" s="48"/>
      <c r="E56" s="48"/>
    </row>
    <row r="57" spans="1:7" x14ac:dyDescent="0.25">
      <c r="A57" s="1" t="str">
        <f>'Segment Fin Proj'!A117</f>
        <v>Interest Charges</v>
      </c>
      <c r="B57" s="9"/>
      <c r="C57" s="16"/>
      <c r="D57" s="21"/>
      <c r="E57" s="9"/>
      <c r="F57" s="9"/>
    </row>
    <row r="58" spans="1:7" x14ac:dyDescent="0.25">
      <c r="A58" t="str">
        <f>'Segment Fin Proj'!A118</f>
        <v>Electric</v>
      </c>
      <c r="B58" s="9"/>
      <c r="C58" s="51">
        <f>'Segment Fin Proj'!AR118</f>
        <v>176.4004629609928</v>
      </c>
      <c r="D58" s="51">
        <f>'Segment Fin Proj'!AS118</f>
        <v>176.92319518074845</v>
      </c>
      <c r="E58" s="9">
        <f>'Segment Fin Proj'!AT118</f>
        <v>170.43147158792237</v>
      </c>
      <c r="F58" s="100">
        <f>'Segment Fin Proj'!AU118</f>
        <v>176.92319518074845</v>
      </c>
      <c r="G58" s="100">
        <f>'Segment Fin Proj'!AV118</f>
        <v>176.92319518074845</v>
      </c>
    </row>
    <row r="59" spans="1:7" x14ac:dyDescent="0.25">
      <c r="A59" t="str">
        <f>'Segment Fin Proj'!A119</f>
        <v>Gas</v>
      </c>
      <c r="B59" s="9"/>
      <c r="C59" s="51">
        <f>'Segment Fin Proj'!AR119</f>
        <v>23.882112039007225</v>
      </c>
      <c r="D59" s="51">
        <f>'Segment Fin Proj'!AS119</f>
        <v>14.673633819251535</v>
      </c>
      <c r="E59" s="9">
        <f>'Segment Fin Proj'!AT119</f>
        <v>14.245357412077622</v>
      </c>
      <c r="F59" s="100">
        <f>'Segment Fin Proj'!AU119</f>
        <v>14.673633819251535</v>
      </c>
      <c r="G59" s="100">
        <f>'Segment Fin Proj'!AV119</f>
        <v>14.673633819251535</v>
      </c>
    </row>
    <row r="60" spans="1:7" ht="15" x14ac:dyDescent="0.4">
      <c r="A60" s="30" t="str">
        <f>'Segment Fin Proj'!A120</f>
        <v>Other</v>
      </c>
      <c r="B60" s="9"/>
      <c r="C60" s="86">
        <f>'Segment Fin Proj'!AR120</f>
        <v>0</v>
      </c>
      <c r="D60" s="86">
        <f>'Segment Fin Proj'!AS120</f>
        <v>0</v>
      </c>
      <c r="E60" s="34">
        <f>'Segment Fin Proj'!AT120</f>
        <v>0</v>
      </c>
      <c r="F60" s="101">
        <f>'Segment Fin Proj'!AU120</f>
        <v>0</v>
      </c>
      <c r="G60" s="101">
        <f>'Segment Fin Proj'!AV120</f>
        <v>0</v>
      </c>
    </row>
    <row r="61" spans="1:7" x14ac:dyDescent="0.25">
      <c r="A61" s="30"/>
      <c r="B61" s="9"/>
      <c r="C61" s="16">
        <f>'Segment Fin Proj'!AR121</f>
        <v>200.28257500000001</v>
      </c>
      <c r="D61" s="16">
        <f>'Segment Fin Proj'!AS121</f>
        <v>191.59682899999999</v>
      </c>
      <c r="E61" s="16">
        <f>'Segment Fin Proj'!AT121</f>
        <v>184.676829</v>
      </c>
      <c r="F61" s="16">
        <f>'Segment Fin Proj'!AU121</f>
        <v>191.59682899999999</v>
      </c>
      <c r="G61" s="16">
        <f>'Segment Fin Proj'!AV121</f>
        <v>191.59682899999999</v>
      </c>
    </row>
    <row r="62" spans="1:7" x14ac:dyDescent="0.25">
      <c r="A62" s="1"/>
      <c r="B62" s="9"/>
      <c r="C62" s="21"/>
      <c r="D62" s="21"/>
      <c r="E62" s="9"/>
      <c r="F62" s="9"/>
      <c r="G62" s="9"/>
    </row>
    <row r="63" spans="1:7" x14ac:dyDescent="0.25">
      <c r="A63" s="1" t="str">
        <f>'Segment Fin Proj'!A123</f>
        <v>Other Income/Losses</v>
      </c>
      <c r="B63" s="9"/>
      <c r="C63" s="16"/>
      <c r="D63" s="21"/>
      <c r="E63" s="9"/>
      <c r="F63" s="9"/>
      <c r="G63" s="9"/>
    </row>
    <row r="64" spans="1:7" x14ac:dyDescent="0.25">
      <c r="A64" t="str">
        <f>'Segment Fin Proj'!A124</f>
        <v>Electric</v>
      </c>
      <c r="B64" s="9"/>
      <c r="C64" s="51">
        <f>'Segment Fin Proj'!AR124</f>
        <v>4.6239999999999997</v>
      </c>
      <c r="D64" s="51">
        <f>'Segment Fin Proj'!AS124</f>
        <v>3.3</v>
      </c>
      <c r="E64" s="9">
        <f>'Segment Fin Proj'!AT124</f>
        <v>3.754</v>
      </c>
      <c r="F64" s="100">
        <f>'Segment Fin Proj'!AU124</f>
        <v>3.8290800000000003</v>
      </c>
      <c r="G64" s="100">
        <f>'Segment Fin Proj'!AV124</f>
        <v>3.9056616000000002</v>
      </c>
    </row>
    <row r="65" spans="1:7" x14ac:dyDescent="0.25">
      <c r="A65" t="str">
        <f>'Segment Fin Proj'!A125</f>
        <v>Gas</v>
      </c>
      <c r="B65" s="9"/>
      <c r="C65" s="79">
        <f>'Segment Fin Proj'!AR125</f>
        <v>0</v>
      </c>
      <c r="D65" s="51">
        <f>'Segment Fin Proj'!AS125</f>
        <v>0</v>
      </c>
      <c r="E65" s="79">
        <f>'Segment Fin Proj'!AT125</f>
        <v>0</v>
      </c>
      <c r="F65" s="100">
        <f>'Segment Fin Proj'!AU125</f>
        <v>0</v>
      </c>
      <c r="G65" s="100">
        <f>'Segment Fin Proj'!AV125</f>
        <v>0</v>
      </c>
    </row>
    <row r="66" spans="1:7" ht="15" x14ac:dyDescent="0.4">
      <c r="A66" t="str">
        <f>'Segment Fin Proj'!A126</f>
        <v>Other</v>
      </c>
      <c r="B66" s="9"/>
      <c r="C66" s="86">
        <f>'Segment Fin Proj'!AR126</f>
        <v>-6.1559999999999997</v>
      </c>
      <c r="D66" s="86">
        <f>'Segment Fin Proj'!AS126</f>
        <v>-1.2909999999999999</v>
      </c>
      <c r="E66" s="34">
        <f>'Segment Fin Proj'!AT126</f>
        <v>14.548000000000002</v>
      </c>
      <c r="F66" s="101">
        <f>'Segment Fin Proj'!AU126</f>
        <v>-1.3168199999999999</v>
      </c>
      <c r="G66" s="101">
        <f>'Segment Fin Proj'!AV126</f>
        <v>-1.3431563999999998</v>
      </c>
    </row>
    <row r="67" spans="1:7" x14ac:dyDescent="0.25">
      <c r="A67" s="1"/>
      <c r="B67" s="9"/>
      <c r="C67" s="51">
        <f>'Segment Fin Proj'!AR127</f>
        <v>-1.532</v>
      </c>
      <c r="D67" s="51">
        <f>'Segment Fin Proj'!AS127</f>
        <v>2.0089999999999999</v>
      </c>
      <c r="E67" s="51">
        <f>'Segment Fin Proj'!AT127</f>
        <v>18.302000000000003</v>
      </c>
      <c r="F67" s="51">
        <f>'Segment Fin Proj'!AU127</f>
        <v>2.5122600000000004</v>
      </c>
      <c r="G67" s="51">
        <f>'Segment Fin Proj'!AV127</f>
        <v>2.5625052000000004</v>
      </c>
    </row>
    <row r="68" spans="1:7" x14ac:dyDescent="0.25">
      <c r="A68" s="1"/>
      <c r="B68" s="9"/>
      <c r="C68" s="75"/>
      <c r="D68" s="75"/>
      <c r="E68" s="16"/>
      <c r="F68" s="9"/>
      <c r="G68" s="9"/>
    </row>
    <row r="69" spans="1:7" x14ac:dyDescent="0.25">
      <c r="A69" s="1" t="str">
        <f>'Segment Fin Proj'!A129</f>
        <v>Pre-Tax Income</v>
      </c>
      <c r="B69" s="9"/>
      <c r="C69" s="75"/>
      <c r="D69" s="75"/>
      <c r="E69" s="16"/>
      <c r="F69" s="9"/>
      <c r="G69" s="9"/>
    </row>
    <row r="70" spans="1:7" x14ac:dyDescent="0.25">
      <c r="A70" t="str">
        <f>'Segment Fin Proj'!A130</f>
        <v>Electric</v>
      </c>
      <c r="B70" s="9"/>
      <c r="C70" s="51">
        <f>'Segment Fin Proj'!AR130</f>
        <v>498.25415137745409</v>
      </c>
      <c r="D70" s="51">
        <f>'Segment Fin Proj'!AS130</f>
        <v>342.21415432710432</v>
      </c>
      <c r="E70" s="9">
        <f>'Segment Fin Proj'!AT130</f>
        <v>453.11108807755164</v>
      </c>
      <c r="F70" s="100">
        <f>'Segment Fin Proj'!AU130</f>
        <v>529.81607655024402</v>
      </c>
      <c r="G70" s="100">
        <f>'Segment Fin Proj'!AV130</f>
        <v>650.23028797695997</v>
      </c>
    </row>
    <row r="71" spans="1:7" x14ac:dyDescent="0.25">
      <c r="A71" t="str">
        <f>'Segment Fin Proj'!A131</f>
        <v>Gas</v>
      </c>
      <c r="B71" s="9"/>
      <c r="C71" s="51">
        <f>'Segment Fin Proj'!AR131</f>
        <v>67.418925622546041</v>
      </c>
      <c r="D71" s="51">
        <f>'Segment Fin Proj'!AS131</f>
        <v>49.997023672895679</v>
      </c>
      <c r="E71" s="9">
        <f>'Segment Fin Proj'!AT131</f>
        <v>112.40647930536342</v>
      </c>
      <c r="F71" s="100">
        <f>'Segment Fin Proj'!AU131</f>
        <v>59.52368810305272</v>
      </c>
      <c r="G71" s="100">
        <f>'Segment Fin Proj'!AV131</f>
        <v>69.182564044606679</v>
      </c>
    </row>
    <row r="72" spans="1:7" ht="15" x14ac:dyDescent="0.4">
      <c r="A72" s="30" t="str">
        <f>'Segment Fin Proj'!A132</f>
        <v>Other</v>
      </c>
      <c r="B72" s="9"/>
      <c r="C72" s="86">
        <f>'Segment Fin Proj'!AR132</f>
        <v>-25.997874999999965</v>
      </c>
      <c r="D72" s="86">
        <f>'Segment Fin Proj'!AS132</f>
        <v>-18.327808999999988</v>
      </c>
      <c r="E72" s="34">
        <f>'Segment Fin Proj'!AT132</f>
        <v>-25.739205266119047</v>
      </c>
      <c r="F72" s="101">
        <f>'Segment Fin Proj'!AU132</f>
        <v>-18.23577551999999</v>
      </c>
      <c r="G72" s="101">
        <f>'Segment Fin Proj'!AV132</f>
        <v>-18.146615509599989</v>
      </c>
    </row>
    <row r="73" spans="1:7" x14ac:dyDescent="0.25">
      <c r="A73" s="1"/>
      <c r="B73" s="9"/>
      <c r="C73" s="16">
        <f>'Segment Fin Proj'!AR133</f>
        <v>539.67520200000001</v>
      </c>
      <c r="D73" s="16">
        <f>'Segment Fin Proj'!AS133</f>
        <v>373.8833690000007</v>
      </c>
      <c r="E73" s="16">
        <f>'Segment Fin Proj'!AT133</f>
        <v>561.50636900000097</v>
      </c>
      <c r="F73" s="16">
        <f>'Segment Fin Proj'!AU133</f>
        <v>571.1039891332972</v>
      </c>
      <c r="G73" s="16">
        <f>'Segment Fin Proj'!AV133</f>
        <v>701.26623651196712</v>
      </c>
    </row>
    <row r="74" spans="1:7" x14ac:dyDescent="0.25">
      <c r="A74" s="1"/>
      <c r="B74" s="9"/>
      <c r="C74" s="75"/>
      <c r="D74" s="75"/>
      <c r="E74" s="16"/>
      <c r="F74" s="9"/>
      <c r="G74" s="9"/>
    </row>
    <row r="75" spans="1:7" x14ac:dyDescent="0.25">
      <c r="A75" s="1" t="str">
        <f>'Segment Fin Proj'!A135</f>
        <v>Income Taxes--Federal</v>
      </c>
      <c r="B75" s="9"/>
      <c r="C75" s="16"/>
      <c r="D75" s="16"/>
      <c r="E75" s="9"/>
      <c r="F75" s="9"/>
      <c r="G75" s="9"/>
    </row>
    <row r="76" spans="1:7" x14ac:dyDescent="0.25">
      <c r="A76" t="str">
        <f>'Segment Fin Proj'!A136</f>
        <v>Electric</v>
      </c>
      <c r="B76" s="9"/>
      <c r="C76" s="16">
        <f>'Segment Fin Proj'!AR136</f>
        <v>223.35148400000003</v>
      </c>
      <c r="D76" s="16">
        <f>'Segment Fin Proj'!AS136</f>
        <v>143.03001600000002</v>
      </c>
      <c r="E76" s="9">
        <f>'Segment Fin Proj'!AT136</f>
        <v>171.7121562561681</v>
      </c>
      <c r="F76" s="100">
        <f>'Segment Fin Proj'!AU136</f>
        <v>216.73612011750924</v>
      </c>
      <c r="G76" s="100">
        <f>'Segment Fin Proj'!AV136</f>
        <v>262.57898208113374</v>
      </c>
    </row>
    <row r="77" spans="1:7" x14ac:dyDescent="0.25">
      <c r="A77" t="str">
        <f>'Segment Fin Proj'!A137</f>
        <v>Gas</v>
      </c>
      <c r="B77" s="9"/>
      <c r="C77" s="16">
        <f>'Segment Fin Proj'!AR137</f>
        <v>15.924778999999987</v>
      </c>
      <c r="D77" s="16">
        <f>'Segment Fin Proj'!AS137</f>
        <v>13.562353999999999</v>
      </c>
      <c r="E77" s="9">
        <f>'Segment Fin Proj'!AT137</f>
        <v>16.560991082402083</v>
      </c>
      <c r="F77" s="100">
        <f>'Segment Fin Proj'!AU137</f>
        <v>16.146587739318406</v>
      </c>
      <c r="G77" s="100">
        <f>'Segment Fin Proj'!AV137</f>
        <v>18.766685599912737</v>
      </c>
    </row>
    <row r="78" spans="1:7" ht="15" x14ac:dyDescent="0.4">
      <c r="A78" s="30" t="str">
        <f>'Segment Fin Proj'!A138</f>
        <v>Other</v>
      </c>
      <c r="B78" s="9"/>
      <c r="C78" s="34">
        <f>'Segment Fin Proj'!AR138</f>
        <v>-23.135263000000023</v>
      </c>
      <c r="D78" s="34">
        <f>'Segment Fin Proj'!AS138</f>
        <v>-5.1233700000000084</v>
      </c>
      <c r="E78" s="34">
        <f>'Segment Fin Proj'!AT138</f>
        <v>125.54285266142983</v>
      </c>
      <c r="F78" s="101">
        <f>'Segment Fin Proj'!AU138</f>
        <v>-5.1047624580264275</v>
      </c>
      <c r="G78" s="101">
        <f>'Segment Fin Proj'!AV138</f>
        <v>-5.0867358807864615</v>
      </c>
    </row>
    <row r="79" spans="1:7" x14ac:dyDescent="0.25">
      <c r="A79" s="30"/>
      <c r="B79" s="9"/>
      <c r="C79" s="16">
        <f>'Segment Fin Proj'!AR139</f>
        <v>216.14100000000002</v>
      </c>
      <c r="D79" s="16">
        <f>'Segment Fin Proj'!AS139</f>
        <v>151.46899999999999</v>
      </c>
      <c r="E79" s="16">
        <f>'Segment Fin Proj'!AT139</f>
        <v>313.81600000000003</v>
      </c>
      <c r="F79" s="16">
        <f>'Segment Fin Proj'!AU139</f>
        <v>227.77794539880125</v>
      </c>
      <c r="G79" s="16">
        <f>'Segment Fin Proj'!AV139</f>
        <v>276.25893180026003</v>
      </c>
    </row>
    <row r="80" spans="1:7" x14ac:dyDescent="0.25">
      <c r="A80" s="30"/>
      <c r="B80" s="9"/>
      <c r="C80" s="16"/>
      <c r="D80" s="16"/>
      <c r="E80" s="9"/>
      <c r="F80" s="9"/>
      <c r="G80" s="9"/>
    </row>
    <row r="81" spans="1:7" x14ac:dyDescent="0.25">
      <c r="A81" s="1" t="str">
        <f>'Segment Fin Proj'!A141</f>
        <v>Net Income Before Non-Recurring Items</v>
      </c>
      <c r="B81" s="9"/>
      <c r="C81" s="16"/>
      <c r="D81" s="21"/>
      <c r="E81" s="9"/>
      <c r="F81" s="9"/>
      <c r="G81" s="9"/>
    </row>
    <row r="82" spans="1:7" x14ac:dyDescent="0.25">
      <c r="A82" t="str">
        <f>'Segment Fin Proj'!A142</f>
        <v>Electric</v>
      </c>
      <c r="B82" s="9"/>
      <c r="C82" s="16">
        <f>'Segment Fin Proj'!AR142</f>
        <v>274.90266737745407</v>
      </c>
      <c r="D82" s="16">
        <f>'Segment Fin Proj'!AS142</f>
        <v>199.18413832710431</v>
      </c>
      <c r="E82" s="16">
        <f>'Segment Fin Proj'!AT142</f>
        <v>281.39893182138354</v>
      </c>
      <c r="F82" s="16">
        <f>'Segment Fin Proj'!AU142</f>
        <v>313.07995643273478</v>
      </c>
      <c r="G82" s="16">
        <f>'Segment Fin Proj'!AV142</f>
        <v>387.65130589582623</v>
      </c>
    </row>
    <row r="83" spans="1:7" x14ac:dyDescent="0.25">
      <c r="A83" t="str">
        <f>'Segment Fin Proj'!A143</f>
        <v>Gas</v>
      </c>
      <c r="B83" s="9"/>
      <c r="C83" s="16">
        <f>'Segment Fin Proj'!AR143</f>
        <v>51.494146622546054</v>
      </c>
      <c r="D83" s="16">
        <f>'Segment Fin Proj'!AS143</f>
        <v>36.43466967289568</v>
      </c>
      <c r="E83" s="16">
        <f>'Segment Fin Proj'!AT143</f>
        <v>95.845488222961336</v>
      </c>
      <c r="F83" s="16">
        <f>'Segment Fin Proj'!AU143</f>
        <v>43.377100363734314</v>
      </c>
      <c r="G83" s="16">
        <f>'Segment Fin Proj'!AV143</f>
        <v>50.415878444693945</v>
      </c>
    </row>
    <row r="84" spans="1:7" ht="15" x14ac:dyDescent="0.4">
      <c r="A84" s="30" t="str">
        <f>'Segment Fin Proj'!A144</f>
        <v>Other</v>
      </c>
      <c r="B84" s="9"/>
      <c r="C84" s="34">
        <f>'Segment Fin Proj'!AR144</f>
        <v>-2.8626119999999418</v>
      </c>
      <c r="D84" s="34">
        <f>'Segment Fin Proj'!AS144</f>
        <v>-13.204438999999979</v>
      </c>
      <c r="E84" s="34">
        <f>'Segment Fin Proj'!AT144</f>
        <v>-151.28205792754889</v>
      </c>
      <c r="F84" s="34">
        <f>'Segment Fin Proj'!AU144</f>
        <v>-13.131013061973562</v>
      </c>
      <c r="G84" s="34">
        <f>'Segment Fin Proj'!AV144</f>
        <v>-13.059879628813528</v>
      </c>
    </row>
    <row r="85" spans="1:7" x14ac:dyDescent="0.25">
      <c r="B85" s="9"/>
      <c r="C85" s="26">
        <f>'Segment Fin Proj'!AR145</f>
        <v>323.53420200000016</v>
      </c>
      <c r="D85" s="26">
        <f>'Segment Fin Proj'!AS145</f>
        <v>222.41436900000002</v>
      </c>
      <c r="E85" s="26">
        <f>'Segment Fin Proj'!AT145</f>
        <v>225.96236211679602</v>
      </c>
      <c r="F85" s="26">
        <f>'Segment Fin Proj'!AU145</f>
        <v>343.32604373449556</v>
      </c>
      <c r="G85" s="26">
        <f>'Segment Fin Proj'!AV145</f>
        <v>425.00730471170664</v>
      </c>
    </row>
    <row r="86" spans="1:7" x14ac:dyDescent="0.25">
      <c r="B86" s="9"/>
      <c r="C86" s="14"/>
      <c r="D86" s="75"/>
      <c r="E86" s="16"/>
      <c r="F86" s="14"/>
      <c r="G86" s="14"/>
    </row>
    <row r="87" spans="1:7" x14ac:dyDescent="0.25">
      <c r="A87" s="1" t="str">
        <f>'Segment Fin Proj'!A156</f>
        <v>Preferred Dividends</v>
      </c>
      <c r="B87" s="9"/>
      <c r="C87" s="16">
        <f>'Segment Fin Proj'!AR156</f>
        <v>12.569000000000001</v>
      </c>
      <c r="D87" s="16">
        <f>'Segment Fin Proj'!AS156</f>
        <v>6.5169999999999995</v>
      </c>
      <c r="E87" s="9">
        <f>'Segment Fin Proj'!AT156</f>
        <v>6.4829999999999997</v>
      </c>
      <c r="F87" s="100">
        <f>'Segment Fin Proj'!AU156</f>
        <v>9.1359999999999992</v>
      </c>
      <c r="G87" s="100">
        <f>'Segment Fin Proj'!AV156</f>
        <v>9.1359999999999992</v>
      </c>
    </row>
    <row r="88" spans="1:7" x14ac:dyDescent="0.25">
      <c r="A88" s="1" t="str">
        <f>'Segment Fin Proj'!A157</f>
        <v>Preferred Stock buy back</v>
      </c>
      <c r="B88" s="9"/>
      <c r="C88" s="16">
        <f>'Segment Fin Proj'!AR157</f>
        <v>0</v>
      </c>
      <c r="D88" s="16">
        <f>'Segment Fin Proj'!AS157</f>
        <v>0</v>
      </c>
      <c r="E88" s="9">
        <f>'Segment Fin Proj'!AT157</f>
        <v>0</v>
      </c>
      <c r="F88" s="100">
        <f>'Segment Fin Proj'!AU157</f>
        <v>0</v>
      </c>
      <c r="G88" s="100">
        <f>'Segment Fin Proj'!AV157</f>
        <v>0</v>
      </c>
    </row>
    <row r="89" spans="1:7" x14ac:dyDescent="0.25">
      <c r="B89" s="9"/>
      <c r="C89" s="16"/>
      <c r="D89" s="16"/>
      <c r="E89" s="9"/>
      <c r="F89" s="9"/>
      <c r="G89" s="9"/>
    </row>
    <row r="90" spans="1:7" x14ac:dyDescent="0.25">
      <c r="A90" s="1" t="str">
        <f>'Segment Fin Proj'!A159</f>
        <v>Net Income to Common</v>
      </c>
      <c r="B90" s="9"/>
      <c r="C90" s="16"/>
      <c r="D90" s="77"/>
      <c r="E90" s="9"/>
      <c r="F90" s="9"/>
      <c r="G90" s="9"/>
    </row>
    <row r="91" spans="1:7" x14ac:dyDescent="0.25">
      <c r="A91" t="str">
        <f>'Segment Fin Proj'!A160</f>
        <v>Electric</v>
      </c>
      <c r="B91" s="9"/>
      <c r="C91" s="16">
        <f>'Segment Fin Proj'!AR160</f>
        <v>274.90266737745407</v>
      </c>
      <c r="D91" s="9">
        <f>'Segment Fin Proj'!AS160</f>
        <v>199.18413832710436</v>
      </c>
      <c r="E91" s="9">
        <f>'Segment Fin Proj'!AT160</f>
        <v>199.95513832710435</v>
      </c>
      <c r="F91" s="139">
        <f>'Segment Fin Proj'!AU160</f>
        <v>303.94395643273481</v>
      </c>
      <c r="G91" s="100">
        <f>'Segment Fin Proj'!AV160</f>
        <v>378.51530589582615</v>
      </c>
    </row>
    <row r="92" spans="1:7" x14ac:dyDescent="0.25">
      <c r="A92" t="str">
        <f>'Segment Fin Proj'!A161</f>
        <v>Gas</v>
      </c>
      <c r="B92" s="9"/>
      <c r="C92" s="16">
        <f>'Segment Fin Proj'!AR161</f>
        <v>51.494146622546054</v>
      </c>
      <c r="D92" s="9">
        <f>'Segment Fin Proj'!AS161</f>
        <v>36.43466967289568</v>
      </c>
      <c r="E92" s="9">
        <f>'Segment Fin Proj'!AT161</f>
        <v>35.793669672895682</v>
      </c>
      <c r="F92" s="139">
        <f>'Segment Fin Proj'!AU161</f>
        <v>43.377100363734314</v>
      </c>
      <c r="G92" s="100">
        <f>'Segment Fin Proj'!AV161</f>
        <v>50.415878444693945</v>
      </c>
    </row>
    <row r="93" spans="1:7" ht="15" x14ac:dyDescent="0.4">
      <c r="A93" s="30" t="str">
        <f>'Segment Fin Proj'!A162</f>
        <v>Other</v>
      </c>
      <c r="B93" s="34"/>
      <c r="C93" s="34">
        <f>'Segment Fin Proj'!AR162</f>
        <v>-2.8626119999999418</v>
      </c>
      <c r="D93" s="34">
        <f>'Segment Fin Proj'!AS162</f>
        <v>-13.204438999999979</v>
      </c>
      <c r="E93" s="34">
        <f>'Segment Fin Proj'!AT162</f>
        <v>-17.825976999999988</v>
      </c>
      <c r="F93" s="140">
        <f>'Segment Fin Proj'!AU162</f>
        <v>-13.131013061973562</v>
      </c>
      <c r="G93" s="101">
        <f>'Segment Fin Proj'!AV162</f>
        <v>-13.059879628813526</v>
      </c>
    </row>
    <row r="94" spans="1:7" ht="13.8" thickBot="1" x14ac:dyDescent="0.3">
      <c r="B94" s="48"/>
      <c r="C94" s="40">
        <f>'Segment Fin Proj'!AR163</f>
        <v>310.9652020000002</v>
      </c>
      <c r="D94" s="40">
        <f>'Segment Fin Proj'!AS163</f>
        <v>215.89736900000003</v>
      </c>
      <c r="E94" s="40">
        <f>'Segment Fin Proj'!AT163</f>
        <v>90.083369000000204</v>
      </c>
      <c r="F94" s="40">
        <f>'Segment Fin Proj'!AU163</f>
        <v>334.19004373449553</v>
      </c>
      <c r="G94" s="40">
        <f>'Segment Fin Proj'!AV163</f>
        <v>415.87130471170656</v>
      </c>
    </row>
    <row r="95" spans="1:7" ht="13.8" thickTop="1" x14ac:dyDescent="0.25">
      <c r="A95" t="str">
        <f>'Segment Fin Proj'!A166</f>
        <v>Average number of shares</v>
      </c>
      <c r="B95" s="27"/>
      <c r="C95" s="14">
        <f>'Segment Fin Proj'!AR166</f>
        <v>158.80000000000001</v>
      </c>
      <c r="D95" s="14">
        <f>'Segment Fin Proj'!AS166</f>
        <v>158.80000000000001</v>
      </c>
      <c r="E95" s="14">
        <f>'Segment Fin Proj'!AT166</f>
        <v>158.80000000000001</v>
      </c>
      <c r="F95" s="14">
        <f>'Segment Fin Proj'!AU166</f>
        <v>158.80000000000001</v>
      </c>
      <c r="G95" s="14">
        <f>'Segment Fin Proj'!AV166</f>
        <v>158.80000000000001</v>
      </c>
    </row>
    <row r="96" spans="1:7" x14ac:dyDescent="0.25">
      <c r="B96" s="27"/>
      <c r="C96" s="16"/>
      <c r="D96" s="16"/>
      <c r="E96" s="16"/>
      <c r="F96" s="9"/>
      <c r="G96" s="9"/>
    </row>
    <row r="97" spans="1:7" x14ac:dyDescent="0.25">
      <c r="A97" s="1" t="str">
        <f>'Segment Fin Proj'!A168</f>
        <v>EPS</v>
      </c>
      <c r="B97" s="87"/>
      <c r="C97" s="33">
        <f>'Segment Fin Proj'!AR168</f>
        <v>1.9582191561712858</v>
      </c>
      <c r="D97" s="33">
        <f>'Segment Fin Proj'!AS168</f>
        <v>1.3595552204030228</v>
      </c>
      <c r="E97" s="33">
        <f>'Segment Fin Proj'!AT168</f>
        <v>0.56727562342569393</v>
      </c>
      <c r="F97" s="33">
        <f>'Segment Fin Proj'!AU168</f>
        <v>2.104471308151735</v>
      </c>
      <c r="G97" s="33">
        <f>'Segment Fin Proj'!AV168</f>
        <v>2.6188369314339202</v>
      </c>
    </row>
  </sheetData>
  <mergeCells count="1">
    <mergeCell ref="C4:E4"/>
  </mergeCells>
  <pageMargins left="0.75" right="0.75" top="1" bottom="1" header="0.5" footer="0.5"/>
  <pageSetup scale="72" fitToHeight="2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showGridLines="0" workbookViewId="0">
      <selection activeCell="A5" sqref="A5"/>
    </sheetView>
  </sheetViews>
  <sheetFormatPr defaultColWidth="9.109375" defaultRowHeight="11.4" x14ac:dyDescent="0.2"/>
  <cols>
    <col min="1" max="1" width="12.109375" style="435" customWidth="1"/>
    <col min="2" max="16384" width="9.109375" style="435"/>
  </cols>
  <sheetData>
    <row r="1" spans="1:7" ht="39.6" x14ac:dyDescent="0.25">
      <c r="A1" s="436" t="s">
        <v>618</v>
      </c>
      <c r="B1" s="437" t="s">
        <v>562</v>
      </c>
      <c r="C1" s="437" t="s">
        <v>807</v>
      </c>
      <c r="D1" s="435" t="s">
        <v>562</v>
      </c>
      <c r="E1" s="435" t="s">
        <v>619</v>
      </c>
    </row>
    <row r="2" spans="1:7" ht="13.2" x14ac:dyDescent="0.25">
      <c r="A2" s="438">
        <v>35856</v>
      </c>
      <c r="B2" s="812">
        <v>30.414000000000001</v>
      </c>
      <c r="C2" s="813">
        <v>271.69</v>
      </c>
      <c r="D2" s="710">
        <v>100</v>
      </c>
      <c r="E2" s="815">
        <v>100</v>
      </c>
    </row>
    <row r="3" spans="1:7" ht="13.2" x14ac:dyDescent="0.25">
      <c r="A3" s="438">
        <v>35857</v>
      </c>
      <c r="B3" s="812">
        <v>30.468499999999999</v>
      </c>
      <c r="C3" s="813">
        <v>272.47000000000003</v>
      </c>
      <c r="D3" s="710">
        <f t="shared" ref="D3:D34" si="0">+(B3/$B$2)*$D$2</f>
        <v>100.17919379233247</v>
      </c>
      <c r="E3" s="815">
        <f t="shared" ref="E3:E34" si="1">+(C3/$C$2)*$E$2</f>
        <v>100.28709190621666</v>
      </c>
    </row>
    <row r="4" spans="1:7" ht="13.2" x14ac:dyDescent="0.25">
      <c r="A4" s="438">
        <v>35858</v>
      </c>
      <c r="B4" s="812">
        <v>30.632000000000001</v>
      </c>
      <c r="C4" s="813">
        <v>271.92</v>
      </c>
      <c r="D4" s="710">
        <f t="shared" si="0"/>
        <v>100.71677516932991</v>
      </c>
      <c r="E4" s="815">
        <f t="shared" si="1"/>
        <v>100.08465530567928</v>
      </c>
    </row>
    <row r="5" spans="1:7" ht="13.2" x14ac:dyDescent="0.25">
      <c r="A5" s="438">
        <v>35859</v>
      </c>
      <c r="B5" s="812">
        <v>30.577500000000001</v>
      </c>
      <c r="C5" s="813">
        <v>271.69</v>
      </c>
      <c r="D5" s="710">
        <f t="shared" si="0"/>
        <v>100.53758137699744</v>
      </c>
      <c r="E5" s="815">
        <f t="shared" si="1"/>
        <v>100</v>
      </c>
    </row>
    <row r="6" spans="1:7" ht="13.2" x14ac:dyDescent="0.25">
      <c r="A6" s="438">
        <v>35860</v>
      </c>
      <c r="B6" s="812">
        <v>31.068100000000001</v>
      </c>
      <c r="C6" s="813">
        <v>272.89999999999998</v>
      </c>
      <c r="D6" s="710">
        <f t="shared" si="0"/>
        <v>102.15065430393896</v>
      </c>
      <c r="E6" s="815">
        <f t="shared" si="1"/>
        <v>100.44536052118222</v>
      </c>
    </row>
    <row r="7" spans="1:7" ht="13.2" x14ac:dyDescent="0.25">
      <c r="A7" s="438">
        <v>35863</v>
      </c>
      <c r="B7" s="812">
        <v>31.068100000000001</v>
      </c>
      <c r="C7" s="813">
        <v>274.10000000000002</v>
      </c>
      <c r="D7" s="710">
        <f t="shared" si="0"/>
        <v>102.15065430393896</v>
      </c>
      <c r="E7" s="815">
        <f t="shared" si="1"/>
        <v>100.88704037690015</v>
      </c>
      <c r="G7" s="816"/>
    </row>
    <row r="8" spans="1:7" ht="13.2" x14ac:dyDescent="0.25">
      <c r="A8" s="438">
        <v>35864</v>
      </c>
      <c r="B8" s="812">
        <v>31.4496</v>
      </c>
      <c r="C8" s="813">
        <v>276.70999999999998</v>
      </c>
      <c r="D8" s="710">
        <f t="shared" si="0"/>
        <v>103.40501085026632</v>
      </c>
      <c r="E8" s="815">
        <f t="shared" si="1"/>
        <v>101.84769406308661</v>
      </c>
    </row>
    <row r="9" spans="1:7" ht="13.2" x14ac:dyDescent="0.25">
      <c r="A9" s="438">
        <v>35865</v>
      </c>
      <c r="B9" s="812">
        <v>31.504100000000001</v>
      </c>
      <c r="C9" s="813">
        <v>275.68</v>
      </c>
      <c r="D9" s="710">
        <f t="shared" si="0"/>
        <v>103.58420464259881</v>
      </c>
      <c r="E9" s="815">
        <f t="shared" si="1"/>
        <v>101.46858552026205</v>
      </c>
    </row>
    <row r="10" spans="1:7" ht="13.2" x14ac:dyDescent="0.25">
      <c r="A10" s="438">
        <v>35866</v>
      </c>
      <c r="B10" s="812">
        <v>31.0136</v>
      </c>
      <c r="C10" s="813">
        <v>275.07</v>
      </c>
      <c r="D10" s="710">
        <f t="shared" si="0"/>
        <v>101.97146051160648</v>
      </c>
      <c r="E10" s="815">
        <f t="shared" si="1"/>
        <v>101.24406492693878</v>
      </c>
    </row>
    <row r="11" spans="1:7" ht="13.2" x14ac:dyDescent="0.25">
      <c r="A11" s="438">
        <v>35867</v>
      </c>
      <c r="B11" s="812">
        <v>30.959099999999999</v>
      </c>
      <c r="C11" s="813">
        <v>274.99</v>
      </c>
      <c r="D11" s="710">
        <f t="shared" si="0"/>
        <v>101.79226671927401</v>
      </c>
      <c r="E11" s="815">
        <f t="shared" si="1"/>
        <v>101.21461960322426</v>
      </c>
    </row>
    <row r="12" spans="1:7" ht="13.2" x14ac:dyDescent="0.25">
      <c r="A12" s="438">
        <v>35870</v>
      </c>
      <c r="B12" s="812">
        <v>31.340599999999998</v>
      </c>
      <c r="C12" s="813">
        <v>276.70999999999998</v>
      </c>
      <c r="D12" s="710">
        <f t="shared" si="0"/>
        <v>103.04662326560137</v>
      </c>
      <c r="E12" s="815">
        <f t="shared" si="1"/>
        <v>101.84769406308661</v>
      </c>
    </row>
    <row r="13" spans="1:7" ht="13.2" x14ac:dyDescent="0.25">
      <c r="A13" s="438">
        <v>35871</v>
      </c>
      <c r="B13" s="812">
        <v>31.286100000000001</v>
      </c>
      <c r="C13" s="813">
        <v>278.68</v>
      </c>
      <c r="D13" s="710">
        <f t="shared" si="0"/>
        <v>102.86742947326888</v>
      </c>
      <c r="E13" s="815">
        <f t="shared" si="1"/>
        <v>102.57278515955686</v>
      </c>
    </row>
    <row r="14" spans="1:7" ht="13.2" x14ac:dyDescent="0.25">
      <c r="A14" s="438">
        <v>35872</v>
      </c>
      <c r="B14" s="812">
        <v>31.068100000000001</v>
      </c>
      <c r="C14" s="813">
        <v>281.24</v>
      </c>
      <c r="D14" s="710">
        <f t="shared" si="0"/>
        <v>102.15065430393896</v>
      </c>
      <c r="E14" s="815">
        <f t="shared" si="1"/>
        <v>103.51503551842174</v>
      </c>
    </row>
    <row r="15" spans="1:7" ht="13.2" x14ac:dyDescent="0.25">
      <c r="A15" s="438">
        <v>35873</v>
      </c>
      <c r="B15" s="812">
        <v>31.340599999999998</v>
      </c>
      <c r="C15" s="813">
        <v>281.77999999999997</v>
      </c>
      <c r="D15" s="710">
        <f t="shared" si="0"/>
        <v>103.04662326560137</v>
      </c>
      <c r="E15" s="815">
        <f t="shared" si="1"/>
        <v>103.71379145349478</v>
      </c>
    </row>
    <row r="16" spans="1:7" ht="13.2" x14ac:dyDescent="0.25">
      <c r="A16" s="438">
        <v>35874</v>
      </c>
      <c r="B16" s="812">
        <v>31.776599999999998</v>
      </c>
      <c r="C16" s="813">
        <v>285.68</v>
      </c>
      <c r="D16" s="710">
        <f t="shared" si="0"/>
        <v>104.48017360426118</v>
      </c>
      <c r="E16" s="815">
        <f t="shared" si="1"/>
        <v>105.14925098457802</v>
      </c>
    </row>
    <row r="17" spans="1:5" ht="13.2" x14ac:dyDescent="0.25">
      <c r="A17" s="438">
        <v>35877</v>
      </c>
      <c r="B17" s="812">
        <v>31.8857</v>
      </c>
      <c r="C17" s="813">
        <v>287.39999999999998</v>
      </c>
      <c r="D17" s="710">
        <f t="shared" si="0"/>
        <v>104.83888998487538</v>
      </c>
      <c r="E17" s="815">
        <f t="shared" si="1"/>
        <v>105.78232544444035</v>
      </c>
    </row>
    <row r="18" spans="1:5" ht="13.2" x14ac:dyDescent="0.25">
      <c r="A18" s="438">
        <v>35878</v>
      </c>
      <c r="B18" s="812">
        <v>32.485199999999999</v>
      </c>
      <c r="C18" s="813">
        <v>287.60000000000002</v>
      </c>
      <c r="D18" s="710">
        <f t="shared" si="0"/>
        <v>106.81002170053264</v>
      </c>
      <c r="E18" s="815">
        <f t="shared" si="1"/>
        <v>105.85593875372668</v>
      </c>
    </row>
    <row r="19" spans="1:5" ht="13.2" x14ac:dyDescent="0.25">
      <c r="A19" s="438">
        <v>35879</v>
      </c>
      <c r="B19" s="812">
        <v>32.212699999999998</v>
      </c>
      <c r="C19" s="813">
        <v>287</v>
      </c>
      <c r="D19" s="710">
        <f t="shared" si="0"/>
        <v>105.91405273887024</v>
      </c>
      <c r="E19" s="815">
        <f t="shared" si="1"/>
        <v>105.63509882586773</v>
      </c>
    </row>
    <row r="20" spans="1:5" ht="13.2" x14ac:dyDescent="0.25">
      <c r="A20" s="438">
        <v>35880</v>
      </c>
      <c r="B20" s="812">
        <v>31.8857</v>
      </c>
      <c r="C20" s="813">
        <v>284.99</v>
      </c>
      <c r="D20" s="710">
        <f t="shared" si="0"/>
        <v>104.83888998487538</v>
      </c>
      <c r="E20" s="815">
        <f t="shared" si="1"/>
        <v>104.89528506754023</v>
      </c>
    </row>
    <row r="21" spans="1:5" ht="13.2" x14ac:dyDescent="0.25">
      <c r="A21" s="438">
        <v>35881</v>
      </c>
      <c r="B21" s="812">
        <v>31.613099999999999</v>
      </c>
      <c r="C21" s="813">
        <v>282.64</v>
      </c>
      <c r="D21" s="710">
        <f t="shared" si="0"/>
        <v>103.94259222726376</v>
      </c>
      <c r="E21" s="815">
        <f t="shared" si="1"/>
        <v>104.03032868342596</v>
      </c>
    </row>
    <row r="22" spans="1:5" ht="13.2" x14ac:dyDescent="0.25">
      <c r="A22" s="438">
        <v>35884</v>
      </c>
      <c r="B22" s="812">
        <v>31.831099999999999</v>
      </c>
      <c r="C22" s="813">
        <v>281.89999999999998</v>
      </c>
      <c r="D22" s="710">
        <f t="shared" si="0"/>
        <v>104.65936739659367</v>
      </c>
      <c r="E22" s="815">
        <f t="shared" si="1"/>
        <v>103.75795943906658</v>
      </c>
    </row>
    <row r="23" spans="1:5" ht="13.2" x14ac:dyDescent="0.25">
      <c r="A23" s="438">
        <v>35885</v>
      </c>
      <c r="B23" s="812">
        <v>32.158200000000001</v>
      </c>
      <c r="C23" s="813">
        <v>285.94</v>
      </c>
      <c r="D23" s="710">
        <f t="shared" si="0"/>
        <v>105.73485894653778</v>
      </c>
      <c r="E23" s="815">
        <f t="shared" si="1"/>
        <v>105.24494828665023</v>
      </c>
    </row>
    <row r="24" spans="1:5" ht="13.2" x14ac:dyDescent="0.25">
      <c r="A24" s="438">
        <v>35886</v>
      </c>
      <c r="B24" s="812">
        <v>31.940200000000001</v>
      </c>
      <c r="C24" s="813">
        <v>286.31</v>
      </c>
      <c r="D24" s="710">
        <f t="shared" si="0"/>
        <v>105.01808377720788</v>
      </c>
      <c r="E24" s="815">
        <f t="shared" si="1"/>
        <v>105.38113290882991</v>
      </c>
    </row>
    <row r="25" spans="1:5" ht="13.2" x14ac:dyDescent="0.25">
      <c r="A25" s="438">
        <v>35887</v>
      </c>
      <c r="B25" s="812">
        <v>32.212699999999998</v>
      </c>
      <c r="C25" s="813">
        <v>291.18</v>
      </c>
      <c r="D25" s="710">
        <f t="shared" si="0"/>
        <v>105.91405273887024</v>
      </c>
      <c r="E25" s="815">
        <f t="shared" si="1"/>
        <v>107.17361698995178</v>
      </c>
    </row>
    <row r="26" spans="1:5" ht="13.2" x14ac:dyDescent="0.25">
      <c r="A26" s="438">
        <v>35888</v>
      </c>
      <c r="B26" s="812">
        <v>31.994700000000002</v>
      </c>
      <c r="C26" s="813">
        <v>290.35000000000002</v>
      </c>
      <c r="D26" s="710">
        <f t="shared" si="0"/>
        <v>105.19727756954033</v>
      </c>
      <c r="E26" s="815">
        <f t="shared" si="1"/>
        <v>106.86812175641356</v>
      </c>
    </row>
    <row r="27" spans="1:5" ht="13.2" x14ac:dyDescent="0.25">
      <c r="A27" s="438">
        <v>35891</v>
      </c>
      <c r="B27" s="812">
        <v>31.831099999999999</v>
      </c>
      <c r="C27" s="813">
        <v>288.83</v>
      </c>
      <c r="D27" s="710">
        <f t="shared" si="0"/>
        <v>104.65936739659367</v>
      </c>
      <c r="E27" s="815">
        <f t="shared" si="1"/>
        <v>106.30866060583753</v>
      </c>
    </row>
    <row r="28" spans="1:5" ht="13.2" x14ac:dyDescent="0.25">
      <c r="A28" s="438">
        <v>35892</v>
      </c>
      <c r="B28" s="812">
        <v>31.776599999999998</v>
      </c>
      <c r="C28" s="813">
        <v>288.26</v>
      </c>
      <c r="D28" s="710">
        <f t="shared" si="0"/>
        <v>104.48017360426118</v>
      </c>
      <c r="E28" s="815">
        <f t="shared" si="1"/>
        <v>106.09886267437152</v>
      </c>
    </row>
    <row r="29" spans="1:5" ht="13.2" x14ac:dyDescent="0.25">
      <c r="A29" s="438">
        <v>35893</v>
      </c>
      <c r="B29" s="812">
        <v>31.340599999999998</v>
      </c>
      <c r="C29" s="813">
        <v>285.62</v>
      </c>
      <c r="D29" s="710">
        <f t="shared" si="0"/>
        <v>103.04662326560137</v>
      </c>
      <c r="E29" s="815">
        <f t="shared" si="1"/>
        <v>105.12716699179212</v>
      </c>
    </row>
    <row r="30" spans="1:5" ht="13.2" x14ac:dyDescent="0.25">
      <c r="A30" s="438">
        <v>35894</v>
      </c>
      <c r="B30" s="812">
        <v>31.4496</v>
      </c>
      <c r="C30" s="813">
        <v>287.37</v>
      </c>
      <c r="D30" s="710">
        <f t="shared" si="0"/>
        <v>103.40501085026632</v>
      </c>
      <c r="E30" s="815">
        <f t="shared" si="1"/>
        <v>105.7712834480474</v>
      </c>
    </row>
    <row r="31" spans="1:5" ht="13.2" x14ac:dyDescent="0.25">
      <c r="A31" s="438">
        <v>35898</v>
      </c>
      <c r="B31" s="812">
        <v>31.340599999999998</v>
      </c>
      <c r="C31" s="813">
        <v>284.89999999999998</v>
      </c>
      <c r="D31" s="710">
        <f t="shared" si="0"/>
        <v>103.04662326560137</v>
      </c>
      <c r="E31" s="815">
        <f t="shared" si="1"/>
        <v>104.86215907836136</v>
      </c>
    </row>
    <row r="32" spans="1:5" ht="13.2" x14ac:dyDescent="0.25">
      <c r="A32" s="438">
        <v>35899</v>
      </c>
      <c r="B32" s="812">
        <v>31.613099999999999</v>
      </c>
      <c r="C32" s="813">
        <v>287.83</v>
      </c>
      <c r="D32" s="710">
        <f t="shared" si="0"/>
        <v>103.94259222726376</v>
      </c>
      <c r="E32" s="815">
        <f t="shared" si="1"/>
        <v>105.94059405940595</v>
      </c>
    </row>
    <row r="33" spans="1:5" ht="13.2" x14ac:dyDescent="0.25">
      <c r="A33" s="438">
        <v>35900</v>
      </c>
      <c r="B33" s="812">
        <v>31.6676</v>
      </c>
      <c r="C33" s="813">
        <v>287.89</v>
      </c>
      <c r="D33" s="710">
        <f t="shared" si="0"/>
        <v>104.12178601959623</v>
      </c>
      <c r="E33" s="815">
        <f t="shared" si="1"/>
        <v>105.96267805219183</v>
      </c>
    </row>
    <row r="34" spans="1:5" ht="13.2" x14ac:dyDescent="0.25">
      <c r="A34" s="438">
        <v>35901</v>
      </c>
      <c r="B34" s="812">
        <v>31.177099999999999</v>
      </c>
      <c r="C34" s="813">
        <v>286.22000000000003</v>
      </c>
      <c r="D34" s="710">
        <f t="shared" si="0"/>
        <v>102.50904188860392</v>
      </c>
      <c r="E34" s="815">
        <f t="shared" si="1"/>
        <v>105.3480069196511</v>
      </c>
    </row>
    <row r="35" spans="1:5" ht="13.2" x14ac:dyDescent="0.25">
      <c r="A35" s="438">
        <v>35902</v>
      </c>
      <c r="B35" s="812">
        <v>31.395099999999999</v>
      </c>
      <c r="C35" s="813">
        <v>289.58</v>
      </c>
      <c r="D35" s="710">
        <f t="shared" ref="D35:D66" si="2">+(B35/$B$2)*$D$2</f>
        <v>103.22581705793384</v>
      </c>
      <c r="E35" s="815">
        <f t="shared" ref="E35:E66" si="3">+(C35/$C$2)*$E$2</f>
        <v>106.58471051566123</v>
      </c>
    </row>
    <row r="36" spans="1:5" ht="13.2" x14ac:dyDescent="0.25">
      <c r="A36" s="438">
        <v>35905</v>
      </c>
      <c r="B36" s="812">
        <v>31.286100000000001</v>
      </c>
      <c r="C36" s="813">
        <v>288.32</v>
      </c>
      <c r="D36" s="710">
        <f t="shared" si="2"/>
        <v>102.86742947326888</v>
      </c>
      <c r="E36" s="815">
        <f t="shared" si="3"/>
        <v>106.12094666715741</v>
      </c>
    </row>
    <row r="37" spans="1:5" ht="13.2" x14ac:dyDescent="0.25">
      <c r="A37" s="438">
        <v>35906</v>
      </c>
      <c r="B37" s="812">
        <v>30.850100000000001</v>
      </c>
      <c r="C37" s="813">
        <v>287.51</v>
      </c>
      <c r="D37" s="710">
        <f t="shared" si="2"/>
        <v>101.43387913460906</v>
      </c>
      <c r="E37" s="815">
        <f t="shared" si="3"/>
        <v>105.82281276454783</v>
      </c>
    </row>
    <row r="38" spans="1:5" ht="13.2" x14ac:dyDescent="0.25">
      <c r="A38" s="438">
        <v>35907</v>
      </c>
      <c r="B38" s="812">
        <v>30.795500000000001</v>
      </c>
      <c r="C38" s="813">
        <v>285.22000000000003</v>
      </c>
      <c r="D38" s="710">
        <f t="shared" si="2"/>
        <v>101.25435654632736</v>
      </c>
      <c r="E38" s="815">
        <f t="shared" si="3"/>
        <v>104.97994037321949</v>
      </c>
    </row>
    <row r="39" spans="1:5" ht="13.2" x14ac:dyDescent="0.25">
      <c r="A39" s="438">
        <v>35908</v>
      </c>
      <c r="B39" s="812">
        <v>30.305</v>
      </c>
      <c r="C39" s="813">
        <v>281.92</v>
      </c>
      <c r="D39" s="710">
        <f t="shared" si="2"/>
        <v>99.641612415335032</v>
      </c>
      <c r="E39" s="815">
        <f t="shared" si="3"/>
        <v>103.76532076999523</v>
      </c>
    </row>
    <row r="40" spans="1:5" ht="13.2" x14ac:dyDescent="0.25">
      <c r="A40" s="438">
        <v>35909</v>
      </c>
      <c r="B40" s="812">
        <v>30.305</v>
      </c>
      <c r="C40" s="813">
        <v>280</v>
      </c>
      <c r="D40" s="710">
        <f t="shared" si="2"/>
        <v>99.641612415335032</v>
      </c>
      <c r="E40" s="815">
        <f t="shared" si="3"/>
        <v>103.05863300084654</v>
      </c>
    </row>
    <row r="41" spans="1:5" ht="13.2" x14ac:dyDescent="0.25">
      <c r="A41" s="438">
        <v>35912</v>
      </c>
      <c r="B41" s="812">
        <v>29.923500000000001</v>
      </c>
      <c r="C41" s="813">
        <v>276.76</v>
      </c>
      <c r="D41" s="710">
        <f t="shared" si="2"/>
        <v>98.387255869007689</v>
      </c>
      <c r="E41" s="815">
        <f t="shared" si="3"/>
        <v>101.86609739040817</v>
      </c>
    </row>
    <row r="42" spans="1:5" ht="13.2" x14ac:dyDescent="0.25">
      <c r="A42" s="438">
        <v>35913</v>
      </c>
      <c r="B42" s="812">
        <v>29.6509</v>
      </c>
      <c r="C42" s="813">
        <v>277.14</v>
      </c>
      <c r="D42" s="710">
        <f t="shared" si="2"/>
        <v>97.490958111396068</v>
      </c>
      <c r="E42" s="815">
        <f t="shared" si="3"/>
        <v>102.0059626780522</v>
      </c>
    </row>
    <row r="43" spans="1:5" ht="13.2" x14ac:dyDescent="0.25">
      <c r="A43" s="438">
        <v>35914</v>
      </c>
      <c r="B43" s="812">
        <v>30.214300000000001</v>
      </c>
      <c r="C43" s="813">
        <v>278.27999999999997</v>
      </c>
      <c r="D43" s="710">
        <f t="shared" si="2"/>
        <v>99.343394489379889</v>
      </c>
      <c r="E43" s="815">
        <f t="shared" si="3"/>
        <v>102.42555854098421</v>
      </c>
    </row>
    <row r="44" spans="1:5" ht="13.2" x14ac:dyDescent="0.25">
      <c r="A44" s="438">
        <v>35915</v>
      </c>
      <c r="B44" s="812">
        <v>30.821899999999999</v>
      </c>
      <c r="C44" s="813">
        <v>284.47000000000003</v>
      </c>
      <c r="D44" s="710">
        <f t="shared" si="2"/>
        <v>101.3411586769251</v>
      </c>
      <c r="E44" s="815">
        <f t="shared" si="3"/>
        <v>104.70389046339579</v>
      </c>
    </row>
    <row r="45" spans="1:5" ht="13.2" x14ac:dyDescent="0.25">
      <c r="A45" s="438">
        <v>35916</v>
      </c>
      <c r="B45" s="812">
        <v>30.5458</v>
      </c>
      <c r="C45" s="813">
        <v>283.56</v>
      </c>
      <c r="D45" s="710">
        <f t="shared" si="2"/>
        <v>100.43335306109029</v>
      </c>
      <c r="E45" s="815">
        <f t="shared" si="3"/>
        <v>104.36894990614303</v>
      </c>
    </row>
    <row r="46" spans="1:5" ht="13.2" x14ac:dyDescent="0.25">
      <c r="A46" s="438">
        <v>35919</v>
      </c>
      <c r="B46" s="812">
        <v>30.435300000000002</v>
      </c>
      <c r="C46" s="813">
        <v>284.13</v>
      </c>
      <c r="D46" s="710">
        <f t="shared" si="2"/>
        <v>100.07003353718682</v>
      </c>
      <c r="E46" s="815">
        <f t="shared" si="3"/>
        <v>104.57874783760903</v>
      </c>
    </row>
    <row r="47" spans="1:5" ht="13.2" x14ac:dyDescent="0.25">
      <c r="A47" s="438">
        <v>35920</v>
      </c>
      <c r="B47" s="812">
        <v>30.0486</v>
      </c>
      <c r="C47" s="813">
        <v>284.7</v>
      </c>
      <c r="D47" s="710">
        <f t="shared" si="2"/>
        <v>98.798579601499299</v>
      </c>
      <c r="E47" s="815">
        <f t="shared" si="3"/>
        <v>104.78854576907504</v>
      </c>
    </row>
    <row r="48" spans="1:5" ht="13.2" x14ac:dyDescent="0.25">
      <c r="A48" s="438">
        <v>35921</v>
      </c>
      <c r="B48" s="812">
        <v>29.551500000000001</v>
      </c>
      <c r="C48" s="813">
        <v>282.64</v>
      </c>
      <c r="D48" s="710">
        <f t="shared" si="2"/>
        <v>97.164134937857554</v>
      </c>
      <c r="E48" s="815">
        <f t="shared" si="3"/>
        <v>104.03032868342596</v>
      </c>
    </row>
    <row r="49" spans="1:5" ht="13.2" x14ac:dyDescent="0.25">
      <c r="A49" s="438">
        <v>35922</v>
      </c>
      <c r="B49" s="812">
        <v>29.496300000000002</v>
      </c>
      <c r="C49" s="813">
        <v>281.49</v>
      </c>
      <c r="D49" s="710">
        <f t="shared" si="2"/>
        <v>96.982639573880448</v>
      </c>
      <c r="E49" s="815">
        <f t="shared" si="3"/>
        <v>103.60705215502963</v>
      </c>
    </row>
    <row r="50" spans="1:5" ht="13.2" x14ac:dyDescent="0.25">
      <c r="A50" s="438">
        <v>35923</v>
      </c>
      <c r="B50" s="812">
        <v>29.551500000000001</v>
      </c>
      <c r="C50" s="813">
        <v>282.38</v>
      </c>
      <c r="D50" s="710">
        <f t="shared" si="2"/>
        <v>97.164134937857554</v>
      </c>
      <c r="E50" s="815">
        <f t="shared" si="3"/>
        <v>103.93463138135375</v>
      </c>
    </row>
    <row r="51" spans="1:5" ht="13.2" x14ac:dyDescent="0.25">
      <c r="A51" s="438">
        <v>35926</v>
      </c>
      <c r="B51" s="812">
        <v>29.440999999999999</v>
      </c>
      <c r="C51" s="813">
        <v>282.12</v>
      </c>
      <c r="D51" s="710">
        <f t="shared" si="2"/>
        <v>96.800815413954084</v>
      </c>
      <c r="E51" s="815">
        <f t="shared" si="3"/>
        <v>103.83893407928153</v>
      </c>
    </row>
    <row r="52" spans="1:5" ht="13.2" x14ac:dyDescent="0.25">
      <c r="A52" s="438">
        <v>35927</v>
      </c>
      <c r="B52" s="812">
        <v>29.496300000000002</v>
      </c>
      <c r="C52" s="813">
        <v>282.73</v>
      </c>
      <c r="D52" s="710">
        <f t="shared" si="2"/>
        <v>96.982639573880448</v>
      </c>
      <c r="E52" s="815">
        <f t="shared" si="3"/>
        <v>104.06345467260481</v>
      </c>
    </row>
    <row r="53" spans="1:5" ht="13.2" x14ac:dyDescent="0.25">
      <c r="A53" s="438">
        <v>35928</v>
      </c>
      <c r="B53" s="812">
        <v>29.275300000000001</v>
      </c>
      <c r="C53" s="813">
        <v>280.43</v>
      </c>
      <c r="D53" s="710">
        <f t="shared" si="2"/>
        <v>96.256000526073521</v>
      </c>
      <c r="E53" s="815">
        <f t="shared" si="3"/>
        <v>103.21690161581213</v>
      </c>
    </row>
    <row r="54" spans="1:5" ht="13.2" x14ac:dyDescent="0.25">
      <c r="A54" s="438">
        <v>35929</v>
      </c>
      <c r="B54" s="812">
        <v>28.999099999999999</v>
      </c>
      <c r="C54" s="813">
        <v>279.11</v>
      </c>
      <c r="D54" s="710">
        <f t="shared" si="2"/>
        <v>95.347866114289459</v>
      </c>
      <c r="E54" s="815">
        <f t="shared" si="3"/>
        <v>102.73105377452242</v>
      </c>
    </row>
    <row r="55" spans="1:5" ht="13.2" x14ac:dyDescent="0.25">
      <c r="A55" s="438">
        <v>35930</v>
      </c>
      <c r="B55" s="812">
        <v>28.999099999999999</v>
      </c>
      <c r="C55" s="813">
        <v>279.92</v>
      </c>
      <c r="D55" s="710">
        <f t="shared" si="2"/>
        <v>95.347866114289459</v>
      </c>
      <c r="E55" s="815">
        <f t="shared" si="3"/>
        <v>103.02918767713203</v>
      </c>
    </row>
    <row r="56" spans="1:5" ht="13.2" x14ac:dyDescent="0.25">
      <c r="A56" s="438">
        <v>35933</v>
      </c>
      <c r="B56" s="812">
        <v>28.722999999999999</v>
      </c>
      <c r="C56" s="813">
        <v>279.43</v>
      </c>
      <c r="D56" s="710">
        <f t="shared" si="2"/>
        <v>94.440060498454642</v>
      </c>
      <c r="E56" s="815">
        <f t="shared" si="3"/>
        <v>102.84883506938054</v>
      </c>
    </row>
    <row r="57" spans="1:5" ht="13.2" x14ac:dyDescent="0.25">
      <c r="A57" s="438">
        <v>35934</v>
      </c>
      <c r="B57" s="812">
        <v>28.612500000000001</v>
      </c>
      <c r="C57" s="813">
        <v>278.60000000000002</v>
      </c>
      <c r="D57" s="710">
        <f t="shared" si="2"/>
        <v>94.076740974551186</v>
      </c>
      <c r="E57" s="815">
        <f t="shared" si="3"/>
        <v>102.54333983584235</v>
      </c>
    </row>
    <row r="58" spans="1:5" ht="13.2" x14ac:dyDescent="0.25">
      <c r="A58" s="438">
        <v>35935</v>
      </c>
      <c r="B58" s="812">
        <v>28.833400000000001</v>
      </c>
      <c r="C58" s="813">
        <v>281.29000000000002</v>
      </c>
      <c r="D58" s="710">
        <f t="shared" si="2"/>
        <v>94.803051226408883</v>
      </c>
      <c r="E58" s="815">
        <f t="shared" si="3"/>
        <v>103.53343884574331</v>
      </c>
    </row>
    <row r="59" spans="1:5" ht="13.2" x14ac:dyDescent="0.25">
      <c r="A59" s="438">
        <v>35936</v>
      </c>
      <c r="B59" s="812">
        <v>28.722999999999999</v>
      </c>
      <c r="C59" s="813">
        <v>280.26</v>
      </c>
      <c r="D59" s="710">
        <f t="shared" si="2"/>
        <v>94.440060498454642</v>
      </c>
      <c r="E59" s="815">
        <f t="shared" si="3"/>
        <v>103.15433030291877</v>
      </c>
    </row>
    <row r="60" spans="1:5" ht="13.2" x14ac:dyDescent="0.25">
      <c r="A60" s="438">
        <v>35937</v>
      </c>
      <c r="B60" s="812">
        <v>28.557300000000001</v>
      </c>
      <c r="C60" s="813">
        <v>280.06</v>
      </c>
      <c r="D60" s="710">
        <f t="shared" si="2"/>
        <v>93.895245610574079</v>
      </c>
      <c r="E60" s="815">
        <f t="shared" si="3"/>
        <v>103.08071699363246</v>
      </c>
    </row>
    <row r="61" spans="1:5" ht="13.2" x14ac:dyDescent="0.25">
      <c r="A61" s="438">
        <v>35941</v>
      </c>
      <c r="B61" s="812">
        <v>28.115400000000001</v>
      </c>
      <c r="C61" s="813">
        <v>278.39999999999998</v>
      </c>
      <c r="D61" s="710">
        <f t="shared" si="2"/>
        <v>92.442296310909441</v>
      </c>
      <c r="E61" s="815">
        <f t="shared" si="3"/>
        <v>102.46972652655599</v>
      </c>
    </row>
    <row r="62" spans="1:5" ht="13.2" x14ac:dyDescent="0.25">
      <c r="A62" s="438">
        <v>35942</v>
      </c>
      <c r="B62" s="812">
        <v>28.004899999999999</v>
      </c>
      <c r="C62" s="813">
        <v>277.42</v>
      </c>
      <c r="D62" s="710">
        <f t="shared" si="2"/>
        <v>92.078976787005971</v>
      </c>
      <c r="E62" s="815">
        <f t="shared" si="3"/>
        <v>102.10902131105304</v>
      </c>
    </row>
    <row r="63" spans="1:5" ht="13.2" x14ac:dyDescent="0.25">
      <c r="A63" s="438">
        <v>35943</v>
      </c>
      <c r="B63" s="812">
        <v>28.281099999999999</v>
      </c>
      <c r="C63" s="813">
        <v>280.77999999999997</v>
      </c>
      <c r="D63" s="710">
        <f t="shared" si="2"/>
        <v>92.987111198790018</v>
      </c>
      <c r="E63" s="815">
        <f t="shared" si="3"/>
        <v>103.3457249070632</v>
      </c>
    </row>
    <row r="64" spans="1:5" ht="13.2" x14ac:dyDescent="0.25">
      <c r="A64" s="438">
        <v>35944</v>
      </c>
      <c r="B64" s="812">
        <v>28.557300000000001</v>
      </c>
      <c r="C64" s="813">
        <v>284.64999999999998</v>
      </c>
      <c r="D64" s="710">
        <f t="shared" si="2"/>
        <v>93.895245610574079</v>
      </c>
      <c r="E64" s="815">
        <f t="shared" si="3"/>
        <v>104.77014244175346</v>
      </c>
    </row>
    <row r="65" spans="1:5" ht="13.2" x14ac:dyDescent="0.25">
      <c r="A65" s="438">
        <v>35947</v>
      </c>
      <c r="B65" s="812">
        <v>29.772500000000001</v>
      </c>
      <c r="C65" s="813">
        <v>291.81</v>
      </c>
      <c r="D65" s="710">
        <f t="shared" si="2"/>
        <v>97.890773985664495</v>
      </c>
      <c r="E65" s="815">
        <f t="shared" si="3"/>
        <v>107.40549891420368</v>
      </c>
    </row>
    <row r="66" spans="1:5" ht="13.2" x14ac:dyDescent="0.25">
      <c r="A66" s="438">
        <v>35948</v>
      </c>
      <c r="B66" s="812">
        <v>29.661999999999999</v>
      </c>
      <c r="C66" s="813">
        <v>291.3</v>
      </c>
      <c r="D66" s="710">
        <f t="shared" si="2"/>
        <v>97.527454461761025</v>
      </c>
      <c r="E66" s="815">
        <f t="shared" si="3"/>
        <v>107.21778497552359</v>
      </c>
    </row>
    <row r="67" spans="1:5" ht="13.2" x14ac:dyDescent="0.25">
      <c r="A67" s="438">
        <v>35949</v>
      </c>
      <c r="B67" s="812">
        <v>29.717199999999998</v>
      </c>
      <c r="C67" s="813">
        <v>290.52</v>
      </c>
      <c r="D67" s="710">
        <f t="shared" ref="D67:D98" si="4">+(B67/$B$2)*$D$2</f>
        <v>97.708949825738131</v>
      </c>
      <c r="E67" s="815">
        <f t="shared" ref="E67:E98" si="5">+(C67/$C$2)*$E$2</f>
        <v>106.93069306930691</v>
      </c>
    </row>
    <row r="68" spans="1:5" ht="13.2" x14ac:dyDescent="0.25">
      <c r="A68" s="438">
        <v>35950</v>
      </c>
      <c r="B68" s="812">
        <v>29.661999999999999</v>
      </c>
      <c r="C68" s="813">
        <v>290.18</v>
      </c>
      <c r="D68" s="710">
        <f t="shared" si="4"/>
        <v>97.527454461761025</v>
      </c>
      <c r="E68" s="815">
        <f t="shared" si="5"/>
        <v>106.80555044352018</v>
      </c>
    </row>
    <row r="69" spans="1:5" ht="13.2" x14ac:dyDescent="0.25">
      <c r="A69" s="438">
        <v>35951</v>
      </c>
      <c r="B69" s="812">
        <v>30.269600000000001</v>
      </c>
      <c r="C69" s="813">
        <v>292.36</v>
      </c>
      <c r="D69" s="710">
        <f t="shared" si="4"/>
        <v>99.52521864930624</v>
      </c>
      <c r="E69" s="815">
        <f t="shared" si="5"/>
        <v>107.60793551474109</v>
      </c>
    </row>
    <row r="70" spans="1:5" ht="13.2" x14ac:dyDescent="0.25">
      <c r="A70" s="438">
        <v>35954</v>
      </c>
      <c r="B70" s="812">
        <v>29.882899999999999</v>
      </c>
      <c r="C70" s="813">
        <v>292.01</v>
      </c>
      <c r="D70" s="710">
        <f t="shared" si="4"/>
        <v>98.253764713618722</v>
      </c>
      <c r="E70" s="815">
        <f t="shared" si="5"/>
        <v>107.47911222349001</v>
      </c>
    </row>
    <row r="71" spans="1:5" ht="13.2" x14ac:dyDescent="0.25">
      <c r="A71" s="438">
        <v>35955</v>
      </c>
      <c r="B71" s="812">
        <v>30.103899999999999</v>
      </c>
      <c r="C71" s="813">
        <v>290.98</v>
      </c>
      <c r="D71" s="710">
        <f t="shared" si="4"/>
        <v>98.980403761425649</v>
      </c>
      <c r="E71" s="815">
        <f t="shared" si="5"/>
        <v>107.10000368066548</v>
      </c>
    </row>
    <row r="72" spans="1:5" ht="13.2" x14ac:dyDescent="0.25">
      <c r="A72" s="438">
        <v>35956</v>
      </c>
      <c r="B72" s="812">
        <v>30.821899999999999</v>
      </c>
      <c r="C72" s="813">
        <v>292.64</v>
      </c>
      <c r="D72" s="710">
        <f t="shared" si="4"/>
        <v>101.3411586769251</v>
      </c>
      <c r="E72" s="815">
        <f t="shared" si="5"/>
        <v>107.7109941477419</v>
      </c>
    </row>
    <row r="73" spans="1:5" ht="13.2" x14ac:dyDescent="0.25">
      <c r="A73" s="438">
        <v>35957</v>
      </c>
      <c r="B73" s="812">
        <v>31.042899999999999</v>
      </c>
      <c r="C73" s="813">
        <v>293.79000000000002</v>
      </c>
      <c r="D73" s="710">
        <f t="shared" si="4"/>
        <v>102.06779772473202</v>
      </c>
      <c r="E73" s="815">
        <f t="shared" si="5"/>
        <v>108.13427067613826</v>
      </c>
    </row>
    <row r="74" spans="1:5" ht="13.2" x14ac:dyDescent="0.25">
      <c r="A74" s="438">
        <v>35958</v>
      </c>
      <c r="B74" s="812">
        <v>31.429500000000001</v>
      </c>
      <c r="C74" s="813">
        <v>293.42</v>
      </c>
      <c r="D74" s="710">
        <f t="shared" si="4"/>
        <v>103.33892286447031</v>
      </c>
      <c r="E74" s="815">
        <f t="shared" si="5"/>
        <v>107.99808605395856</v>
      </c>
    </row>
    <row r="75" spans="1:5" ht="13.2" x14ac:dyDescent="0.25">
      <c r="A75" s="438">
        <v>35961</v>
      </c>
      <c r="B75" s="812">
        <v>31.319099999999999</v>
      </c>
      <c r="C75" s="813">
        <v>292.01</v>
      </c>
      <c r="D75" s="710">
        <f t="shared" si="4"/>
        <v>102.97593213651608</v>
      </c>
      <c r="E75" s="815">
        <f t="shared" si="5"/>
        <v>107.47911222349001</v>
      </c>
    </row>
    <row r="76" spans="1:5" ht="13.2" x14ac:dyDescent="0.25">
      <c r="A76" s="438">
        <v>35962</v>
      </c>
      <c r="B76" s="812">
        <v>31.54</v>
      </c>
      <c r="C76" s="813">
        <v>290.99</v>
      </c>
      <c r="D76" s="710">
        <f t="shared" si="4"/>
        <v>103.70224238837378</v>
      </c>
      <c r="E76" s="815">
        <f t="shared" si="5"/>
        <v>107.10368434612978</v>
      </c>
    </row>
    <row r="77" spans="1:5" ht="13.2" x14ac:dyDescent="0.25">
      <c r="A77" s="438">
        <v>35963</v>
      </c>
      <c r="B77" s="812">
        <v>31.208600000000001</v>
      </c>
      <c r="C77" s="813">
        <v>290.72000000000003</v>
      </c>
      <c r="D77" s="710">
        <f t="shared" si="4"/>
        <v>102.61261261261261</v>
      </c>
      <c r="E77" s="815">
        <f t="shared" si="5"/>
        <v>107.00430637859326</v>
      </c>
    </row>
    <row r="78" spans="1:5" ht="13.2" x14ac:dyDescent="0.25">
      <c r="A78" s="438">
        <v>35964</v>
      </c>
      <c r="B78" s="812">
        <v>31.208600000000001</v>
      </c>
      <c r="C78" s="813">
        <v>291.02</v>
      </c>
      <c r="D78" s="710">
        <f t="shared" si="4"/>
        <v>102.61261261261261</v>
      </c>
      <c r="E78" s="815">
        <f t="shared" si="5"/>
        <v>107.11472634252273</v>
      </c>
    </row>
    <row r="79" spans="1:5" ht="13.2" x14ac:dyDescent="0.25">
      <c r="A79" s="438">
        <v>35965</v>
      </c>
      <c r="B79" s="812">
        <v>31.2638</v>
      </c>
      <c r="C79" s="813">
        <v>289.29000000000002</v>
      </c>
      <c r="D79" s="710">
        <f t="shared" si="4"/>
        <v>102.79410797658971</v>
      </c>
      <c r="E79" s="815">
        <f t="shared" si="5"/>
        <v>106.47797121719609</v>
      </c>
    </row>
    <row r="80" spans="1:5" ht="13.2" x14ac:dyDescent="0.25">
      <c r="A80" s="438">
        <v>35968</v>
      </c>
      <c r="B80" s="812">
        <v>30.877199999999998</v>
      </c>
      <c r="C80" s="813">
        <v>289.02</v>
      </c>
      <c r="D80" s="710">
        <f t="shared" si="4"/>
        <v>101.52298283685144</v>
      </c>
      <c r="E80" s="815">
        <f t="shared" si="5"/>
        <v>106.37859324965953</v>
      </c>
    </row>
    <row r="81" spans="1:5" ht="13.2" x14ac:dyDescent="0.25">
      <c r="A81" s="438">
        <v>35969</v>
      </c>
      <c r="B81" s="812">
        <v>30.877199999999998</v>
      </c>
      <c r="C81" s="813">
        <v>290.25</v>
      </c>
      <c r="D81" s="710">
        <f t="shared" si="4"/>
        <v>101.52298283685144</v>
      </c>
      <c r="E81" s="815">
        <f t="shared" si="5"/>
        <v>106.8313151017704</v>
      </c>
    </row>
    <row r="82" spans="1:5" ht="13.2" x14ac:dyDescent="0.25">
      <c r="A82" s="438">
        <v>35970</v>
      </c>
      <c r="B82" s="812">
        <v>30.877199999999998</v>
      </c>
      <c r="C82" s="813">
        <v>290.25</v>
      </c>
      <c r="D82" s="710">
        <f t="shared" si="4"/>
        <v>101.52298283685144</v>
      </c>
      <c r="E82" s="815">
        <f t="shared" si="5"/>
        <v>106.8313151017704</v>
      </c>
    </row>
    <row r="83" spans="1:5" ht="13.2" x14ac:dyDescent="0.25">
      <c r="A83" s="438">
        <v>35971</v>
      </c>
      <c r="B83" s="812">
        <v>30.3248</v>
      </c>
      <c r="C83" s="813">
        <v>286.92</v>
      </c>
      <c r="D83" s="710">
        <f t="shared" si="4"/>
        <v>99.706714013283346</v>
      </c>
      <c r="E83" s="815">
        <f t="shared" si="5"/>
        <v>105.60565350215319</v>
      </c>
    </row>
    <row r="84" spans="1:5" ht="13.2" x14ac:dyDescent="0.25">
      <c r="A84" s="438">
        <v>35972</v>
      </c>
      <c r="B84" s="812">
        <v>30.656199999999998</v>
      </c>
      <c r="C84" s="813">
        <v>288.60000000000002</v>
      </c>
      <c r="D84" s="710">
        <f t="shared" si="4"/>
        <v>100.79634378904451</v>
      </c>
      <c r="E84" s="815">
        <f t="shared" si="5"/>
        <v>106.22400530015827</v>
      </c>
    </row>
    <row r="85" spans="1:5" ht="13.2" x14ac:dyDescent="0.25">
      <c r="A85" s="438">
        <v>35975</v>
      </c>
      <c r="B85" s="812">
        <v>31.042899999999999</v>
      </c>
      <c r="C85" s="813">
        <v>292.45999999999998</v>
      </c>
      <c r="D85" s="710">
        <f t="shared" si="4"/>
        <v>102.06779772473202</v>
      </c>
      <c r="E85" s="815">
        <f t="shared" si="5"/>
        <v>107.64474216938422</v>
      </c>
    </row>
    <row r="86" spans="1:5" ht="13.2" x14ac:dyDescent="0.25">
      <c r="A86" s="438">
        <v>35976</v>
      </c>
      <c r="B86" s="812">
        <v>30.932400000000001</v>
      </c>
      <c r="C86" s="813">
        <v>293.87</v>
      </c>
      <c r="D86" s="710">
        <f t="shared" si="4"/>
        <v>101.70447820082858</v>
      </c>
      <c r="E86" s="815">
        <f t="shared" si="5"/>
        <v>108.16371599985277</v>
      </c>
    </row>
    <row r="87" spans="1:5" ht="13.2" x14ac:dyDescent="0.25">
      <c r="A87" s="438">
        <v>35977</v>
      </c>
      <c r="B87" s="812">
        <v>31.098099999999999</v>
      </c>
      <c r="C87" s="813">
        <v>294.14</v>
      </c>
      <c r="D87" s="710">
        <f t="shared" si="4"/>
        <v>102.24929308870914</v>
      </c>
      <c r="E87" s="815">
        <f t="shared" si="5"/>
        <v>108.2630939673893</v>
      </c>
    </row>
    <row r="88" spans="1:5" ht="13.2" x14ac:dyDescent="0.25">
      <c r="A88" s="438">
        <v>35978</v>
      </c>
      <c r="B88" s="812">
        <v>30.877199999999998</v>
      </c>
      <c r="C88" s="813">
        <v>293.83999999999997</v>
      </c>
      <c r="D88" s="710">
        <f t="shared" si="4"/>
        <v>101.52298283685144</v>
      </c>
      <c r="E88" s="815">
        <f t="shared" si="5"/>
        <v>108.15267400345982</v>
      </c>
    </row>
    <row r="89" spans="1:5" ht="13.2" x14ac:dyDescent="0.25">
      <c r="A89" s="438">
        <v>35982</v>
      </c>
      <c r="B89" s="812">
        <v>29.938199999999998</v>
      </c>
      <c r="C89" s="813">
        <v>295.39999999999998</v>
      </c>
      <c r="D89" s="710">
        <f t="shared" si="4"/>
        <v>98.435588873545072</v>
      </c>
      <c r="E89" s="815">
        <f t="shared" si="5"/>
        <v>108.72685781589311</v>
      </c>
    </row>
    <row r="90" spans="1:5" ht="13.2" x14ac:dyDescent="0.25">
      <c r="A90" s="438">
        <v>35983</v>
      </c>
      <c r="B90" s="812">
        <v>29.717199999999998</v>
      </c>
      <c r="C90" s="813">
        <v>292.73</v>
      </c>
      <c r="D90" s="710">
        <f t="shared" si="4"/>
        <v>97.708949825738131</v>
      </c>
      <c r="E90" s="815">
        <f t="shared" si="5"/>
        <v>107.74412013692076</v>
      </c>
    </row>
    <row r="91" spans="1:5" ht="13.2" x14ac:dyDescent="0.25">
      <c r="A91" s="438">
        <v>35984</v>
      </c>
      <c r="B91" s="812">
        <v>29.551500000000001</v>
      </c>
      <c r="C91" s="813">
        <v>292.85000000000002</v>
      </c>
      <c r="D91" s="710">
        <f t="shared" si="4"/>
        <v>97.164134937857554</v>
      </c>
      <c r="E91" s="815">
        <f t="shared" si="5"/>
        <v>107.78828812249255</v>
      </c>
    </row>
    <row r="92" spans="1:5" ht="13.2" x14ac:dyDescent="0.25">
      <c r="A92" s="438">
        <v>35985</v>
      </c>
      <c r="B92" s="812">
        <v>29.275300000000001</v>
      </c>
      <c r="C92" s="813">
        <v>290.72000000000003</v>
      </c>
      <c r="D92" s="710">
        <f t="shared" si="4"/>
        <v>96.256000526073521</v>
      </c>
      <c r="E92" s="815">
        <f t="shared" si="5"/>
        <v>107.00430637859326</v>
      </c>
    </row>
    <row r="93" spans="1:5" ht="13.2" x14ac:dyDescent="0.25">
      <c r="A93" s="438">
        <v>35986</v>
      </c>
      <c r="B93" s="812">
        <v>28.778199999999998</v>
      </c>
      <c r="C93" s="813">
        <v>291.11</v>
      </c>
      <c r="D93" s="710">
        <f t="shared" si="4"/>
        <v>94.621555862431762</v>
      </c>
      <c r="E93" s="815">
        <f t="shared" si="5"/>
        <v>107.14785233170159</v>
      </c>
    </row>
    <row r="94" spans="1:5" ht="13.2" x14ac:dyDescent="0.25">
      <c r="A94" s="438">
        <v>35989</v>
      </c>
      <c r="B94" s="812">
        <v>28.6677</v>
      </c>
      <c r="C94" s="813">
        <v>290.04000000000002</v>
      </c>
      <c r="D94" s="710">
        <f t="shared" si="4"/>
        <v>94.258236338528306</v>
      </c>
      <c r="E94" s="815">
        <f t="shared" si="5"/>
        <v>106.75402112701977</v>
      </c>
    </row>
    <row r="95" spans="1:5" ht="13.2" x14ac:dyDescent="0.25">
      <c r="A95" s="438">
        <v>35990</v>
      </c>
      <c r="B95" s="812">
        <v>28.833400000000001</v>
      </c>
      <c r="C95" s="813">
        <v>290.99</v>
      </c>
      <c r="D95" s="710">
        <f t="shared" si="4"/>
        <v>94.803051226408883</v>
      </c>
      <c r="E95" s="815">
        <f t="shared" si="5"/>
        <v>107.10368434612978</v>
      </c>
    </row>
    <row r="96" spans="1:5" ht="13.2" x14ac:dyDescent="0.25">
      <c r="A96" s="438">
        <v>35991</v>
      </c>
      <c r="B96" s="812">
        <v>28.722999999999999</v>
      </c>
      <c r="C96" s="813">
        <v>290.87</v>
      </c>
      <c r="D96" s="710">
        <f t="shared" si="4"/>
        <v>94.440060498454642</v>
      </c>
      <c r="E96" s="815">
        <f t="shared" si="5"/>
        <v>107.05951636055799</v>
      </c>
    </row>
    <row r="97" spans="1:5" ht="13.2" x14ac:dyDescent="0.25">
      <c r="A97" s="438">
        <v>35992</v>
      </c>
      <c r="B97" s="812">
        <v>28.778199999999998</v>
      </c>
      <c r="C97" s="813">
        <v>292.31</v>
      </c>
      <c r="D97" s="710">
        <f t="shared" si="4"/>
        <v>94.621555862431762</v>
      </c>
      <c r="E97" s="815">
        <f t="shared" si="5"/>
        <v>107.58953218741949</v>
      </c>
    </row>
    <row r="98" spans="1:5" ht="13.2" x14ac:dyDescent="0.25">
      <c r="A98" s="438">
        <v>35993</v>
      </c>
      <c r="B98" s="812">
        <v>28.8887</v>
      </c>
      <c r="C98" s="813">
        <v>291.89</v>
      </c>
      <c r="D98" s="710">
        <f t="shared" si="4"/>
        <v>94.984875386335233</v>
      </c>
      <c r="E98" s="815">
        <f t="shared" si="5"/>
        <v>107.43494423791822</v>
      </c>
    </row>
    <row r="99" spans="1:5" ht="13.2" x14ac:dyDescent="0.25">
      <c r="A99" s="438">
        <v>35996</v>
      </c>
      <c r="B99" s="812">
        <v>28.833400000000001</v>
      </c>
      <c r="C99" s="813">
        <v>289.95</v>
      </c>
      <c r="D99" s="710">
        <f t="shared" ref="D99:D105" si="6">+(B99/$B$2)*$D$2</f>
        <v>94.803051226408883</v>
      </c>
      <c r="E99" s="815">
        <f t="shared" ref="E99:E105" si="7">+(C99/$C$2)*$E$2</f>
        <v>106.72089513784091</v>
      </c>
    </row>
    <row r="100" spans="1:5" ht="13.2" x14ac:dyDescent="0.25">
      <c r="A100" s="438">
        <v>35997</v>
      </c>
      <c r="B100" s="812">
        <v>28.557300000000001</v>
      </c>
      <c r="C100" s="813">
        <v>288.24</v>
      </c>
      <c r="D100" s="710">
        <f t="shared" si="6"/>
        <v>93.895245610574079</v>
      </c>
      <c r="E100" s="815">
        <f t="shared" si="7"/>
        <v>106.0915013434429</v>
      </c>
    </row>
    <row r="101" spans="1:5" ht="13.2" x14ac:dyDescent="0.25">
      <c r="A101" s="438">
        <v>35998</v>
      </c>
      <c r="B101" s="812">
        <v>28.778199999999998</v>
      </c>
      <c r="C101" s="813">
        <v>289.2</v>
      </c>
      <c r="D101" s="710">
        <f t="shared" si="6"/>
        <v>94.621555862431762</v>
      </c>
      <c r="E101" s="815">
        <f t="shared" si="7"/>
        <v>106.44484522801723</v>
      </c>
    </row>
    <row r="102" spans="1:5" ht="13.2" x14ac:dyDescent="0.25">
      <c r="A102" s="438">
        <v>35999</v>
      </c>
      <c r="B102" s="812">
        <v>28.281099999999999</v>
      </c>
      <c r="C102" s="813">
        <v>287.52</v>
      </c>
      <c r="D102" s="710">
        <f t="shared" si="6"/>
        <v>92.987111198790018</v>
      </c>
      <c r="E102" s="815">
        <f t="shared" si="7"/>
        <v>105.82649343001214</v>
      </c>
    </row>
    <row r="103" spans="1:5" ht="13.2" x14ac:dyDescent="0.25">
      <c r="A103" s="438">
        <v>36000</v>
      </c>
      <c r="B103" s="812">
        <v>28.281099999999999</v>
      </c>
      <c r="C103" s="813">
        <v>286.08</v>
      </c>
      <c r="D103" s="710">
        <f t="shared" si="6"/>
        <v>92.987111198790018</v>
      </c>
      <c r="E103" s="815">
        <f t="shared" si="7"/>
        <v>105.29647760315063</v>
      </c>
    </row>
    <row r="104" spans="1:5" ht="13.2" x14ac:dyDescent="0.25">
      <c r="A104" s="438">
        <v>36003</v>
      </c>
      <c r="B104" s="812">
        <v>28.281099999999999</v>
      </c>
      <c r="C104" s="813">
        <v>286.32</v>
      </c>
      <c r="D104" s="710">
        <f t="shared" si="6"/>
        <v>92.987111198790018</v>
      </c>
      <c r="E104" s="815">
        <f t="shared" si="7"/>
        <v>105.38481357429423</v>
      </c>
    </row>
    <row r="105" spans="1:5" ht="13.2" x14ac:dyDescent="0.25">
      <c r="A105" s="438">
        <v>36004</v>
      </c>
      <c r="B105" s="812">
        <v>28.391500000000001</v>
      </c>
      <c r="C105" s="813">
        <v>283.83</v>
      </c>
      <c r="D105" s="710">
        <f t="shared" si="6"/>
        <v>93.350101926744259</v>
      </c>
      <c r="E105" s="815">
        <f t="shared" si="7"/>
        <v>104.46832787367957</v>
      </c>
    </row>
    <row r="106" spans="1:5" ht="13.2" x14ac:dyDescent="0.25">
      <c r="A106" s="711">
        <v>36005</v>
      </c>
      <c r="B106" s="199">
        <v>28.2258</v>
      </c>
      <c r="C106" s="814">
        <v>282.04000000000002</v>
      </c>
      <c r="D106" s="710">
        <f t="shared" ref="D106:D119" si="8">+(B106/$B$2)*$D$2</f>
        <v>92.805287038863668</v>
      </c>
      <c r="E106" s="815">
        <f t="shared" ref="E106:E119" si="9">+(C106/$C$2)*$E$2</f>
        <v>103.80948875556702</v>
      </c>
    </row>
    <row r="107" spans="1:5" ht="13.2" x14ac:dyDescent="0.25">
      <c r="A107" s="711">
        <v>36006</v>
      </c>
      <c r="B107" s="199">
        <v>28.336300000000001</v>
      </c>
      <c r="C107" s="814">
        <v>284.85000000000002</v>
      </c>
      <c r="D107" s="710">
        <f t="shared" si="8"/>
        <v>93.168606562767138</v>
      </c>
      <c r="E107" s="815">
        <f t="shared" si="9"/>
        <v>104.84375575103979</v>
      </c>
    </row>
    <row r="108" spans="1:5" ht="13.2" x14ac:dyDescent="0.25">
      <c r="A108" s="711">
        <v>36007</v>
      </c>
      <c r="B108" s="199">
        <v>27.894400000000001</v>
      </c>
      <c r="C108" s="814">
        <v>278.64999999999998</v>
      </c>
      <c r="D108" s="710">
        <f t="shared" si="8"/>
        <v>91.715657263102514</v>
      </c>
      <c r="E108" s="815">
        <f t="shared" si="9"/>
        <v>102.56174316316388</v>
      </c>
    </row>
    <row r="109" spans="1:5" ht="13.2" x14ac:dyDescent="0.25">
      <c r="A109" s="711">
        <v>36010</v>
      </c>
      <c r="B109" s="199">
        <v>28.115400000000001</v>
      </c>
      <c r="C109" s="814">
        <v>280.33</v>
      </c>
      <c r="D109" s="710">
        <f t="shared" si="8"/>
        <v>92.442296310909441</v>
      </c>
      <c r="E109" s="815">
        <f t="shared" si="9"/>
        <v>103.18009496116898</v>
      </c>
    </row>
    <row r="110" spans="1:5" ht="13.2" x14ac:dyDescent="0.25">
      <c r="A110" s="711">
        <v>36011</v>
      </c>
      <c r="B110" s="199">
        <v>27.790400000000002</v>
      </c>
      <c r="C110" s="814">
        <v>273.74</v>
      </c>
      <c r="D110" s="710">
        <f t="shared" si="8"/>
        <v>91.373709475899261</v>
      </c>
      <c r="E110" s="815">
        <f t="shared" si="9"/>
        <v>100.75453642018476</v>
      </c>
    </row>
    <row r="111" spans="1:5" ht="13.2" x14ac:dyDescent="0.25">
      <c r="A111" s="711">
        <v>36012</v>
      </c>
      <c r="B111" s="199">
        <v>28.294699999999999</v>
      </c>
      <c r="C111" s="814">
        <v>273.92</v>
      </c>
      <c r="D111" s="710">
        <f t="shared" si="8"/>
        <v>93.031827447885831</v>
      </c>
      <c r="E111" s="815">
        <f t="shared" si="9"/>
        <v>100.82078839854248</v>
      </c>
    </row>
    <row r="112" spans="1:5" ht="13.2" x14ac:dyDescent="0.25">
      <c r="A112" s="711">
        <v>36013</v>
      </c>
      <c r="B112" s="199">
        <v>28.3507</v>
      </c>
      <c r="C112" s="814">
        <v>273.58999999999997</v>
      </c>
      <c r="D112" s="710">
        <f t="shared" si="8"/>
        <v>93.215953179456818</v>
      </c>
      <c r="E112" s="815">
        <f t="shared" si="9"/>
        <v>100.69932643822001</v>
      </c>
    </row>
    <row r="113" spans="1:5" ht="13.2" x14ac:dyDescent="0.25">
      <c r="A113" s="711">
        <v>36014</v>
      </c>
      <c r="B113" s="199">
        <v>28.630800000000001</v>
      </c>
      <c r="C113" s="814">
        <v>277.06</v>
      </c>
      <c r="D113" s="710">
        <f t="shared" si="8"/>
        <v>94.136910633260996</v>
      </c>
      <c r="E113" s="815">
        <f t="shared" si="9"/>
        <v>101.97651735433766</v>
      </c>
    </row>
    <row r="114" spans="1:5" ht="13.2" x14ac:dyDescent="0.25">
      <c r="A114" s="711">
        <v>36017</v>
      </c>
      <c r="B114" s="199">
        <v>28.462700000000002</v>
      </c>
      <c r="C114" s="814">
        <v>276.67</v>
      </c>
      <c r="D114" s="710">
        <f t="shared" si="8"/>
        <v>93.584204642598806</v>
      </c>
      <c r="E114" s="815">
        <f t="shared" si="9"/>
        <v>101.83297140122936</v>
      </c>
    </row>
    <row r="115" spans="1:5" ht="13.2" x14ac:dyDescent="0.25">
      <c r="A115" s="711">
        <v>36018</v>
      </c>
      <c r="B115" s="199">
        <v>28.238600000000002</v>
      </c>
      <c r="C115" s="814">
        <v>274.72000000000003</v>
      </c>
      <c r="D115" s="710">
        <f t="shared" si="8"/>
        <v>92.847372920365629</v>
      </c>
      <c r="E115" s="815">
        <f t="shared" si="9"/>
        <v>101.11524163568775</v>
      </c>
    </row>
    <row r="116" spans="1:5" ht="13.2" x14ac:dyDescent="0.25">
      <c r="A116" s="711">
        <v>36019</v>
      </c>
      <c r="B116" s="199">
        <v>28.966999999999999</v>
      </c>
      <c r="C116" s="814">
        <v>280.81</v>
      </c>
      <c r="D116" s="710">
        <f t="shared" si="8"/>
        <v>95.24232261458539</v>
      </c>
      <c r="E116" s="815">
        <f t="shared" si="9"/>
        <v>103.35676690345615</v>
      </c>
    </row>
    <row r="117" spans="1:5" ht="13.2" x14ac:dyDescent="0.25">
      <c r="A117" s="711">
        <v>36020</v>
      </c>
      <c r="B117" s="199">
        <v>28.686900000000001</v>
      </c>
      <c r="C117" s="814">
        <v>279.07</v>
      </c>
      <c r="D117" s="710">
        <f t="shared" si="8"/>
        <v>94.321365160781227</v>
      </c>
      <c r="E117" s="815">
        <f t="shared" si="9"/>
        <v>102.71633111266516</v>
      </c>
    </row>
    <row r="118" spans="1:5" ht="13.2" x14ac:dyDescent="0.25">
      <c r="A118" s="711">
        <v>36021</v>
      </c>
      <c r="B118" s="199">
        <v>28.462700000000002</v>
      </c>
      <c r="C118" s="814">
        <v>277.51</v>
      </c>
      <c r="D118" s="710">
        <f t="shared" si="8"/>
        <v>93.584204642598806</v>
      </c>
      <c r="E118" s="815">
        <f t="shared" si="9"/>
        <v>102.14214730023188</v>
      </c>
    </row>
    <row r="119" spans="1:5" ht="13.2" x14ac:dyDescent="0.25">
      <c r="A119" s="711">
        <v>36024</v>
      </c>
      <c r="B119" s="199">
        <v>29.2471</v>
      </c>
      <c r="C119" s="814">
        <v>281.11</v>
      </c>
      <c r="D119" s="710">
        <f t="shared" si="8"/>
        <v>96.163280068389554</v>
      </c>
      <c r="E119" s="815">
        <f t="shared" si="9"/>
        <v>103.46718686738564</v>
      </c>
    </row>
    <row r="120" spans="1:5" ht="13.2" x14ac:dyDescent="0.25">
      <c r="A120" s="711">
        <v>36025</v>
      </c>
      <c r="B120" s="814">
        <v>29.2471</v>
      </c>
      <c r="C120" s="814">
        <v>281.23</v>
      </c>
      <c r="D120" s="710">
        <f t="shared" ref="D120:D183" si="10">+(B120/$B$2)*$D$2</f>
        <v>96.163280068389554</v>
      </c>
      <c r="E120" s="815">
        <f t="shared" ref="E120:E183" si="11">+(C120/$C$2)*$E$2</f>
        <v>103.51135485295741</v>
      </c>
    </row>
    <row r="121" spans="1:5" ht="13.2" x14ac:dyDescent="0.25">
      <c r="A121" s="711">
        <v>36026</v>
      </c>
      <c r="B121" s="814">
        <v>29.583300000000001</v>
      </c>
      <c r="C121" s="814">
        <v>279.97000000000003</v>
      </c>
      <c r="D121" s="710">
        <f t="shared" si="10"/>
        <v>97.268692049713948</v>
      </c>
      <c r="E121" s="815">
        <f t="shared" si="11"/>
        <v>103.04759100445362</v>
      </c>
    </row>
    <row r="122" spans="1:5" ht="13.2" x14ac:dyDescent="0.25">
      <c r="A122" s="711">
        <v>36027</v>
      </c>
      <c r="B122" s="814">
        <v>29.5273</v>
      </c>
      <c r="C122" s="814">
        <v>280.08999999999997</v>
      </c>
      <c r="D122" s="710">
        <f t="shared" si="10"/>
        <v>97.084566318142961</v>
      </c>
      <c r="E122" s="815">
        <f t="shared" si="11"/>
        <v>103.09175899002538</v>
      </c>
    </row>
    <row r="123" spans="1:5" ht="13.2" x14ac:dyDescent="0.25">
      <c r="A123" s="711">
        <v>36028</v>
      </c>
      <c r="B123" s="814">
        <v>30.367699999999999</v>
      </c>
      <c r="C123" s="814">
        <v>282.66000000000003</v>
      </c>
      <c r="D123" s="710">
        <f t="shared" si="10"/>
        <v>99.847767475504696</v>
      </c>
      <c r="E123" s="815">
        <f t="shared" si="11"/>
        <v>104.03769001435461</v>
      </c>
    </row>
    <row r="124" spans="1:5" ht="13.2" x14ac:dyDescent="0.25">
      <c r="A124" s="711">
        <v>36031</v>
      </c>
      <c r="B124" s="814">
        <v>31.152100000000001</v>
      </c>
      <c r="C124" s="814">
        <v>284.22000000000003</v>
      </c>
      <c r="D124" s="710">
        <f t="shared" si="10"/>
        <v>102.42684290129544</v>
      </c>
      <c r="E124" s="815">
        <f t="shared" si="11"/>
        <v>104.6118738267879</v>
      </c>
    </row>
    <row r="125" spans="1:5" ht="13.2" x14ac:dyDescent="0.25">
      <c r="A125" s="711">
        <v>36032</v>
      </c>
      <c r="B125" s="814">
        <v>30.703900000000001</v>
      </c>
      <c r="C125" s="814">
        <v>283.52999999999997</v>
      </c>
      <c r="D125" s="710">
        <f t="shared" si="10"/>
        <v>100.95317945682909</v>
      </c>
      <c r="E125" s="815">
        <f t="shared" si="11"/>
        <v>104.35790790975008</v>
      </c>
    </row>
    <row r="126" spans="1:5" ht="13.2" x14ac:dyDescent="0.25">
      <c r="A126" s="711">
        <v>36033</v>
      </c>
      <c r="B126" s="814">
        <v>31.0961</v>
      </c>
      <c r="C126" s="814">
        <v>284.25</v>
      </c>
      <c r="D126" s="710">
        <f t="shared" si="10"/>
        <v>102.24271716972446</v>
      </c>
      <c r="E126" s="815">
        <f t="shared" si="11"/>
        <v>104.62291582318085</v>
      </c>
    </row>
    <row r="127" spans="1:5" ht="13.2" x14ac:dyDescent="0.25">
      <c r="A127" s="711">
        <v>36034</v>
      </c>
      <c r="B127" s="814">
        <v>30.479800000000001</v>
      </c>
      <c r="C127" s="814">
        <v>281.38</v>
      </c>
      <c r="D127" s="710">
        <f t="shared" si="10"/>
        <v>100.21634773459591</v>
      </c>
      <c r="E127" s="815">
        <f t="shared" si="11"/>
        <v>103.56656483492215</v>
      </c>
    </row>
    <row r="128" spans="1:5" ht="13.2" x14ac:dyDescent="0.25">
      <c r="A128" s="711">
        <v>36035</v>
      </c>
      <c r="B128" s="814">
        <v>31.040099999999999</v>
      </c>
      <c r="C128" s="814">
        <v>283.74</v>
      </c>
      <c r="D128" s="710">
        <f t="shared" si="10"/>
        <v>102.05859143815348</v>
      </c>
      <c r="E128" s="815">
        <f t="shared" si="11"/>
        <v>104.43520188450073</v>
      </c>
    </row>
    <row r="129" spans="1:5" ht="13.2" x14ac:dyDescent="0.25">
      <c r="A129" s="711">
        <v>36038</v>
      </c>
      <c r="B129" s="814">
        <v>31.152100000000001</v>
      </c>
      <c r="C129" s="814">
        <v>278.2</v>
      </c>
      <c r="D129" s="710">
        <f t="shared" si="10"/>
        <v>102.42684290129544</v>
      </c>
      <c r="E129" s="815">
        <f t="shared" si="11"/>
        <v>102.39611321726967</v>
      </c>
    </row>
    <row r="130" spans="1:5" ht="13.2" x14ac:dyDescent="0.25">
      <c r="A130" s="711">
        <v>36039</v>
      </c>
      <c r="B130" s="814">
        <v>30.872</v>
      </c>
      <c r="C130" s="814">
        <v>278.2</v>
      </c>
      <c r="D130" s="710">
        <f t="shared" si="10"/>
        <v>101.50588544749128</v>
      </c>
      <c r="E130" s="815">
        <f t="shared" si="11"/>
        <v>102.39611321726967</v>
      </c>
    </row>
    <row r="131" spans="1:5" ht="13.2" x14ac:dyDescent="0.25">
      <c r="A131" s="711">
        <v>36040</v>
      </c>
      <c r="B131" s="814">
        <v>30.311699999999998</v>
      </c>
      <c r="C131" s="814">
        <v>272.87</v>
      </c>
      <c r="D131" s="710">
        <f t="shared" si="10"/>
        <v>99.663641743933709</v>
      </c>
      <c r="E131" s="815">
        <f t="shared" si="11"/>
        <v>100.43431852478928</v>
      </c>
    </row>
    <row r="132" spans="1:5" ht="13.2" x14ac:dyDescent="0.25">
      <c r="A132" s="711">
        <v>36041</v>
      </c>
      <c r="B132" s="814">
        <v>30.031600000000001</v>
      </c>
      <c r="C132" s="814">
        <v>272.36</v>
      </c>
      <c r="D132" s="710">
        <f t="shared" si="10"/>
        <v>98.742684290129546</v>
      </c>
      <c r="E132" s="815">
        <f t="shared" si="11"/>
        <v>100.24660458610917</v>
      </c>
    </row>
    <row r="133" spans="1:5" ht="13.2" x14ac:dyDescent="0.25">
      <c r="A133" s="711">
        <v>36042</v>
      </c>
      <c r="B133" s="814">
        <v>29.9755</v>
      </c>
      <c r="C133" s="814">
        <v>271.67</v>
      </c>
      <c r="D133" s="710">
        <f t="shared" si="10"/>
        <v>98.558229762609315</v>
      </c>
      <c r="E133" s="815">
        <f t="shared" si="11"/>
        <v>99.992638669071383</v>
      </c>
    </row>
    <row r="134" spans="1:5" ht="13.2" x14ac:dyDescent="0.25">
      <c r="A134" s="711">
        <v>36046</v>
      </c>
      <c r="B134" s="814">
        <v>29.639299999999999</v>
      </c>
      <c r="C134" s="814">
        <v>276.88</v>
      </c>
      <c r="D134" s="710">
        <f t="shared" si="10"/>
        <v>97.452817781284935</v>
      </c>
      <c r="E134" s="815">
        <f t="shared" si="11"/>
        <v>101.91026537597998</v>
      </c>
    </row>
    <row r="135" spans="1:5" ht="13.2" x14ac:dyDescent="0.25">
      <c r="A135" s="711">
        <v>36047</v>
      </c>
      <c r="B135" s="814">
        <v>30.031600000000001</v>
      </c>
      <c r="C135" s="814">
        <v>278.29000000000002</v>
      </c>
      <c r="D135" s="710">
        <f t="shared" si="10"/>
        <v>98.742684290129546</v>
      </c>
      <c r="E135" s="815">
        <f t="shared" si="11"/>
        <v>102.42923920644853</v>
      </c>
    </row>
    <row r="136" spans="1:5" ht="13.2" x14ac:dyDescent="0.25">
      <c r="A136" s="711">
        <v>36048</v>
      </c>
      <c r="B136" s="814">
        <v>31.152100000000001</v>
      </c>
      <c r="C136" s="814">
        <v>278.35000000000002</v>
      </c>
      <c r="D136" s="710">
        <f t="shared" si="10"/>
        <v>102.42684290129544</v>
      </c>
      <c r="E136" s="815">
        <f t="shared" si="11"/>
        <v>102.45132319923442</v>
      </c>
    </row>
    <row r="137" spans="1:5" ht="13.2" x14ac:dyDescent="0.25">
      <c r="A137" s="711">
        <v>36049</v>
      </c>
      <c r="B137" s="814">
        <v>30.703900000000001</v>
      </c>
      <c r="C137" s="814">
        <v>281.68</v>
      </c>
      <c r="D137" s="710">
        <f t="shared" si="10"/>
        <v>100.95317945682909</v>
      </c>
      <c r="E137" s="815">
        <f t="shared" si="11"/>
        <v>103.67698479885163</v>
      </c>
    </row>
    <row r="138" spans="1:5" ht="13.2" x14ac:dyDescent="0.25">
      <c r="A138" s="711">
        <v>36052</v>
      </c>
      <c r="B138" s="814">
        <v>31.0961</v>
      </c>
      <c r="C138" s="814">
        <v>287.04000000000002</v>
      </c>
      <c r="D138" s="710">
        <f t="shared" si="10"/>
        <v>102.24271716972446</v>
      </c>
      <c r="E138" s="815">
        <f t="shared" si="11"/>
        <v>105.64982148772499</v>
      </c>
    </row>
    <row r="139" spans="1:5" ht="13.2" x14ac:dyDescent="0.25">
      <c r="A139" s="711">
        <v>36053</v>
      </c>
      <c r="B139" s="814">
        <v>31.488299999999999</v>
      </c>
      <c r="C139" s="814">
        <v>290.95999999999998</v>
      </c>
      <c r="D139" s="710">
        <f t="shared" si="10"/>
        <v>103.53225488261984</v>
      </c>
      <c r="E139" s="815">
        <f t="shared" si="11"/>
        <v>107.09264234973683</v>
      </c>
    </row>
    <row r="140" spans="1:5" ht="13.2" x14ac:dyDescent="0.25">
      <c r="A140" s="711">
        <v>36054</v>
      </c>
      <c r="B140" s="814">
        <v>31.6004</v>
      </c>
      <c r="C140" s="814">
        <v>293.66000000000003</v>
      </c>
      <c r="D140" s="710">
        <f t="shared" si="10"/>
        <v>103.90083514171104</v>
      </c>
      <c r="E140" s="815">
        <f t="shared" si="11"/>
        <v>108.08642202510215</v>
      </c>
    </row>
    <row r="141" spans="1:5" ht="13.2" x14ac:dyDescent="0.25">
      <c r="A141" s="711">
        <v>36055</v>
      </c>
      <c r="B141" s="814">
        <v>31.656400000000001</v>
      </c>
      <c r="C141" s="814">
        <v>292.49</v>
      </c>
      <c r="D141" s="710">
        <f t="shared" si="10"/>
        <v>104.08496087328206</v>
      </c>
      <c r="E141" s="815">
        <f t="shared" si="11"/>
        <v>107.65578416577716</v>
      </c>
    </row>
    <row r="142" spans="1:5" ht="13.2" x14ac:dyDescent="0.25">
      <c r="A142" s="711">
        <v>36056</v>
      </c>
      <c r="B142" s="814">
        <v>31.712399999999999</v>
      </c>
      <c r="C142" s="814">
        <v>293.95999999999998</v>
      </c>
      <c r="D142" s="710">
        <f t="shared" si="10"/>
        <v>104.26908660485302</v>
      </c>
      <c r="E142" s="815">
        <f t="shared" si="11"/>
        <v>108.19684198903161</v>
      </c>
    </row>
    <row r="143" spans="1:5" ht="13.2" x14ac:dyDescent="0.25">
      <c r="A143" s="711">
        <v>36059</v>
      </c>
      <c r="B143" s="814">
        <v>32.440800000000003</v>
      </c>
      <c r="C143" s="814">
        <v>294.11</v>
      </c>
      <c r="D143" s="710">
        <f t="shared" si="10"/>
        <v>106.66403629907279</v>
      </c>
      <c r="E143" s="815">
        <f t="shared" si="11"/>
        <v>108.25205197099636</v>
      </c>
    </row>
    <row r="144" spans="1:5" ht="13.2" x14ac:dyDescent="0.25">
      <c r="A144" s="711">
        <v>36060</v>
      </c>
      <c r="B144" s="814">
        <v>32.4968</v>
      </c>
      <c r="C144" s="814">
        <v>296.95999999999998</v>
      </c>
      <c r="D144" s="710">
        <f t="shared" si="10"/>
        <v>106.84816203064378</v>
      </c>
      <c r="E144" s="815">
        <f t="shared" si="11"/>
        <v>109.30104162832639</v>
      </c>
    </row>
    <row r="145" spans="1:5" ht="13.2" x14ac:dyDescent="0.25">
      <c r="A145" s="711">
        <v>36061</v>
      </c>
      <c r="B145" s="814">
        <v>32.7209</v>
      </c>
      <c r="C145" s="814">
        <v>302.98</v>
      </c>
      <c r="D145" s="710">
        <f t="shared" si="10"/>
        <v>107.58499375287695</v>
      </c>
      <c r="E145" s="815">
        <f t="shared" si="11"/>
        <v>111.51680223784462</v>
      </c>
    </row>
    <row r="146" spans="1:5" ht="13.2" x14ac:dyDescent="0.25">
      <c r="A146" s="711">
        <v>36062</v>
      </c>
      <c r="B146" s="814">
        <v>32.2727</v>
      </c>
      <c r="C146" s="814">
        <v>298.72000000000003</v>
      </c>
      <c r="D146" s="710">
        <f t="shared" si="10"/>
        <v>106.1113303084106</v>
      </c>
      <c r="E146" s="815">
        <f t="shared" si="11"/>
        <v>109.94883875004602</v>
      </c>
    </row>
    <row r="147" spans="1:5" ht="13.2" x14ac:dyDescent="0.25">
      <c r="A147" s="711">
        <v>36063</v>
      </c>
      <c r="B147" s="814">
        <v>32.104599999999998</v>
      </c>
      <c r="C147" s="814">
        <v>299.74</v>
      </c>
      <c r="D147" s="710">
        <f t="shared" si="10"/>
        <v>105.55862431774838</v>
      </c>
      <c r="E147" s="815">
        <f t="shared" si="11"/>
        <v>110.32426662740625</v>
      </c>
    </row>
    <row r="148" spans="1:5" ht="13.2" x14ac:dyDescent="0.25">
      <c r="A148" s="711">
        <v>36066</v>
      </c>
      <c r="B148" s="814">
        <v>32.552900000000001</v>
      </c>
      <c r="C148" s="814">
        <v>299.86</v>
      </c>
      <c r="D148" s="710">
        <f t="shared" si="10"/>
        <v>107.03261655816401</v>
      </c>
      <c r="E148" s="815">
        <f t="shared" si="11"/>
        <v>110.36843461297804</v>
      </c>
    </row>
    <row r="149" spans="1:5" ht="13.2" x14ac:dyDescent="0.25">
      <c r="A149" s="711">
        <v>36067</v>
      </c>
      <c r="B149" s="814">
        <v>33.337299999999999</v>
      </c>
      <c r="C149" s="814">
        <v>303.58</v>
      </c>
      <c r="D149" s="710">
        <f t="shared" si="10"/>
        <v>109.61169198395476</v>
      </c>
      <c r="E149" s="815">
        <f t="shared" si="11"/>
        <v>111.73764216570355</v>
      </c>
    </row>
    <row r="150" spans="1:5" ht="13.2" x14ac:dyDescent="0.25">
      <c r="A150" s="711">
        <v>36068</v>
      </c>
      <c r="B150" s="814">
        <v>34.2898</v>
      </c>
      <c r="C150" s="814">
        <v>306.72000000000003</v>
      </c>
      <c r="D150" s="710">
        <f t="shared" si="10"/>
        <v>112.74347340040769</v>
      </c>
      <c r="E150" s="815">
        <f t="shared" si="11"/>
        <v>112.89337112149877</v>
      </c>
    </row>
    <row r="151" spans="1:5" ht="13.2" x14ac:dyDescent="0.25">
      <c r="A151" s="711">
        <v>36069</v>
      </c>
      <c r="B151" s="814">
        <v>34.2898</v>
      </c>
      <c r="C151" s="814">
        <v>304.77999999999997</v>
      </c>
      <c r="D151" s="710">
        <f t="shared" si="10"/>
        <v>112.74347340040769</v>
      </c>
      <c r="E151" s="815">
        <f t="shared" si="11"/>
        <v>112.17932202142147</v>
      </c>
    </row>
    <row r="152" spans="1:5" ht="13.2" x14ac:dyDescent="0.25">
      <c r="A152" s="711">
        <v>36070</v>
      </c>
      <c r="B152" s="814">
        <v>34.682000000000002</v>
      </c>
      <c r="C152" s="814">
        <v>311.19</v>
      </c>
      <c r="D152" s="710">
        <f t="shared" si="10"/>
        <v>114.03301111330309</v>
      </c>
      <c r="E152" s="815">
        <f t="shared" si="11"/>
        <v>114.538628584048</v>
      </c>
    </row>
    <row r="153" spans="1:5" ht="13.2" x14ac:dyDescent="0.25">
      <c r="A153" s="711">
        <v>36073</v>
      </c>
      <c r="B153" s="814">
        <v>34.5139</v>
      </c>
      <c r="C153" s="814">
        <v>318.83</v>
      </c>
      <c r="D153" s="710">
        <f t="shared" si="10"/>
        <v>113.48030512264089</v>
      </c>
      <c r="E153" s="815">
        <f t="shared" si="11"/>
        <v>117.35065699878537</v>
      </c>
    </row>
    <row r="154" spans="1:5" ht="13.2" x14ac:dyDescent="0.25">
      <c r="A154" s="711">
        <v>36074</v>
      </c>
      <c r="B154" s="814">
        <v>34.457799999999999</v>
      </c>
      <c r="C154" s="814">
        <v>317.48</v>
      </c>
      <c r="D154" s="710">
        <f t="shared" si="10"/>
        <v>113.29585059512067</v>
      </c>
      <c r="E154" s="815">
        <f t="shared" si="11"/>
        <v>116.85376716110274</v>
      </c>
    </row>
    <row r="155" spans="1:5" ht="13.2" x14ac:dyDescent="0.25">
      <c r="A155" s="711">
        <v>36075</v>
      </c>
      <c r="B155" s="814">
        <v>34.625900000000001</v>
      </c>
      <c r="C155" s="814">
        <v>319.13</v>
      </c>
      <c r="D155" s="710">
        <f t="shared" si="10"/>
        <v>113.84855658578286</v>
      </c>
      <c r="E155" s="815">
        <f t="shared" si="11"/>
        <v>117.46107696271486</v>
      </c>
    </row>
    <row r="156" spans="1:5" ht="13.2" x14ac:dyDescent="0.25">
      <c r="A156" s="711">
        <v>36076</v>
      </c>
      <c r="B156" s="814">
        <v>34.5139</v>
      </c>
      <c r="C156" s="814">
        <v>320.51</v>
      </c>
      <c r="D156" s="710">
        <f t="shared" si="10"/>
        <v>113.48030512264089</v>
      </c>
      <c r="E156" s="815">
        <f t="shared" si="11"/>
        <v>117.96900879679046</v>
      </c>
    </row>
    <row r="157" spans="1:5" ht="13.2" x14ac:dyDescent="0.25">
      <c r="A157" s="711">
        <v>36077</v>
      </c>
      <c r="B157" s="814">
        <v>33.001100000000001</v>
      </c>
      <c r="C157" s="814">
        <v>311.45999999999998</v>
      </c>
      <c r="D157" s="710">
        <f t="shared" si="10"/>
        <v>108.50628000263036</v>
      </c>
      <c r="E157" s="815">
        <f t="shared" si="11"/>
        <v>114.63800655158451</v>
      </c>
    </row>
    <row r="158" spans="1:5" ht="13.2" x14ac:dyDescent="0.25">
      <c r="A158" s="711">
        <v>36080</v>
      </c>
      <c r="B158" s="814">
        <v>31.264199999999999</v>
      </c>
      <c r="C158" s="814">
        <v>300.52</v>
      </c>
      <c r="D158" s="710">
        <f t="shared" si="10"/>
        <v>102.79542316038666</v>
      </c>
      <c r="E158" s="815">
        <f t="shared" si="11"/>
        <v>110.61135853362288</v>
      </c>
    </row>
    <row r="159" spans="1:5" ht="13.2" x14ac:dyDescent="0.25">
      <c r="A159" s="711">
        <v>36081</v>
      </c>
      <c r="B159" s="814">
        <v>31.992599999999999</v>
      </c>
      <c r="C159" s="814">
        <v>305.56</v>
      </c>
      <c r="D159" s="710">
        <f t="shared" si="10"/>
        <v>105.19037285460642</v>
      </c>
      <c r="E159" s="815">
        <f t="shared" si="11"/>
        <v>112.46641392763811</v>
      </c>
    </row>
    <row r="160" spans="1:5" ht="13.2" x14ac:dyDescent="0.25">
      <c r="A160" s="711">
        <v>36082</v>
      </c>
      <c r="B160" s="814">
        <v>32.832999999999998</v>
      </c>
      <c r="C160" s="814">
        <v>310.41000000000003</v>
      </c>
      <c r="D160" s="710">
        <f t="shared" si="10"/>
        <v>107.95357401196817</v>
      </c>
      <c r="E160" s="815">
        <f t="shared" si="11"/>
        <v>114.25153667783137</v>
      </c>
    </row>
    <row r="161" spans="1:5" ht="13.2" x14ac:dyDescent="0.25">
      <c r="A161" s="711">
        <v>36083</v>
      </c>
      <c r="B161" s="814">
        <v>32.777000000000001</v>
      </c>
      <c r="C161" s="814">
        <v>315.5</v>
      </c>
      <c r="D161" s="710">
        <f t="shared" si="10"/>
        <v>107.76944828039719</v>
      </c>
      <c r="E161" s="815">
        <f t="shared" si="11"/>
        <v>116.12499539916816</v>
      </c>
    </row>
    <row r="162" spans="1:5" ht="13.2" x14ac:dyDescent="0.25">
      <c r="A162" s="711">
        <v>36084</v>
      </c>
      <c r="B162" s="814">
        <v>31.5443</v>
      </c>
      <c r="C162" s="814">
        <v>309.63</v>
      </c>
      <c r="D162" s="710">
        <f t="shared" si="10"/>
        <v>103.71638061419081</v>
      </c>
      <c r="E162" s="815">
        <f t="shared" si="11"/>
        <v>113.96444477161471</v>
      </c>
    </row>
    <row r="163" spans="1:5" ht="13.2" x14ac:dyDescent="0.25">
      <c r="A163" s="711">
        <v>36087</v>
      </c>
      <c r="B163" s="814">
        <v>31.6004</v>
      </c>
      <c r="C163" s="814">
        <v>306.13</v>
      </c>
      <c r="D163" s="710">
        <f t="shared" si="10"/>
        <v>103.90083514171104</v>
      </c>
      <c r="E163" s="815">
        <f t="shared" si="11"/>
        <v>112.67621185910413</v>
      </c>
    </row>
    <row r="164" spans="1:5" ht="13.2" x14ac:dyDescent="0.25">
      <c r="A164" s="711">
        <v>36088</v>
      </c>
      <c r="B164" s="814">
        <v>31.376200000000001</v>
      </c>
      <c r="C164" s="814">
        <v>300.64</v>
      </c>
      <c r="D164" s="710">
        <f t="shared" si="10"/>
        <v>103.16367462352865</v>
      </c>
      <c r="E164" s="815">
        <f t="shared" si="11"/>
        <v>110.65552651919465</v>
      </c>
    </row>
    <row r="165" spans="1:5" ht="13.2" x14ac:dyDescent="0.25">
      <c r="A165" s="711">
        <v>36089</v>
      </c>
      <c r="B165" s="814">
        <v>31.488299999999999</v>
      </c>
      <c r="C165" s="814">
        <v>300.88</v>
      </c>
      <c r="D165" s="710">
        <f t="shared" si="10"/>
        <v>103.53225488261984</v>
      </c>
      <c r="E165" s="815">
        <f t="shared" si="11"/>
        <v>110.74386249033824</v>
      </c>
    </row>
    <row r="166" spans="1:5" ht="13.2" x14ac:dyDescent="0.25">
      <c r="A166" s="711">
        <v>36090</v>
      </c>
      <c r="B166" s="814">
        <v>32.0105</v>
      </c>
      <c r="C166" s="814">
        <v>303.82</v>
      </c>
      <c r="D166" s="710">
        <f t="shared" si="10"/>
        <v>105.24922732951929</v>
      </c>
      <c r="E166" s="815">
        <f t="shared" si="11"/>
        <v>111.82597813684714</v>
      </c>
    </row>
    <row r="167" spans="1:5" ht="13.2" x14ac:dyDescent="0.25">
      <c r="A167" s="711">
        <v>36091</v>
      </c>
      <c r="B167" s="814">
        <v>31.840199999999999</v>
      </c>
      <c r="C167" s="814">
        <v>301.45</v>
      </c>
      <c r="D167" s="710">
        <f t="shared" si="10"/>
        <v>104.68928782797396</v>
      </c>
      <c r="E167" s="815">
        <f t="shared" si="11"/>
        <v>110.95366042180426</v>
      </c>
    </row>
    <row r="168" spans="1:5" ht="13.2" x14ac:dyDescent="0.25">
      <c r="A168" s="711">
        <v>36094</v>
      </c>
      <c r="B168" s="814">
        <v>31.613199999999999</v>
      </c>
      <c r="C168" s="814">
        <v>299.05</v>
      </c>
      <c r="D168" s="710">
        <f t="shared" si="10"/>
        <v>103.94292102321299</v>
      </c>
      <c r="E168" s="815">
        <f t="shared" si="11"/>
        <v>110.07030071036843</v>
      </c>
    </row>
    <row r="169" spans="1:5" ht="13.2" x14ac:dyDescent="0.25">
      <c r="A169" s="711">
        <v>36095</v>
      </c>
      <c r="B169" s="814">
        <v>31.102399999999999</v>
      </c>
      <c r="C169" s="814">
        <v>298.3</v>
      </c>
      <c r="D169" s="710">
        <f t="shared" si="10"/>
        <v>102.2634313145262</v>
      </c>
      <c r="E169" s="815">
        <f t="shared" si="11"/>
        <v>109.79425080054475</v>
      </c>
    </row>
    <row r="170" spans="1:5" ht="13.2" x14ac:dyDescent="0.25">
      <c r="A170" s="711">
        <v>36096</v>
      </c>
      <c r="B170" s="814">
        <v>31.272600000000001</v>
      </c>
      <c r="C170" s="814">
        <v>300.27999999999997</v>
      </c>
      <c r="D170" s="710">
        <f t="shared" si="10"/>
        <v>102.82304202012232</v>
      </c>
      <c r="E170" s="815">
        <f t="shared" si="11"/>
        <v>110.52302256247928</v>
      </c>
    </row>
    <row r="171" spans="1:5" ht="13.2" x14ac:dyDescent="0.25">
      <c r="A171" s="711">
        <v>36097</v>
      </c>
      <c r="B171" s="814">
        <v>31.272600000000001</v>
      </c>
      <c r="C171" s="814">
        <v>297.86</v>
      </c>
      <c r="D171" s="710">
        <f t="shared" si="10"/>
        <v>102.82304202012232</v>
      </c>
      <c r="E171" s="815">
        <f t="shared" si="11"/>
        <v>109.63230152011485</v>
      </c>
    </row>
    <row r="172" spans="1:5" ht="13.2" x14ac:dyDescent="0.25">
      <c r="A172" s="711">
        <v>36098</v>
      </c>
      <c r="B172" s="814">
        <v>31.3294</v>
      </c>
      <c r="C172" s="814">
        <v>301.45</v>
      </c>
      <c r="D172" s="710">
        <f t="shared" si="10"/>
        <v>103.00979811928717</v>
      </c>
      <c r="E172" s="815">
        <f t="shared" si="11"/>
        <v>110.95366042180426</v>
      </c>
    </row>
    <row r="173" spans="1:5" ht="13.2" x14ac:dyDescent="0.25">
      <c r="A173" s="711">
        <v>36101</v>
      </c>
      <c r="B173" s="814">
        <v>31.953700000000001</v>
      </c>
      <c r="C173" s="814">
        <v>304.87</v>
      </c>
      <c r="D173" s="710">
        <f t="shared" si="10"/>
        <v>105.06247123035443</v>
      </c>
      <c r="E173" s="815">
        <f t="shared" si="11"/>
        <v>112.21244801060033</v>
      </c>
    </row>
    <row r="174" spans="1:5" ht="13.2" x14ac:dyDescent="0.25">
      <c r="A174" s="711">
        <v>36102</v>
      </c>
      <c r="B174" s="814">
        <v>31.840199999999999</v>
      </c>
      <c r="C174" s="814">
        <v>307.77</v>
      </c>
      <c r="D174" s="710">
        <f t="shared" si="10"/>
        <v>104.68928782797396</v>
      </c>
      <c r="E174" s="815">
        <f t="shared" si="11"/>
        <v>113.27984099525194</v>
      </c>
    </row>
    <row r="175" spans="1:5" ht="13.2" x14ac:dyDescent="0.25">
      <c r="A175" s="711">
        <v>36103</v>
      </c>
      <c r="B175" s="814">
        <v>31.7834</v>
      </c>
      <c r="C175" s="814">
        <v>306.95999999999998</v>
      </c>
      <c r="D175" s="710">
        <f t="shared" si="10"/>
        <v>104.5025317288091</v>
      </c>
      <c r="E175" s="815">
        <f t="shared" si="11"/>
        <v>112.98170709264235</v>
      </c>
    </row>
    <row r="176" spans="1:5" ht="13.2" x14ac:dyDescent="0.25">
      <c r="A176" s="711">
        <v>36104</v>
      </c>
      <c r="B176" s="814">
        <v>31.953700000000001</v>
      </c>
      <c r="C176" s="814">
        <v>307.05</v>
      </c>
      <c r="D176" s="710">
        <f t="shared" si="10"/>
        <v>105.06247123035443</v>
      </c>
      <c r="E176" s="815">
        <f t="shared" si="11"/>
        <v>113.01483308182121</v>
      </c>
    </row>
    <row r="177" spans="1:5" ht="13.2" x14ac:dyDescent="0.25">
      <c r="A177" s="711">
        <v>36105</v>
      </c>
      <c r="B177" s="814">
        <v>32.0672</v>
      </c>
      <c r="C177" s="814">
        <v>307.05</v>
      </c>
      <c r="D177" s="710">
        <f t="shared" si="10"/>
        <v>105.43565463273492</v>
      </c>
      <c r="E177" s="815">
        <f t="shared" si="11"/>
        <v>113.01483308182121</v>
      </c>
    </row>
    <row r="178" spans="1:5" ht="13.2" x14ac:dyDescent="0.25">
      <c r="A178" s="711">
        <v>36108</v>
      </c>
      <c r="B178" s="814">
        <v>31.442900000000002</v>
      </c>
      <c r="C178" s="814">
        <v>307.38</v>
      </c>
      <c r="D178" s="710">
        <f t="shared" si="10"/>
        <v>103.38298152166765</v>
      </c>
      <c r="E178" s="815">
        <f t="shared" si="11"/>
        <v>113.13629504214362</v>
      </c>
    </row>
    <row r="179" spans="1:5" ht="13.2" x14ac:dyDescent="0.25">
      <c r="A179" s="711">
        <v>36109</v>
      </c>
      <c r="B179" s="814">
        <v>31.669899999999998</v>
      </c>
      <c r="C179" s="814">
        <v>310.08</v>
      </c>
      <c r="D179" s="710">
        <f t="shared" si="10"/>
        <v>104.12934832642861</v>
      </c>
      <c r="E179" s="815">
        <f t="shared" si="11"/>
        <v>114.1300747175089</v>
      </c>
    </row>
    <row r="180" spans="1:5" ht="13.2" x14ac:dyDescent="0.25">
      <c r="A180" s="711">
        <v>36110</v>
      </c>
      <c r="B180" s="814">
        <v>32.0672</v>
      </c>
      <c r="C180" s="814">
        <v>305.44</v>
      </c>
      <c r="D180" s="710">
        <f t="shared" si="10"/>
        <v>105.43565463273492</v>
      </c>
      <c r="E180" s="815">
        <f t="shared" si="11"/>
        <v>112.42224594206634</v>
      </c>
    </row>
    <row r="181" spans="1:5" ht="13.2" x14ac:dyDescent="0.25">
      <c r="A181" s="711">
        <v>36111</v>
      </c>
      <c r="B181" s="814">
        <v>32.124000000000002</v>
      </c>
      <c r="C181" s="814">
        <v>305.62</v>
      </c>
      <c r="D181" s="710">
        <f t="shared" si="10"/>
        <v>105.62241073189979</v>
      </c>
      <c r="E181" s="815">
        <f t="shared" si="11"/>
        <v>112.48849792042401</v>
      </c>
    </row>
    <row r="182" spans="1:5" ht="13.2" x14ac:dyDescent="0.25">
      <c r="A182" s="711">
        <v>36112</v>
      </c>
      <c r="B182" s="814">
        <v>32.350999999999999</v>
      </c>
      <c r="C182" s="814">
        <v>306.87</v>
      </c>
      <c r="D182" s="710">
        <f t="shared" si="10"/>
        <v>106.36877753666074</v>
      </c>
      <c r="E182" s="815">
        <f t="shared" si="11"/>
        <v>112.94858110346351</v>
      </c>
    </row>
    <row r="183" spans="1:5" ht="13.2" x14ac:dyDescent="0.25">
      <c r="A183" s="711">
        <v>36115</v>
      </c>
      <c r="B183" s="814">
        <v>32.918599999999998</v>
      </c>
      <c r="C183" s="814">
        <v>309.54000000000002</v>
      </c>
      <c r="D183" s="710">
        <f t="shared" si="10"/>
        <v>108.23502334451238</v>
      </c>
      <c r="E183" s="815">
        <f t="shared" si="11"/>
        <v>113.93131878243588</v>
      </c>
    </row>
    <row r="184" spans="1:5" ht="13.2" x14ac:dyDescent="0.25">
      <c r="A184" s="711">
        <v>36116</v>
      </c>
      <c r="B184" s="814">
        <v>32.464500000000001</v>
      </c>
      <c r="C184" s="814">
        <v>309.06</v>
      </c>
      <c r="D184" s="710">
        <f t="shared" ref="D184:D247" si="12">+(B184/$B$2)*$D$2</f>
        <v>106.74196093904122</v>
      </c>
      <c r="E184" s="815">
        <f t="shared" ref="E184:E247" si="13">+(C184/$C$2)*$E$2</f>
        <v>113.75464684014871</v>
      </c>
    </row>
    <row r="185" spans="1:5" ht="13.2" x14ac:dyDescent="0.25">
      <c r="A185" s="711">
        <v>36117</v>
      </c>
      <c r="B185" s="814">
        <v>32.180700000000002</v>
      </c>
      <c r="C185" s="814">
        <v>309.27</v>
      </c>
      <c r="D185" s="710">
        <f t="shared" si="12"/>
        <v>105.8088380351154</v>
      </c>
      <c r="E185" s="815">
        <f t="shared" si="13"/>
        <v>113.83194081489934</v>
      </c>
    </row>
    <row r="186" spans="1:5" ht="13.2" x14ac:dyDescent="0.25">
      <c r="A186" s="711">
        <v>36118</v>
      </c>
      <c r="B186" s="814">
        <v>32.124000000000002</v>
      </c>
      <c r="C186" s="814">
        <v>308.33999999999997</v>
      </c>
      <c r="D186" s="710">
        <f t="shared" si="12"/>
        <v>105.62241073189979</v>
      </c>
      <c r="E186" s="815">
        <f t="shared" si="13"/>
        <v>113.48963892671794</v>
      </c>
    </row>
    <row r="187" spans="1:5" ht="13.2" x14ac:dyDescent="0.25">
      <c r="A187" s="711">
        <v>36119</v>
      </c>
      <c r="B187" s="814">
        <v>32.0672</v>
      </c>
      <c r="C187" s="814">
        <v>310.14</v>
      </c>
      <c r="D187" s="710">
        <f t="shared" si="12"/>
        <v>105.43565463273492</v>
      </c>
      <c r="E187" s="815">
        <f t="shared" si="13"/>
        <v>114.15215871029483</v>
      </c>
    </row>
    <row r="188" spans="1:5" ht="13.2" x14ac:dyDescent="0.25">
      <c r="A188" s="711">
        <v>36122</v>
      </c>
      <c r="B188" s="814">
        <v>32.237499999999997</v>
      </c>
      <c r="C188" s="814">
        <v>312.02999999999997</v>
      </c>
      <c r="D188" s="710">
        <f t="shared" si="12"/>
        <v>105.99559413428025</v>
      </c>
      <c r="E188" s="815">
        <f t="shared" si="13"/>
        <v>114.84780448305052</v>
      </c>
    </row>
    <row r="189" spans="1:5" ht="13.2" x14ac:dyDescent="0.25">
      <c r="A189" s="711">
        <v>36123</v>
      </c>
      <c r="B189" s="814">
        <v>32.0672</v>
      </c>
      <c r="C189" s="814">
        <v>311.07</v>
      </c>
      <c r="D189" s="710">
        <f t="shared" si="12"/>
        <v>105.43565463273492</v>
      </c>
      <c r="E189" s="815">
        <f t="shared" si="13"/>
        <v>114.49446059847621</v>
      </c>
    </row>
    <row r="190" spans="1:5" ht="13.2" x14ac:dyDescent="0.25">
      <c r="A190" s="711">
        <v>36124</v>
      </c>
      <c r="B190" s="814">
        <v>32.350999999999999</v>
      </c>
      <c r="C190" s="814">
        <v>310.5</v>
      </c>
      <c r="D190" s="710">
        <f t="shared" si="12"/>
        <v>106.36877753666074</v>
      </c>
      <c r="E190" s="815">
        <f t="shared" si="13"/>
        <v>114.28466266701021</v>
      </c>
    </row>
    <row r="191" spans="1:5" ht="13.2" x14ac:dyDescent="0.25">
      <c r="A191" s="711">
        <v>36126</v>
      </c>
      <c r="B191" s="814">
        <v>32.124000000000002</v>
      </c>
      <c r="C191" s="814">
        <v>309.93</v>
      </c>
      <c r="D191" s="710">
        <f t="shared" si="12"/>
        <v>105.62241073189979</v>
      </c>
      <c r="E191" s="815">
        <f t="shared" si="13"/>
        <v>114.07486473554418</v>
      </c>
    </row>
    <row r="192" spans="1:5" ht="13.2" x14ac:dyDescent="0.25">
      <c r="A192" s="711">
        <v>36129</v>
      </c>
      <c r="B192" s="814">
        <v>31.386099999999999</v>
      </c>
      <c r="C192" s="814">
        <v>303.52</v>
      </c>
      <c r="D192" s="710">
        <f t="shared" si="12"/>
        <v>103.19622542250279</v>
      </c>
      <c r="E192" s="815">
        <f t="shared" si="13"/>
        <v>111.71555817291765</v>
      </c>
    </row>
    <row r="193" spans="1:5" ht="13.2" x14ac:dyDescent="0.25">
      <c r="A193" s="711">
        <v>36130</v>
      </c>
      <c r="B193" s="814">
        <v>31.613199999999999</v>
      </c>
      <c r="C193" s="814">
        <v>305.17</v>
      </c>
      <c r="D193" s="710">
        <f t="shared" si="12"/>
        <v>103.94292102321299</v>
      </c>
      <c r="E193" s="815">
        <f t="shared" si="13"/>
        <v>112.3228679745298</v>
      </c>
    </row>
    <row r="194" spans="1:5" ht="13.2" x14ac:dyDescent="0.25">
      <c r="A194" s="711">
        <v>36131</v>
      </c>
      <c r="B194" s="814">
        <v>31.613199999999999</v>
      </c>
      <c r="C194" s="814">
        <v>304.14999999999998</v>
      </c>
      <c r="D194" s="710">
        <f t="shared" si="12"/>
        <v>103.94292102321299</v>
      </c>
      <c r="E194" s="815">
        <f t="shared" si="13"/>
        <v>111.94744009716958</v>
      </c>
    </row>
    <row r="195" spans="1:5" ht="13.2" x14ac:dyDescent="0.25">
      <c r="A195" s="711">
        <v>36132</v>
      </c>
      <c r="B195" s="814">
        <v>31.613199999999999</v>
      </c>
      <c r="C195" s="814">
        <v>303.10000000000002</v>
      </c>
      <c r="D195" s="710">
        <f t="shared" si="12"/>
        <v>103.94292102321299</v>
      </c>
      <c r="E195" s="815">
        <f t="shared" si="13"/>
        <v>111.5609702234164</v>
      </c>
    </row>
    <row r="196" spans="1:5" ht="13.2" x14ac:dyDescent="0.25">
      <c r="A196" s="711">
        <v>36133</v>
      </c>
      <c r="B196" s="814">
        <v>32.237499999999997</v>
      </c>
      <c r="C196" s="814">
        <v>308.94</v>
      </c>
      <c r="D196" s="710">
        <f t="shared" si="12"/>
        <v>105.99559413428025</v>
      </c>
      <c r="E196" s="815">
        <f t="shared" si="13"/>
        <v>113.71047885457691</v>
      </c>
    </row>
    <row r="197" spans="1:5" ht="13.2" x14ac:dyDescent="0.25">
      <c r="A197" s="711">
        <v>36136</v>
      </c>
      <c r="B197" s="814">
        <v>32.294199999999996</v>
      </c>
      <c r="C197" s="814">
        <v>308.45999999999998</v>
      </c>
      <c r="D197" s="710">
        <f t="shared" si="12"/>
        <v>106.18202143749586</v>
      </c>
      <c r="E197" s="815">
        <f t="shared" si="13"/>
        <v>113.53380691228973</v>
      </c>
    </row>
    <row r="198" spans="1:5" ht="13.2" x14ac:dyDescent="0.25">
      <c r="A198" s="711">
        <v>36137</v>
      </c>
      <c r="B198" s="814">
        <v>32.578000000000003</v>
      </c>
      <c r="C198" s="814">
        <v>307.70999999999998</v>
      </c>
      <c r="D198" s="710">
        <f t="shared" si="12"/>
        <v>107.11514434142171</v>
      </c>
      <c r="E198" s="815">
        <f t="shared" si="13"/>
        <v>113.25775700246604</v>
      </c>
    </row>
    <row r="199" spans="1:5" ht="13.2" x14ac:dyDescent="0.25">
      <c r="A199" s="711">
        <v>36138</v>
      </c>
      <c r="B199" s="814">
        <v>32.0672</v>
      </c>
      <c r="C199" s="814">
        <v>306.75</v>
      </c>
      <c r="D199" s="710">
        <f t="shared" si="12"/>
        <v>105.43565463273492</v>
      </c>
      <c r="E199" s="815">
        <f t="shared" si="13"/>
        <v>112.90441311789172</v>
      </c>
    </row>
    <row r="200" spans="1:5" ht="13.2" x14ac:dyDescent="0.25">
      <c r="A200" s="711">
        <v>36139</v>
      </c>
      <c r="B200" s="814">
        <v>31.613199999999999</v>
      </c>
      <c r="C200" s="814">
        <v>303.7</v>
      </c>
      <c r="D200" s="710">
        <f t="shared" si="12"/>
        <v>103.94292102321299</v>
      </c>
      <c r="E200" s="815">
        <f t="shared" si="13"/>
        <v>111.78181015127535</v>
      </c>
    </row>
    <row r="201" spans="1:5" ht="13.2" x14ac:dyDescent="0.25">
      <c r="A201" s="711">
        <v>36140</v>
      </c>
      <c r="B201" s="814">
        <v>31.896899999999999</v>
      </c>
      <c r="C201" s="814">
        <v>304.42</v>
      </c>
      <c r="D201" s="710">
        <f t="shared" si="12"/>
        <v>104.87571513118958</v>
      </c>
      <c r="E201" s="815">
        <f t="shared" si="13"/>
        <v>112.04681806470612</v>
      </c>
    </row>
    <row r="202" spans="1:5" ht="13.2" x14ac:dyDescent="0.25">
      <c r="A202" s="711">
        <v>36143</v>
      </c>
      <c r="B202" s="814">
        <v>31.442900000000002</v>
      </c>
      <c r="C202" s="814">
        <v>304.20999999999998</v>
      </c>
      <c r="D202" s="710">
        <f t="shared" si="12"/>
        <v>103.38298152166765</v>
      </c>
      <c r="E202" s="815">
        <f t="shared" si="13"/>
        <v>111.96952408995546</v>
      </c>
    </row>
    <row r="203" spans="1:5" ht="13.2" x14ac:dyDescent="0.25">
      <c r="A203" s="711">
        <v>36144</v>
      </c>
      <c r="B203" s="814">
        <v>31.159099999999999</v>
      </c>
      <c r="C203" s="814">
        <v>304.48</v>
      </c>
      <c r="D203" s="710">
        <f t="shared" si="12"/>
        <v>102.44985861774182</v>
      </c>
      <c r="E203" s="815">
        <f t="shared" si="13"/>
        <v>112.06890205749201</v>
      </c>
    </row>
    <row r="204" spans="1:5" ht="13.2" x14ac:dyDescent="0.25">
      <c r="A204" s="711">
        <v>36145</v>
      </c>
      <c r="B204" s="814">
        <v>31.272600000000001</v>
      </c>
      <c r="C204" s="814">
        <v>306.57</v>
      </c>
      <c r="D204" s="710">
        <f t="shared" si="12"/>
        <v>102.82304202012232</v>
      </c>
      <c r="E204" s="815">
        <f t="shared" si="13"/>
        <v>112.83816113953402</v>
      </c>
    </row>
    <row r="205" spans="1:5" ht="13.2" x14ac:dyDescent="0.25">
      <c r="A205" s="711">
        <v>36146</v>
      </c>
      <c r="B205" s="814">
        <v>31.726700000000001</v>
      </c>
      <c r="C205" s="814">
        <v>311.64</v>
      </c>
      <c r="D205" s="710">
        <f t="shared" si="12"/>
        <v>104.31610442559347</v>
      </c>
      <c r="E205" s="815">
        <f t="shared" si="13"/>
        <v>114.70425852994222</v>
      </c>
    </row>
    <row r="206" spans="1:5" ht="13.2" x14ac:dyDescent="0.25">
      <c r="A206" s="711">
        <v>36147</v>
      </c>
      <c r="B206" s="814">
        <v>31.272600000000001</v>
      </c>
      <c r="C206" s="814">
        <v>313.29000000000002</v>
      </c>
      <c r="D206" s="710">
        <f t="shared" si="12"/>
        <v>102.82304202012232</v>
      </c>
      <c r="E206" s="815">
        <f t="shared" si="13"/>
        <v>115.31156833155435</v>
      </c>
    </row>
    <row r="207" spans="1:5" ht="13.2" x14ac:dyDescent="0.25">
      <c r="A207" s="711">
        <v>36150</v>
      </c>
      <c r="B207" s="814">
        <v>31.613199999999999</v>
      </c>
      <c r="C207" s="814">
        <v>314.36</v>
      </c>
      <c r="D207" s="710">
        <f t="shared" si="12"/>
        <v>103.94292102321299</v>
      </c>
      <c r="E207" s="815">
        <f t="shared" si="13"/>
        <v>115.70539953623616</v>
      </c>
    </row>
    <row r="208" spans="1:5" ht="13.2" x14ac:dyDescent="0.25">
      <c r="A208" s="711">
        <v>36151</v>
      </c>
      <c r="B208" s="814">
        <v>30.875299999999999</v>
      </c>
      <c r="C208" s="814">
        <v>312.81</v>
      </c>
      <c r="D208" s="710">
        <f t="shared" si="12"/>
        <v>101.516735713816</v>
      </c>
      <c r="E208" s="815">
        <f t="shared" si="13"/>
        <v>115.13489638926717</v>
      </c>
    </row>
    <row r="209" spans="1:5" ht="13.2" x14ac:dyDescent="0.25">
      <c r="A209" s="711">
        <v>36152</v>
      </c>
      <c r="B209" s="814">
        <v>31.102399999999999</v>
      </c>
      <c r="C209" s="814">
        <v>315.05</v>
      </c>
      <c r="D209" s="710">
        <f t="shared" si="12"/>
        <v>102.2634313145262</v>
      </c>
      <c r="E209" s="815">
        <f t="shared" si="13"/>
        <v>115.95936545327396</v>
      </c>
    </row>
    <row r="210" spans="1:5" ht="13.2" x14ac:dyDescent="0.25">
      <c r="A210" s="711">
        <v>36153</v>
      </c>
      <c r="B210" s="814">
        <v>30.875299999999999</v>
      </c>
      <c r="C210" s="814">
        <v>314.54000000000002</v>
      </c>
      <c r="D210" s="710">
        <f t="shared" si="12"/>
        <v>101.516735713816</v>
      </c>
      <c r="E210" s="815">
        <f t="shared" si="13"/>
        <v>115.77165151459386</v>
      </c>
    </row>
    <row r="211" spans="1:5" ht="13.2" x14ac:dyDescent="0.25">
      <c r="A211" s="711">
        <v>36157</v>
      </c>
      <c r="B211" s="814">
        <v>30.932099999999998</v>
      </c>
      <c r="C211" s="814">
        <v>312.27</v>
      </c>
      <c r="D211" s="710">
        <f t="shared" si="12"/>
        <v>101.70349181298086</v>
      </c>
      <c r="E211" s="815">
        <f t="shared" si="13"/>
        <v>114.93614045419412</v>
      </c>
    </row>
    <row r="212" spans="1:5" ht="13.2" x14ac:dyDescent="0.25">
      <c r="A212" s="711">
        <v>36158</v>
      </c>
      <c r="B212" s="814">
        <v>30.988900000000001</v>
      </c>
      <c r="C212" s="814">
        <v>312.57</v>
      </c>
      <c r="D212" s="710">
        <f t="shared" si="12"/>
        <v>101.89024791214571</v>
      </c>
      <c r="E212" s="815">
        <f t="shared" si="13"/>
        <v>115.0465604181236</v>
      </c>
    </row>
    <row r="213" spans="1:5" ht="13.2" x14ac:dyDescent="0.25">
      <c r="A213" s="711">
        <v>36159</v>
      </c>
      <c r="B213" s="814">
        <v>30.875299999999999</v>
      </c>
      <c r="C213" s="814">
        <v>310.92</v>
      </c>
      <c r="D213" s="710">
        <f t="shared" si="12"/>
        <v>101.516735713816</v>
      </c>
      <c r="E213" s="815">
        <f t="shared" si="13"/>
        <v>114.43925061651147</v>
      </c>
    </row>
    <row r="214" spans="1:5" ht="13.2" x14ac:dyDescent="0.25">
      <c r="A214" s="711">
        <v>36160</v>
      </c>
      <c r="B214" s="814">
        <v>31.215900000000001</v>
      </c>
      <c r="C214" s="814">
        <v>312.3</v>
      </c>
      <c r="D214" s="710">
        <f t="shared" si="12"/>
        <v>102.63661471690668</v>
      </c>
      <c r="E214" s="815">
        <f t="shared" si="13"/>
        <v>114.94718245058708</v>
      </c>
    </row>
    <row r="215" spans="1:5" ht="13.2" x14ac:dyDescent="0.25">
      <c r="A215" s="711">
        <v>36164</v>
      </c>
      <c r="B215" s="814">
        <v>31.3294</v>
      </c>
      <c r="C215" s="814">
        <v>311.91000000000003</v>
      </c>
      <c r="D215" s="710">
        <f t="shared" si="12"/>
        <v>103.00979811928717</v>
      </c>
      <c r="E215" s="815">
        <f t="shared" si="13"/>
        <v>114.80363649747875</v>
      </c>
    </row>
    <row r="216" spans="1:5" ht="13.2" x14ac:dyDescent="0.25">
      <c r="A216" s="711">
        <v>36165</v>
      </c>
      <c r="B216" s="814">
        <v>31.3294</v>
      </c>
      <c r="C216" s="814">
        <v>309.75</v>
      </c>
      <c r="D216" s="710">
        <f t="shared" si="12"/>
        <v>103.00979811928717</v>
      </c>
      <c r="E216" s="815">
        <f t="shared" si="13"/>
        <v>114.0086127571865</v>
      </c>
    </row>
    <row r="217" spans="1:5" ht="13.2" x14ac:dyDescent="0.25">
      <c r="A217" s="711">
        <v>36166</v>
      </c>
      <c r="B217" s="814">
        <v>31.215900000000001</v>
      </c>
      <c r="C217" s="814">
        <v>311.79000000000002</v>
      </c>
      <c r="D217" s="710">
        <f t="shared" si="12"/>
        <v>102.63661471690668</v>
      </c>
      <c r="E217" s="815">
        <f t="shared" si="13"/>
        <v>114.75946851190697</v>
      </c>
    </row>
    <row r="218" spans="1:5" ht="13.2" x14ac:dyDescent="0.25">
      <c r="A218" s="711">
        <v>36167</v>
      </c>
      <c r="B218" s="814">
        <v>30.932099999999998</v>
      </c>
      <c r="C218" s="814">
        <v>311.19</v>
      </c>
      <c r="D218" s="710">
        <f t="shared" si="12"/>
        <v>101.70349181298086</v>
      </c>
      <c r="E218" s="815">
        <f t="shared" si="13"/>
        <v>114.538628584048</v>
      </c>
    </row>
    <row r="219" spans="1:5" ht="13.2" x14ac:dyDescent="0.25">
      <c r="A219" s="711">
        <v>36168</v>
      </c>
      <c r="B219" s="814">
        <v>31.0456</v>
      </c>
      <c r="C219" s="814">
        <v>310.14</v>
      </c>
      <c r="D219" s="710">
        <f t="shared" si="12"/>
        <v>102.07667521536135</v>
      </c>
      <c r="E219" s="815">
        <f t="shared" si="13"/>
        <v>114.15215871029483</v>
      </c>
    </row>
    <row r="220" spans="1:5" ht="13.2" x14ac:dyDescent="0.25">
      <c r="A220" s="711">
        <v>36171</v>
      </c>
      <c r="B220" s="814">
        <v>30.5916</v>
      </c>
      <c r="C220" s="814">
        <v>307.41000000000003</v>
      </c>
      <c r="D220" s="710">
        <f t="shared" si="12"/>
        <v>100.58394160583941</v>
      </c>
      <c r="E220" s="815">
        <f t="shared" si="13"/>
        <v>113.14733703853659</v>
      </c>
    </row>
    <row r="221" spans="1:5" ht="13.2" x14ac:dyDescent="0.25">
      <c r="A221" s="711">
        <v>36172</v>
      </c>
      <c r="B221" s="814">
        <v>30.5916</v>
      </c>
      <c r="C221" s="814">
        <v>308.58</v>
      </c>
      <c r="D221" s="710">
        <f t="shared" si="12"/>
        <v>100.58394160583941</v>
      </c>
      <c r="E221" s="815">
        <f t="shared" si="13"/>
        <v>113.57797489786152</v>
      </c>
    </row>
    <row r="222" spans="1:5" ht="13.2" x14ac:dyDescent="0.25">
      <c r="A222" s="711">
        <v>36173</v>
      </c>
      <c r="B222" s="814">
        <v>30.761800000000001</v>
      </c>
      <c r="C222" s="814">
        <v>308.07</v>
      </c>
      <c r="D222" s="710">
        <f t="shared" si="12"/>
        <v>101.14355231143553</v>
      </c>
      <c r="E222" s="815">
        <f t="shared" si="13"/>
        <v>113.3902609591814</v>
      </c>
    </row>
    <row r="223" spans="1:5" ht="13.2" x14ac:dyDescent="0.25">
      <c r="A223" s="711">
        <v>36174</v>
      </c>
      <c r="B223" s="814">
        <v>30.478000000000002</v>
      </c>
      <c r="C223" s="814">
        <v>303.43</v>
      </c>
      <c r="D223" s="710">
        <f t="shared" si="12"/>
        <v>100.21042940750971</v>
      </c>
      <c r="E223" s="815">
        <f t="shared" si="13"/>
        <v>111.68243218373884</v>
      </c>
    </row>
    <row r="224" spans="1:5" ht="13.2" x14ac:dyDescent="0.25">
      <c r="A224" s="711">
        <v>36175</v>
      </c>
      <c r="B224" s="814">
        <v>30.648299999999999</v>
      </c>
      <c r="C224" s="814">
        <v>306.54000000000002</v>
      </c>
      <c r="D224" s="710">
        <f t="shared" si="12"/>
        <v>100.77036890905504</v>
      </c>
      <c r="E224" s="815">
        <f t="shared" si="13"/>
        <v>112.82711914314109</v>
      </c>
    </row>
    <row r="225" spans="1:5" ht="13.2" x14ac:dyDescent="0.25">
      <c r="A225" s="711">
        <v>36179</v>
      </c>
      <c r="B225" s="814">
        <v>30.251000000000001</v>
      </c>
      <c r="C225" s="814">
        <v>304.99</v>
      </c>
      <c r="D225" s="710">
        <f t="shared" si="12"/>
        <v>99.46406260274874</v>
      </c>
      <c r="E225" s="815">
        <f t="shared" si="13"/>
        <v>112.25661599617212</v>
      </c>
    </row>
    <row r="226" spans="1:5" ht="13.2" x14ac:dyDescent="0.25">
      <c r="A226" s="711">
        <v>36180</v>
      </c>
      <c r="B226" s="814">
        <v>29.513200000000001</v>
      </c>
      <c r="C226" s="814">
        <v>304.51</v>
      </c>
      <c r="D226" s="710">
        <f t="shared" si="12"/>
        <v>97.038206089300985</v>
      </c>
      <c r="E226" s="815">
        <f t="shared" si="13"/>
        <v>112.07994405388494</v>
      </c>
    </row>
    <row r="227" spans="1:5" ht="13.2" x14ac:dyDescent="0.25">
      <c r="A227" s="711">
        <v>36181</v>
      </c>
      <c r="B227" s="814">
        <v>29.797000000000001</v>
      </c>
      <c r="C227" s="814">
        <v>306.99</v>
      </c>
      <c r="D227" s="710">
        <f t="shared" si="12"/>
        <v>97.971328993226805</v>
      </c>
      <c r="E227" s="815">
        <f t="shared" si="13"/>
        <v>112.9927490890353</v>
      </c>
    </row>
    <row r="228" spans="1:5" ht="13.2" x14ac:dyDescent="0.25">
      <c r="A228" s="711">
        <v>36182</v>
      </c>
      <c r="B228" s="814">
        <v>30.0808</v>
      </c>
      <c r="C228" s="814">
        <v>308.73</v>
      </c>
      <c r="D228" s="710">
        <f t="shared" si="12"/>
        <v>98.904451897152626</v>
      </c>
      <c r="E228" s="815">
        <f t="shared" si="13"/>
        <v>113.63318487982627</v>
      </c>
    </row>
    <row r="229" spans="1:5" ht="13.2" x14ac:dyDescent="0.25">
      <c r="A229" s="711">
        <v>36185</v>
      </c>
      <c r="B229" s="814">
        <v>30.024000000000001</v>
      </c>
      <c r="C229" s="814">
        <v>308.61</v>
      </c>
      <c r="D229" s="710">
        <f t="shared" si="12"/>
        <v>98.717695797987773</v>
      </c>
      <c r="E229" s="815">
        <f t="shared" si="13"/>
        <v>113.58901689425448</v>
      </c>
    </row>
    <row r="230" spans="1:5" ht="13.2" x14ac:dyDescent="0.25">
      <c r="A230" s="711">
        <v>36186</v>
      </c>
      <c r="B230" s="814">
        <v>29.8537</v>
      </c>
      <c r="C230" s="814">
        <v>308.01</v>
      </c>
      <c r="D230" s="710">
        <f t="shared" si="12"/>
        <v>98.157756296442429</v>
      </c>
      <c r="E230" s="815">
        <f t="shared" si="13"/>
        <v>113.36817696639552</v>
      </c>
    </row>
    <row r="231" spans="1:5" ht="13.2" x14ac:dyDescent="0.25">
      <c r="A231" s="711">
        <v>36187</v>
      </c>
      <c r="B231" s="814">
        <v>29.3429</v>
      </c>
      <c r="C231" s="814">
        <v>303.82</v>
      </c>
      <c r="D231" s="710">
        <f t="shared" si="12"/>
        <v>96.478266587755641</v>
      </c>
      <c r="E231" s="815">
        <f t="shared" si="13"/>
        <v>111.82597813684714</v>
      </c>
    </row>
    <row r="232" spans="1:5" ht="13.2" x14ac:dyDescent="0.25">
      <c r="A232" s="711">
        <v>36188</v>
      </c>
      <c r="B232" s="814">
        <v>29.354399999999998</v>
      </c>
      <c r="C232" s="814">
        <v>303.19</v>
      </c>
      <c r="D232" s="710">
        <f t="shared" si="12"/>
        <v>96.516078121917531</v>
      </c>
      <c r="E232" s="815">
        <f t="shared" si="13"/>
        <v>111.59409621259525</v>
      </c>
    </row>
    <row r="233" spans="1:5" ht="13.2" x14ac:dyDescent="0.25">
      <c r="A233" s="711">
        <v>36189</v>
      </c>
      <c r="B233" s="814">
        <v>28.836400000000001</v>
      </c>
      <c r="C233" s="814">
        <v>302.8</v>
      </c>
      <c r="D233" s="710">
        <f t="shared" si="12"/>
        <v>94.812915104885903</v>
      </c>
      <c r="E233" s="815">
        <f t="shared" si="13"/>
        <v>111.45055025948692</v>
      </c>
    </row>
    <row r="234" spans="1:5" ht="13.2" x14ac:dyDescent="0.25">
      <c r="A234" s="711">
        <v>36192</v>
      </c>
      <c r="B234" s="814">
        <v>28.376000000000001</v>
      </c>
      <c r="C234" s="814">
        <v>296.66000000000003</v>
      </c>
      <c r="D234" s="710">
        <f t="shared" si="12"/>
        <v>93.299138554613009</v>
      </c>
      <c r="E234" s="815">
        <f t="shared" si="13"/>
        <v>109.19062166439693</v>
      </c>
    </row>
    <row r="235" spans="1:5" ht="13.2" x14ac:dyDescent="0.25">
      <c r="A235" s="711">
        <v>36193</v>
      </c>
      <c r="B235" s="814">
        <v>28.088200000000001</v>
      </c>
      <c r="C235" s="814">
        <v>294.98</v>
      </c>
      <c r="D235" s="710">
        <f t="shared" si="12"/>
        <v>92.352863812717828</v>
      </c>
      <c r="E235" s="815">
        <f t="shared" si="13"/>
        <v>108.57226986639186</v>
      </c>
    </row>
    <row r="236" spans="1:5" ht="13.2" x14ac:dyDescent="0.25">
      <c r="A236" s="711">
        <v>36194</v>
      </c>
      <c r="B236" s="814">
        <v>28.491099999999999</v>
      </c>
      <c r="C236" s="814">
        <v>294.95</v>
      </c>
      <c r="D236" s="710">
        <f t="shared" si="12"/>
        <v>93.677582692181232</v>
      </c>
      <c r="E236" s="815">
        <f t="shared" si="13"/>
        <v>108.56122786999889</v>
      </c>
    </row>
    <row r="237" spans="1:5" ht="13.2" x14ac:dyDescent="0.25">
      <c r="A237" s="711">
        <v>36195</v>
      </c>
      <c r="B237" s="814">
        <v>28.3184</v>
      </c>
      <c r="C237" s="814">
        <v>291.29000000000002</v>
      </c>
      <c r="D237" s="710">
        <f t="shared" si="12"/>
        <v>93.109752087854275</v>
      </c>
      <c r="E237" s="815">
        <f t="shared" si="13"/>
        <v>107.21410431005927</v>
      </c>
    </row>
    <row r="238" spans="1:5" ht="13.2" x14ac:dyDescent="0.25">
      <c r="A238" s="711">
        <v>36196</v>
      </c>
      <c r="B238" s="814">
        <v>28.376000000000001</v>
      </c>
      <c r="C238" s="814">
        <v>293.60000000000002</v>
      </c>
      <c r="D238" s="710">
        <f t="shared" si="12"/>
        <v>93.299138554613009</v>
      </c>
      <c r="E238" s="815">
        <f t="shared" si="13"/>
        <v>108.06433803231626</v>
      </c>
    </row>
    <row r="239" spans="1:5" ht="13.2" x14ac:dyDescent="0.25">
      <c r="A239" s="711">
        <v>36199</v>
      </c>
      <c r="B239" s="814">
        <v>28.663699999999999</v>
      </c>
      <c r="C239" s="814">
        <v>296.06</v>
      </c>
      <c r="D239" s="710">
        <f t="shared" si="12"/>
        <v>94.245084500558946</v>
      </c>
      <c r="E239" s="815">
        <f t="shared" si="13"/>
        <v>108.96978173653797</v>
      </c>
    </row>
    <row r="240" spans="1:5" ht="13.2" x14ac:dyDescent="0.25">
      <c r="A240" s="711">
        <v>36200</v>
      </c>
      <c r="B240" s="814">
        <v>28.203299999999999</v>
      </c>
      <c r="C240" s="814">
        <v>293.72000000000003</v>
      </c>
      <c r="D240" s="710">
        <f t="shared" si="12"/>
        <v>92.731307950286052</v>
      </c>
      <c r="E240" s="815">
        <f t="shared" si="13"/>
        <v>108.10850601788803</v>
      </c>
    </row>
    <row r="241" spans="1:5" ht="13.2" x14ac:dyDescent="0.25">
      <c r="A241" s="711">
        <v>36201</v>
      </c>
      <c r="B241" s="814">
        <v>28.7789</v>
      </c>
      <c r="C241" s="814">
        <v>293.95999999999998</v>
      </c>
      <c r="D241" s="710">
        <f t="shared" si="12"/>
        <v>94.623857434076413</v>
      </c>
      <c r="E241" s="815">
        <f t="shared" si="13"/>
        <v>108.19684198903161</v>
      </c>
    </row>
    <row r="242" spans="1:5" ht="13.2" x14ac:dyDescent="0.25">
      <c r="A242" s="711">
        <v>36202</v>
      </c>
      <c r="B242" s="814">
        <v>27.972999999999999</v>
      </c>
      <c r="C242" s="814">
        <v>291.47000000000003</v>
      </c>
      <c r="D242" s="710">
        <f t="shared" si="12"/>
        <v>91.974090879200361</v>
      </c>
      <c r="E242" s="815">
        <f t="shared" si="13"/>
        <v>107.28035628841697</v>
      </c>
    </row>
    <row r="243" spans="1:5" ht="13.2" x14ac:dyDescent="0.25">
      <c r="A243" s="711">
        <v>36203</v>
      </c>
      <c r="B243" s="814">
        <v>27.167200000000001</v>
      </c>
      <c r="C243" s="814">
        <v>286.44</v>
      </c>
      <c r="D243" s="710">
        <f t="shared" si="12"/>
        <v>89.324653120273553</v>
      </c>
      <c r="E243" s="815">
        <f t="shared" si="13"/>
        <v>105.42898155986602</v>
      </c>
    </row>
    <row r="244" spans="1:5" ht="13.2" x14ac:dyDescent="0.25">
      <c r="A244" s="711">
        <v>36207</v>
      </c>
      <c r="B244" s="814">
        <v>27.857900000000001</v>
      </c>
      <c r="C244" s="814">
        <v>288.20999999999998</v>
      </c>
      <c r="D244" s="710">
        <f t="shared" si="12"/>
        <v>91.595646741632137</v>
      </c>
      <c r="E244" s="815">
        <f t="shared" si="13"/>
        <v>106.08045934704995</v>
      </c>
    </row>
    <row r="245" spans="1:5" ht="13.2" x14ac:dyDescent="0.25">
      <c r="A245" s="711">
        <v>36208</v>
      </c>
      <c r="B245" s="814">
        <v>28.145700000000001</v>
      </c>
      <c r="C245" s="814">
        <v>291.41000000000003</v>
      </c>
      <c r="D245" s="710">
        <f t="shared" si="12"/>
        <v>92.541921483527318</v>
      </c>
      <c r="E245" s="815">
        <f t="shared" si="13"/>
        <v>107.25827229563106</v>
      </c>
    </row>
    <row r="246" spans="1:5" ht="13.2" x14ac:dyDescent="0.25">
      <c r="A246" s="711">
        <v>36209</v>
      </c>
      <c r="B246" s="814">
        <v>28.433499999999999</v>
      </c>
      <c r="C246" s="814">
        <v>295.25</v>
      </c>
      <c r="D246" s="710">
        <f t="shared" si="12"/>
        <v>93.488196225422499</v>
      </c>
      <c r="E246" s="815">
        <f t="shared" si="13"/>
        <v>108.67164783392838</v>
      </c>
    </row>
    <row r="247" spans="1:5" ht="13.2" x14ac:dyDescent="0.25">
      <c r="A247" s="711">
        <v>36210</v>
      </c>
      <c r="B247" s="814">
        <v>28.145700000000001</v>
      </c>
      <c r="C247" s="814">
        <v>295.58</v>
      </c>
      <c r="D247" s="710">
        <f t="shared" si="12"/>
        <v>92.541921483527318</v>
      </c>
      <c r="E247" s="815">
        <f t="shared" si="13"/>
        <v>108.79310979425078</v>
      </c>
    </row>
    <row r="248" spans="1:5" ht="13.2" x14ac:dyDescent="0.25">
      <c r="A248" s="711">
        <v>36213</v>
      </c>
      <c r="B248" s="814">
        <v>27.685300000000002</v>
      </c>
      <c r="C248" s="814">
        <v>298.75</v>
      </c>
      <c r="D248" s="710">
        <f t="shared" ref="D248:D311" si="14">+(B248/$B$2)*$D$2</f>
        <v>91.028144933254424</v>
      </c>
      <c r="E248" s="815">
        <f t="shared" ref="E248:E311" si="15">+(C248/$C$2)*$E$2</f>
        <v>109.95988074643897</v>
      </c>
    </row>
    <row r="249" spans="1:5" ht="13.2" x14ac:dyDescent="0.25">
      <c r="A249" s="711">
        <v>36214</v>
      </c>
      <c r="B249" s="814">
        <v>27.5701</v>
      </c>
      <c r="C249" s="814">
        <v>296.27</v>
      </c>
      <c r="D249" s="710">
        <f t="shared" si="14"/>
        <v>90.649371999736957</v>
      </c>
      <c r="E249" s="815">
        <f t="shared" si="15"/>
        <v>109.0470757112886</v>
      </c>
    </row>
    <row r="250" spans="1:5" ht="13.2" x14ac:dyDescent="0.25">
      <c r="A250" s="711">
        <v>36215</v>
      </c>
      <c r="B250" s="814">
        <v>27.224799999999998</v>
      </c>
      <c r="C250" s="814">
        <v>297.44</v>
      </c>
      <c r="D250" s="710">
        <f t="shared" si="14"/>
        <v>89.514039587032272</v>
      </c>
      <c r="E250" s="815">
        <f t="shared" si="15"/>
        <v>109.47771357061357</v>
      </c>
    </row>
    <row r="251" spans="1:5" ht="13.2" x14ac:dyDescent="0.25">
      <c r="A251" s="711">
        <v>36216</v>
      </c>
      <c r="B251" s="814">
        <v>26.591699999999999</v>
      </c>
      <c r="C251" s="814">
        <v>294.11</v>
      </c>
      <c r="D251" s="710">
        <f t="shared" si="14"/>
        <v>87.432432432432421</v>
      </c>
      <c r="E251" s="815">
        <f t="shared" si="15"/>
        <v>108.25205197099636</v>
      </c>
    </row>
    <row r="252" spans="1:5" ht="13.2" x14ac:dyDescent="0.25">
      <c r="A252" s="711">
        <v>36217</v>
      </c>
      <c r="B252" s="814">
        <v>26.8795</v>
      </c>
      <c r="C252" s="814">
        <v>293.87</v>
      </c>
      <c r="D252" s="710">
        <f t="shared" si="14"/>
        <v>88.378707174327616</v>
      </c>
      <c r="E252" s="815">
        <f t="shared" si="15"/>
        <v>108.16371599985277</v>
      </c>
    </row>
    <row r="253" spans="1:5" ht="13.2" x14ac:dyDescent="0.25">
      <c r="A253" s="711">
        <v>36220</v>
      </c>
      <c r="B253" s="814">
        <v>27.1097</v>
      </c>
      <c r="C253" s="814">
        <v>291.02</v>
      </c>
      <c r="D253" s="710">
        <f t="shared" si="14"/>
        <v>89.135595449464063</v>
      </c>
      <c r="E253" s="815">
        <f t="shared" si="15"/>
        <v>107.11472634252273</v>
      </c>
    </row>
    <row r="254" spans="1:5" ht="13.2" x14ac:dyDescent="0.25">
      <c r="A254" s="711">
        <v>36221</v>
      </c>
      <c r="B254" s="814">
        <v>27.1097</v>
      </c>
      <c r="C254" s="814">
        <v>290.72000000000003</v>
      </c>
      <c r="D254" s="710">
        <f t="shared" si="14"/>
        <v>89.135595449464063</v>
      </c>
      <c r="E254" s="815">
        <f t="shared" si="15"/>
        <v>107.00430637859326</v>
      </c>
    </row>
    <row r="255" spans="1:5" ht="13.2" x14ac:dyDescent="0.25">
      <c r="A255" s="711">
        <v>36222</v>
      </c>
      <c r="B255" s="814">
        <v>27.3399</v>
      </c>
      <c r="C255" s="814">
        <v>292.97000000000003</v>
      </c>
      <c r="D255" s="710">
        <f t="shared" si="14"/>
        <v>89.89248372460051</v>
      </c>
      <c r="E255" s="815">
        <f t="shared" si="15"/>
        <v>107.83245610806435</v>
      </c>
    </row>
    <row r="256" spans="1:5" ht="13.2" x14ac:dyDescent="0.25">
      <c r="A256" s="711">
        <v>36223</v>
      </c>
      <c r="B256" s="814">
        <v>27.627700000000001</v>
      </c>
      <c r="C256" s="814">
        <v>297.11</v>
      </c>
      <c r="D256" s="710">
        <f t="shared" si="14"/>
        <v>90.83875846649569</v>
      </c>
      <c r="E256" s="815">
        <f t="shared" si="15"/>
        <v>109.35625161029114</v>
      </c>
    </row>
    <row r="257" spans="1:5" ht="13.2" x14ac:dyDescent="0.25">
      <c r="A257" s="711">
        <v>36224</v>
      </c>
      <c r="B257" s="814">
        <v>28.088200000000001</v>
      </c>
      <c r="C257" s="814">
        <v>301.51</v>
      </c>
      <c r="D257" s="710">
        <f t="shared" si="14"/>
        <v>92.352863812717828</v>
      </c>
      <c r="E257" s="815">
        <f t="shared" si="15"/>
        <v>110.97574441459015</v>
      </c>
    </row>
    <row r="258" spans="1:5" ht="13.2" x14ac:dyDescent="0.25">
      <c r="A258" s="711">
        <v>36227</v>
      </c>
      <c r="B258" s="814">
        <v>27.512599999999999</v>
      </c>
      <c r="C258" s="814">
        <v>299.23</v>
      </c>
      <c r="D258" s="710">
        <f t="shared" si="14"/>
        <v>90.460314328927467</v>
      </c>
      <c r="E258" s="815">
        <f t="shared" si="15"/>
        <v>110.13655268872613</v>
      </c>
    </row>
    <row r="259" spans="1:5" ht="13.2" x14ac:dyDescent="0.25">
      <c r="A259" s="711">
        <v>36228</v>
      </c>
      <c r="B259" s="814">
        <v>27.167200000000001</v>
      </c>
      <c r="C259" s="814">
        <v>295.01</v>
      </c>
      <c r="D259" s="710">
        <f t="shared" si="14"/>
        <v>89.324653120273553</v>
      </c>
      <c r="E259" s="815">
        <f t="shared" si="15"/>
        <v>108.58331186278478</v>
      </c>
    </row>
    <row r="260" spans="1:5" ht="13.2" x14ac:dyDescent="0.25">
      <c r="A260" s="711">
        <v>36229</v>
      </c>
      <c r="B260" s="814">
        <v>26.764299999999999</v>
      </c>
      <c r="C260" s="814">
        <v>298.63</v>
      </c>
      <c r="D260" s="710">
        <f t="shared" si="14"/>
        <v>87.999934240810134</v>
      </c>
      <c r="E260" s="815">
        <f t="shared" si="15"/>
        <v>109.91571276086715</v>
      </c>
    </row>
    <row r="261" spans="1:5" ht="13.2" x14ac:dyDescent="0.25">
      <c r="A261" s="711">
        <v>36230</v>
      </c>
      <c r="B261" s="814">
        <v>26.8795</v>
      </c>
      <c r="C261" s="814">
        <v>301.57</v>
      </c>
      <c r="D261" s="710">
        <f t="shared" si="14"/>
        <v>88.378707174327616</v>
      </c>
      <c r="E261" s="815">
        <f t="shared" si="15"/>
        <v>110.99782840737605</v>
      </c>
    </row>
    <row r="262" spans="1:5" ht="13.2" x14ac:dyDescent="0.25">
      <c r="A262" s="711">
        <v>36231</v>
      </c>
      <c r="B262" s="814">
        <v>27.3399</v>
      </c>
      <c r="C262" s="814">
        <v>304.51</v>
      </c>
      <c r="D262" s="710">
        <f t="shared" si="14"/>
        <v>89.89248372460051</v>
      </c>
      <c r="E262" s="815">
        <f t="shared" si="15"/>
        <v>112.07994405388494</v>
      </c>
    </row>
    <row r="263" spans="1:5" ht="13.2" x14ac:dyDescent="0.25">
      <c r="A263" s="711">
        <v>36234</v>
      </c>
      <c r="B263" s="814">
        <v>26.764299999999999</v>
      </c>
      <c r="C263" s="814">
        <v>301.95999999999998</v>
      </c>
      <c r="D263" s="710">
        <f t="shared" si="14"/>
        <v>87.999934240810134</v>
      </c>
      <c r="E263" s="815">
        <f t="shared" si="15"/>
        <v>111.14137436048436</v>
      </c>
    </row>
    <row r="264" spans="1:5" ht="13.2" x14ac:dyDescent="0.25">
      <c r="A264" s="711">
        <v>36235</v>
      </c>
      <c r="B264" s="814">
        <v>26.821899999999999</v>
      </c>
      <c r="C264" s="814">
        <v>301.54000000000002</v>
      </c>
      <c r="D264" s="710">
        <f t="shared" si="14"/>
        <v>88.189320707568868</v>
      </c>
      <c r="E264" s="815">
        <f t="shared" si="15"/>
        <v>110.98678641098311</v>
      </c>
    </row>
    <row r="265" spans="1:5" ht="13.2" x14ac:dyDescent="0.25">
      <c r="A265" s="711">
        <v>36236</v>
      </c>
      <c r="B265" s="814">
        <v>26.706800000000001</v>
      </c>
      <c r="C265" s="814">
        <v>302.41000000000003</v>
      </c>
      <c r="D265" s="710">
        <f t="shared" si="14"/>
        <v>87.810876570000659</v>
      </c>
      <c r="E265" s="815">
        <f t="shared" si="15"/>
        <v>111.30700430637862</v>
      </c>
    </row>
    <row r="266" spans="1:5" ht="13.2" x14ac:dyDescent="0.25">
      <c r="A266" s="711">
        <v>36237</v>
      </c>
      <c r="B266" s="814">
        <v>26.591699999999999</v>
      </c>
      <c r="C266" s="814">
        <v>306.16000000000003</v>
      </c>
      <c r="D266" s="710">
        <f t="shared" si="14"/>
        <v>87.432432432432421</v>
      </c>
      <c r="E266" s="815">
        <f t="shared" si="15"/>
        <v>112.68725385549709</v>
      </c>
    </row>
    <row r="267" spans="1:5" ht="13.2" x14ac:dyDescent="0.25">
      <c r="A267" s="711">
        <v>36238</v>
      </c>
      <c r="B267" s="814">
        <v>26.246300000000002</v>
      </c>
      <c r="C267" s="814">
        <v>303.94</v>
      </c>
      <c r="D267" s="710">
        <f t="shared" si="14"/>
        <v>86.296771223778521</v>
      </c>
      <c r="E267" s="815">
        <f t="shared" si="15"/>
        <v>111.87014612241893</v>
      </c>
    </row>
    <row r="268" spans="1:5" ht="13.2" x14ac:dyDescent="0.25">
      <c r="A268" s="711">
        <v>36241</v>
      </c>
      <c r="B268" s="814">
        <v>26.073599999999999</v>
      </c>
      <c r="C268" s="814">
        <v>303.22000000000003</v>
      </c>
      <c r="D268" s="710">
        <f t="shared" si="14"/>
        <v>85.728940619451564</v>
      </c>
      <c r="E268" s="815">
        <f t="shared" si="15"/>
        <v>111.60513820898818</v>
      </c>
    </row>
    <row r="269" spans="1:5" ht="13.2" x14ac:dyDescent="0.25">
      <c r="A269" s="711">
        <v>36242</v>
      </c>
      <c r="B269" s="814">
        <v>25.728300000000001</v>
      </c>
      <c r="C269" s="814">
        <v>299.95</v>
      </c>
      <c r="D269" s="710">
        <f t="shared" si="14"/>
        <v>84.593608206746893</v>
      </c>
      <c r="E269" s="815">
        <f t="shared" si="15"/>
        <v>110.40156060215686</v>
      </c>
    </row>
    <row r="270" spans="1:5" ht="13.2" x14ac:dyDescent="0.25">
      <c r="A270" s="711">
        <v>36243</v>
      </c>
      <c r="B270" s="814">
        <v>26.534099999999999</v>
      </c>
      <c r="C270" s="814">
        <v>305.05</v>
      </c>
      <c r="D270" s="710">
        <f t="shared" si="14"/>
        <v>87.243045965673687</v>
      </c>
      <c r="E270" s="815">
        <f t="shared" si="15"/>
        <v>112.27869998895801</v>
      </c>
    </row>
    <row r="271" spans="1:5" ht="13.2" x14ac:dyDescent="0.25">
      <c r="A271" s="711">
        <v>36244</v>
      </c>
      <c r="B271" s="814">
        <v>26.706800000000001</v>
      </c>
      <c r="C271" s="814">
        <v>304.39</v>
      </c>
      <c r="D271" s="710">
        <f t="shared" si="14"/>
        <v>87.810876570000659</v>
      </c>
      <c r="E271" s="815">
        <f t="shared" si="15"/>
        <v>112.03577606831314</v>
      </c>
    </row>
    <row r="272" spans="1:5" ht="13.2" x14ac:dyDescent="0.25">
      <c r="A272" s="711">
        <v>36245</v>
      </c>
      <c r="B272" s="814">
        <v>26.073599999999999</v>
      </c>
      <c r="C272" s="814">
        <v>299.77</v>
      </c>
      <c r="D272" s="710">
        <f t="shared" si="14"/>
        <v>85.728940619451564</v>
      </c>
      <c r="E272" s="815">
        <f t="shared" si="15"/>
        <v>110.33530862379916</v>
      </c>
    </row>
    <row r="273" spans="1:5" ht="13.2" x14ac:dyDescent="0.25">
      <c r="A273" s="711">
        <v>36248</v>
      </c>
      <c r="B273" s="814">
        <v>25.958500000000001</v>
      </c>
      <c r="C273" s="814">
        <v>300.31</v>
      </c>
      <c r="D273" s="710">
        <f t="shared" si="14"/>
        <v>85.35049648188334</v>
      </c>
      <c r="E273" s="815">
        <f t="shared" si="15"/>
        <v>110.53406455887225</v>
      </c>
    </row>
    <row r="274" spans="1:5" ht="13.2" x14ac:dyDescent="0.25">
      <c r="A274" s="711">
        <v>36249</v>
      </c>
      <c r="B274" s="814">
        <v>25.498100000000001</v>
      </c>
      <c r="C274" s="814">
        <v>293.93</v>
      </c>
      <c r="D274" s="710">
        <f t="shared" si="14"/>
        <v>83.836719931610432</v>
      </c>
      <c r="E274" s="815">
        <f t="shared" si="15"/>
        <v>108.18579999263866</v>
      </c>
    </row>
    <row r="275" spans="1:5" ht="13.2" x14ac:dyDescent="0.25">
      <c r="A275" s="711">
        <v>36250</v>
      </c>
      <c r="B275" s="814">
        <v>25.325399999999998</v>
      </c>
      <c r="C275" s="814">
        <v>292.27999999999997</v>
      </c>
      <c r="D275" s="710">
        <f t="shared" si="14"/>
        <v>83.268889327283475</v>
      </c>
      <c r="E275" s="815">
        <f t="shared" si="15"/>
        <v>107.57849019102652</v>
      </c>
    </row>
    <row r="276" spans="1:5" ht="13.2" x14ac:dyDescent="0.25">
      <c r="A276" s="711">
        <v>36251</v>
      </c>
      <c r="B276" s="814">
        <v>25.958500000000001</v>
      </c>
      <c r="C276" s="814">
        <v>295.01</v>
      </c>
      <c r="D276" s="710">
        <f t="shared" si="14"/>
        <v>85.35049648188334</v>
      </c>
      <c r="E276" s="815">
        <f t="shared" si="15"/>
        <v>108.58331186278478</v>
      </c>
    </row>
    <row r="277" spans="1:5" ht="13.2" x14ac:dyDescent="0.25">
      <c r="A277" s="711">
        <v>36255</v>
      </c>
      <c r="B277" s="814">
        <v>26.476500000000001</v>
      </c>
      <c r="C277" s="814">
        <v>297.23</v>
      </c>
      <c r="D277" s="710">
        <f t="shared" si="14"/>
        <v>87.053659498914968</v>
      </c>
      <c r="E277" s="815">
        <f t="shared" si="15"/>
        <v>109.40041959586293</v>
      </c>
    </row>
    <row r="278" spans="1:5" ht="13.2" x14ac:dyDescent="0.25">
      <c r="A278" s="711">
        <v>36256</v>
      </c>
      <c r="B278" s="814">
        <v>26.3614</v>
      </c>
      <c r="C278" s="814">
        <v>293.57</v>
      </c>
      <c r="D278" s="710">
        <f t="shared" si="14"/>
        <v>86.675215361346744</v>
      </c>
      <c r="E278" s="815">
        <f t="shared" si="15"/>
        <v>108.05329603592328</v>
      </c>
    </row>
    <row r="279" spans="1:5" ht="13.2" x14ac:dyDescent="0.25">
      <c r="A279" s="711">
        <v>36257</v>
      </c>
      <c r="B279" s="814">
        <v>26.3614</v>
      </c>
      <c r="C279" s="814">
        <v>292.37</v>
      </c>
      <c r="D279" s="710">
        <f t="shared" si="14"/>
        <v>86.675215361346744</v>
      </c>
      <c r="E279" s="815">
        <f t="shared" si="15"/>
        <v>107.61161618020539</v>
      </c>
    </row>
    <row r="280" spans="1:5" ht="13.2" x14ac:dyDescent="0.25">
      <c r="A280" s="711">
        <v>36258</v>
      </c>
      <c r="B280" s="814">
        <v>26.534099999999999</v>
      </c>
      <c r="C280" s="814">
        <v>297.11</v>
      </c>
      <c r="D280" s="710">
        <f t="shared" si="14"/>
        <v>87.243045965673687</v>
      </c>
      <c r="E280" s="815">
        <f t="shared" si="15"/>
        <v>109.35625161029114</v>
      </c>
    </row>
    <row r="281" spans="1:5" ht="13.2" x14ac:dyDescent="0.25">
      <c r="A281" s="711">
        <v>36259</v>
      </c>
      <c r="B281" s="814">
        <v>26.246300000000002</v>
      </c>
      <c r="C281" s="814">
        <v>296.33</v>
      </c>
      <c r="D281" s="710">
        <f t="shared" si="14"/>
        <v>86.296771223778521</v>
      </c>
      <c r="E281" s="815">
        <f t="shared" si="15"/>
        <v>109.06915970407449</v>
      </c>
    </row>
    <row r="282" spans="1:5" ht="13.2" x14ac:dyDescent="0.25">
      <c r="A282" s="711">
        <v>36262</v>
      </c>
      <c r="B282" s="814">
        <v>26.534099999999999</v>
      </c>
      <c r="C282" s="814">
        <v>298.75</v>
      </c>
      <c r="D282" s="710">
        <f t="shared" si="14"/>
        <v>87.243045965673687</v>
      </c>
      <c r="E282" s="815">
        <f t="shared" si="15"/>
        <v>109.95988074643897</v>
      </c>
    </row>
    <row r="283" spans="1:5" ht="13.2" x14ac:dyDescent="0.25">
      <c r="A283" s="711">
        <v>36263</v>
      </c>
      <c r="B283" s="814">
        <v>26.706800000000001</v>
      </c>
      <c r="C283" s="814">
        <v>298.01</v>
      </c>
      <c r="D283" s="710">
        <f t="shared" si="14"/>
        <v>87.810876570000659</v>
      </c>
      <c r="E283" s="815">
        <f t="shared" si="15"/>
        <v>109.68751150207959</v>
      </c>
    </row>
    <row r="284" spans="1:5" ht="13.2" x14ac:dyDescent="0.25">
      <c r="A284" s="711">
        <v>36264</v>
      </c>
      <c r="B284" s="814">
        <v>26.303899999999999</v>
      </c>
      <c r="C284" s="814">
        <v>291.58999999999997</v>
      </c>
      <c r="D284" s="710">
        <f t="shared" si="14"/>
        <v>86.48615769053724</v>
      </c>
      <c r="E284" s="815">
        <f t="shared" si="15"/>
        <v>107.32452427398873</v>
      </c>
    </row>
    <row r="285" spans="1:5" ht="13.2" x14ac:dyDescent="0.25">
      <c r="A285" s="711">
        <v>36265</v>
      </c>
      <c r="B285" s="814">
        <v>26.3614</v>
      </c>
      <c r="C285" s="814">
        <v>293.95999999999998</v>
      </c>
      <c r="D285" s="710">
        <f t="shared" si="14"/>
        <v>86.675215361346744</v>
      </c>
      <c r="E285" s="815">
        <f t="shared" si="15"/>
        <v>108.19684198903161</v>
      </c>
    </row>
    <row r="286" spans="1:5" ht="13.2" x14ac:dyDescent="0.25">
      <c r="A286" s="711">
        <v>36266</v>
      </c>
      <c r="B286" s="814">
        <v>26.821899999999999</v>
      </c>
      <c r="C286" s="814">
        <v>296.14999999999998</v>
      </c>
      <c r="D286" s="710">
        <f t="shared" si="14"/>
        <v>88.189320707568868</v>
      </c>
      <c r="E286" s="815">
        <f t="shared" si="15"/>
        <v>109.0029077257168</v>
      </c>
    </row>
    <row r="287" spans="1:5" ht="13.2" x14ac:dyDescent="0.25">
      <c r="A287" s="711">
        <v>36269</v>
      </c>
      <c r="B287" s="814">
        <v>27.512599999999999</v>
      </c>
      <c r="C287" s="814">
        <v>298.42</v>
      </c>
      <c r="D287" s="710">
        <f t="shared" si="14"/>
        <v>90.460314328927467</v>
      </c>
      <c r="E287" s="815">
        <f t="shared" si="15"/>
        <v>109.83841878611653</v>
      </c>
    </row>
    <row r="288" spans="1:5" ht="13.2" x14ac:dyDescent="0.25">
      <c r="A288" s="711">
        <v>36270</v>
      </c>
      <c r="B288" s="814">
        <v>28.088200000000001</v>
      </c>
      <c r="C288" s="814">
        <v>303.52</v>
      </c>
      <c r="D288" s="710">
        <f t="shared" si="14"/>
        <v>92.352863812717828</v>
      </c>
      <c r="E288" s="815">
        <f t="shared" si="15"/>
        <v>111.71555817291765</v>
      </c>
    </row>
    <row r="289" spans="1:5" ht="13.2" x14ac:dyDescent="0.25">
      <c r="A289" s="711">
        <v>36271</v>
      </c>
      <c r="B289" s="814">
        <v>28.145700000000001</v>
      </c>
      <c r="C289" s="814">
        <v>302.35000000000002</v>
      </c>
      <c r="D289" s="710">
        <f t="shared" si="14"/>
        <v>92.541921483527318</v>
      </c>
      <c r="E289" s="815">
        <f t="shared" si="15"/>
        <v>111.28492031359272</v>
      </c>
    </row>
    <row r="290" spans="1:5" ht="13.2" x14ac:dyDescent="0.25">
      <c r="A290" s="711">
        <v>36272</v>
      </c>
      <c r="B290" s="814">
        <v>27.8004</v>
      </c>
      <c r="C290" s="814">
        <v>302.44</v>
      </c>
      <c r="D290" s="710">
        <f t="shared" si="14"/>
        <v>91.406589070822648</v>
      </c>
      <c r="E290" s="815">
        <f t="shared" si="15"/>
        <v>111.31804630277153</v>
      </c>
    </row>
    <row r="291" spans="1:5" ht="13.2" x14ac:dyDescent="0.25">
      <c r="A291" s="711">
        <v>36273</v>
      </c>
      <c r="B291" s="814">
        <v>27.857900000000001</v>
      </c>
      <c r="C291" s="814">
        <v>301.27</v>
      </c>
      <c r="D291" s="710">
        <f t="shared" si="14"/>
        <v>91.595646741632137</v>
      </c>
      <c r="E291" s="815">
        <f t="shared" si="15"/>
        <v>110.88740844344657</v>
      </c>
    </row>
    <row r="292" spans="1:5" ht="13.2" x14ac:dyDescent="0.25">
      <c r="A292" s="711">
        <v>36276</v>
      </c>
      <c r="B292" s="814">
        <v>27.454999999999998</v>
      </c>
      <c r="C292" s="814">
        <v>302.58999999999997</v>
      </c>
      <c r="D292" s="710">
        <f t="shared" si="14"/>
        <v>90.270927862168719</v>
      </c>
      <c r="E292" s="815">
        <f t="shared" si="15"/>
        <v>111.37325628473627</v>
      </c>
    </row>
    <row r="293" spans="1:5" ht="13.2" x14ac:dyDescent="0.25">
      <c r="A293" s="711">
        <v>36277</v>
      </c>
      <c r="B293" s="814">
        <v>27.454999999999998</v>
      </c>
      <c r="C293" s="814">
        <v>305.70999999999998</v>
      </c>
      <c r="D293" s="710">
        <f t="shared" si="14"/>
        <v>90.270927862168719</v>
      </c>
      <c r="E293" s="815">
        <f t="shared" si="15"/>
        <v>112.52162390960285</v>
      </c>
    </row>
    <row r="294" spans="1:5" ht="13.2" x14ac:dyDescent="0.25">
      <c r="A294" s="711">
        <v>36278</v>
      </c>
      <c r="B294" s="814">
        <v>27.627700000000001</v>
      </c>
      <c r="C294" s="814">
        <v>307.95</v>
      </c>
      <c r="D294" s="710">
        <f t="shared" si="14"/>
        <v>90.83875846649569</v>
      </c>
      <c r="E294" s="815">
        <f t="shared" si="15"/>
        <v>113.34609297360963</v>
      </c>
    </row>
    <row r="295" spans="1:5" ht="13.2" x14ac:dyDescent="0.25">
      <c r="A295" s="711">
        <v>36279</v>
      </c>
      <c r="B295" s="814">
        <v>28.6328</v>
      </c>
      <c r="C295" s="814">
        <v>311.31</v>
      </c>
      <c r="D295" s="710">
        <f t="shared" si="14"/>
        <v>94.143486552245676</v>
      </c>
      <c r="E295" s="815">
        <f t="shared" si="15"/>
        <v>114.58279656961979</v>
      </c>
    </row>
    <row r="296" spans="1:5" ht="13.2" x14ac:dyDescent="0.25">
      <c r="A296" s="711">
        <v>36280</v>
      </c>
      <c r="B296" s="814">
        <v>27.873100000000001</v>
      </c>
      <c r="C296" s="814">
        <v>311.55</v>
      </c>
      <c r="D296" s="710">
        <f t="shared" si="14"/>
        <v>91.645623725915698</v>
      </c>
      <c r="E296" s="815">
        <f t="shared" si="15"/>
        <v>114.67113254076338</v>
      </c>
    </row>
    <row r="297" spans="1:5" ht="13.2" x14ac:dyDescent="0.25">
      <c r="A297" s="711">
        <v>36283</v>
      </c>
      <c r="B297" s="814">
        <v>28.515899999999998</v>
      </c>
      <c r="C297" s="814">
        <v>316.33999999999997</v>
      </c>
      <c r="D297" s="710">
        <f t="shared" si="14"/>
        <v>93.759124087591232</v>
      </c>
      <c r="E297" s="815">
        <f t="shared" si="15"/>
        <v>116.43417129817071</v>
      </c>
    </row>
    <row r="298" spans="1:5" ht="13.2" x14ac:dyDescent="0.25">
      <c r="A298" s="711">
        <v>36284</v>
      </c>
      <c r="B298" s="814">
        <v>28.2822</v>
      </c>
      <c r="C298" s="814">
        <v>313.32</v>
      </c>
      <c r="D298" s="710">
        <f t="shared" si="14"/>
        <v>92.990727954231602</v>
      </c>
      <c r="E298" s="815">
        <f t="shared" si="15"/>
        <v>115.32261032794729</v>
      </c>
    </row>
    <row r="299" spans="1:5" ht="13.2" x14ac:dyDescent="0.25">
      <c r="A299" s="711">
        <v>36285</v>
      </c>
      <c r="B299" s="814">
        <v>28.165299999999998</v>
      </c>
      <c r="C299" s="814">
        <v>314.87</v>
      </c>
      <c r="D299" s="710">
        <f t="shared" si="14"/>
        <v>92.606365489577158</v>
      </c>
      <c r="E299" s="815">
        <f t="shared" si="15"/>
        <v>115.89311347491626</v>
      </c>
    </row>
    <row r="300" spans="1:5" ht="13.2" x14ac:dyDescent="0.25">
      <c r="A300" s="711">
        <v>36286</v>
      </c>
      <c r="B300" s="814">
        <v>28.8081</v>
      </c>
      <c r="C300" s="814">
        <v>314.77999999999997</v>
      </c>
      <c r="D300" s="710">
        <f t="shared" si="14"/>
        <v>94.719865851252706</v>
      </c>
      <c r="E300" s="815">
        <f t="shared" si="15"/>
        <v>115.85998748573741</v>
      </c>
    </row>
    <row r="301" spans="1:5" ht="13.2" x14ac:dyDescent="0.25">
      <c r="A301" s="711">
        <v>36287</v>
      </c>
      <c r="B301" s="814">
        <v>28.8081</v>
      </c>
      <c r="C301" s="814">
        <v>315.95</v>
      </c>
      <c r="D301" s="710">
        <f t="shared" si="14"/>
        <v>94.719865851252706</v>
      </c>
      <c r="E301" s="815">
        <f t="shared" si="15"/>
        <v>116.29062534506238</v>
      </c>
    </row>
    <row r="302" spans="1:5" ht="13.2" x14ac:dyDescent="0.25">
      <c r="A302" s="711">
        <v>36290</v>
      </c>
      <c r="B302" s="814">
        <v>28.9834</v>
      </c>
      <c r="C302" s="814">
        <v>314.81</v>
      </c>
      <c r="D302" s="710">
        <f t="shared" si="14"/>
        <v>95.296245150259736</v>
      </c>
      <c r="E302" s="815">
        <f t="shared" si="15"/>
        <v>115.87102948213037</v>
      </c>
    </row>
    <row r="303" spans="1:5" ht="13.2" x14ac:dyDescent="0.25">
      <c r="A303" s="711">
        <v>36291</v>
      </c>
      <c r="B303" s="814">
        <v>29.041799999999999</v>
      </c>
      <c r="C303" s="814">
        <v>314.77999999999997</v>
      </c>
      <c r="D303" s="710">
        <f t="shared" si="14"/>
        <v>95.48826198461235</v>
      </c>
      <c r="E303" s="815">
        <f t="shared" si="15"/>
        <v>115.85998748573741</v>
      </c>
    </row>
    <row r="304" spans="1:5" ht="13.2" x14ac:dyDescent="0.25">
      <c r="A304" s="711">
        <v>36292</v>
      </c>
      <c r="B304" s="814">
        <v>29.450900000000001</v>
      </c>
      <c r="C304" s="814">
        <v>315.86</v>
      </c>
      <c r="D304" s="710">
        <f t="shared" si="14"/>
        <v>96.833366212928254</v>
      </c>
      <c r="E304" s="815">
        <f t="shared" si="15"/>
        <v>116.25749935588354</v>
      </c>
    </row>
    <row r="305" spans="1:5" ht="13.2" x14ac:dyDescent="0.25">
      <c r="A305" s="711">
        <v>36293</v>
      </c>
      <c r="B305" s="814">
        <v>30.853300000000001</v>
      </c>
      <c r="C305" s="814">
        <v>320.39</v>
      </c>
      <c r="D305" s="710">
        <f t="shared" si="14"/>
        <v>101.44440060498454</v>
      </c>
      <c r="E305" s="815">
        <f t="shared" si="15"/>
        <v>117.92484081121866</v>
      </c>
    </row>
    <row r="306" spans="1:5" ht="13.2" x14ac:dyDescent="0.25">
      <c r="A306" s="711">
        <v>36294</v>
      </c>
      <c r="B306" s="814">
        <v>30.502700000000001</v>
      </c>
      <c r="C306" s="814">
        <v>315.98</v>
      </c>
      <c r="D306" s="710">
        <f t="shared" si="14"/>
        <v>100.29164200697048</v>
      </c>
      <c r="E306" s="815">
        <f t="shared" si="15"/>
        <v>116.30166734145536</v>
      </c>
    </row>
    <row r="307" spans="1:5" ht="13.2" x14ac:dyDescent="0.25">
      <c r="A307" s="711">
        <v>36297</v>
      </c>
      <c r="B307" s="814">
        <v>31.028600000000001</v>
      </c>
      <c r="C307" s="814">
        <v>319.25</v>
      </c>
      <c r="D307" s="710">
        <f t="shared" si="14"/>
        <v>102.02077990399158</v>
      </c>
      <c r="E307" s="815">
        <f t="shared" si="15"/>
        <v>117.50524494828665</v>
      </c>
    </row>
    <row r="308" spans="1:5" ht="13.2" x14ac:dyDescent="0.25">
      <c r="A308" s="711">
        <v>36298</v>
      </c>
      <c r="B308" s="814">
        <v>31.203900000000001</v>
      </c>
      <c r="C308" s="814">
        <v>318.83</v>
      </c>
      <c r="D308" s="710">
        <f t="shared" si="14"/>
        <v>102.59715920299861</v>
      </c>
      <c r="E308" s="815">
        <f t="shared" si="15"/>
        <v>117.35065699878537</v>
      </c>
    </row>
    <row r="309" spans="1:5" ht="13.2" x14ac:dyDescent="0.25">
      <c r="A309" s="711">
        <v>36299</v>
      </c>
      <c r="B309" s="814">
        <v>31.6129</v>
      </c>
      <c r="C309" s="814">
        <v>324.25</v>
      </c>
      <c r="D309" s="710">
        <f t="shared" si="14"/>
        <v>103.9419346353653</v>
      </c>
      <c r="E309" s="815">
        <f t="shared" si="15"/>
        <v>119.34557768044462</v>
      </c>
    </row>
    <row r="310" spans="1:5" ht="13.2" x14ac:dyDescent="0.25">
      <c r="A310" s="711">
        <v>36300</v>
      </c>
      <c r="B310" s="814">
        <v>31.2623</v>
      </c>
      <c r="C310" s="814">
        <v>324.61</v>
      </c>
      <c r="D310" s="710">
        <f t="shared" si="14"/>
        <v>102.78917603735121</v>
      </c>
      <c r="E310" s="815">
        <f t="shared" si="15"/>
        <v>119.47808163716</v>
      </c>
    </row>
    <row r="311" spans="1:5" ht="13.2" x14ac:dyDescent="0.25">
      <c r="A311" s="711">
        <v>36301</v>
      </c>
      <c r="B311" s="814">
        <v>31.203900000000001</v>
      </c>
      <c r="C311" s="814">
        <v>325.14999999999998</v>
      </c>
      <c r="D311" s="710">
        <f t="shared" si="14"/>
        <v>102.59715920299861</v>
      </c>
      <c r="E311" s="815">
        <f t="shared" si="15"/>
        <v>119.67683757223304</v>
      </c>
    </row>
    <row r="312" spans="1:5" ht="13.2" x14ac:dyDescent="0.25">
      <c r="A312" s="711">
        <v>36304</v>
      </c>
      <c r="B312" s="814">
        <v>31.495999999999999</v>
      </c>
      <c r="C312" s="814">
        <v>327.43</v>
      </c>
      <c r="D312" s="710">
        <f t="shared" ref="D312:D375" si="16">+(B312/$B$2)*$D$2</f>
        <v>103.55757217071084</v>
      </c>
      <c r="E312" s="815">
        <f t="shared" ref="E312:E375" si="17">+(C312/$C$2)*$E$2</f>
        <v>120.51602929809711</v>
      </c>
    </row>
    <row r="313" spans="1:5" ht="13.2" x14ac:dyDescent="0.25">
      <c r="A313" s="711">
        <v>36305</v>
      </c>
      <c r="B313" s="814">
        <v>31.671399999999998</v>
      </c>
      <c r="C313" s="814">
        <v>328.48</v>
      </c>
      <c r="D313" s="710">
        <f t="shared" si="16"/>
        <v>104.13428026566712</v>
      </c>
      <c r="E313" s="815">
        <f t="shared" si="17"/>
        <v>120.90249917185028</v>
      </c>
    </row>
    <row r="314" spans="1:5" ht="13.2" x14ac:dyDescent="0.25">
      <c r="A314" s="711">
        <v>36306</v>
      </c>
      <c r="B314" s="814">
        <v>31.9635</v>
      </c>
      <c r="C314" s="814">
        <v>330.63</v>
      </c>
      <c r="D314" s="710">
        <f t="shared" si="16"/>
        <v>105.09469323337936</v>
      </c>
      <c r="E314" s="815">
        <f t="shared" si="17"/>
        <v>121.6938422466782</v>
      </c>
    </row>
    <row r="315" spans="1:5" ht="13.2" x14ac:dyDescent="0.25">
      <c r="A315" s="711">
        <v>36307</v>
      </c>
      <c r="B315" s="814">
        <v>31.4376</v>
      </c>
      <c r="C315" s="814">
        <v>325.77999999999997</v>
      </c>
      <c r="D315" s="710">
        <f t="shared" si="16"/>
        <v>103.36555533635826</v>
      </c>
      <c r="E315" s="815">
        <f t="shared" si="17"/>
        <v>119.90871949648496</v>
      </c>
    </row>
    <row r="316" spans="1:5" ht="13.2" x14ac:dyDescent="0.25">
      <c r="A316" s="711">
        <v>36308</v>
      </c>
      <c r="B316" s="814">
        <v>31.905100000000001</v>
      </c>
      <c r="C316" s="814">
        <v>329.2</v>
      </c>
      <c r="D316" s="710">
        <f t="shared" si="16"/>
        <v>104.90267639902675</v>
      </c>
      <c r="E316" s="815">
        <f t="shared" si="17"/>
        <v>121.16750708528102</v>
      </c>
    </row>
    <row r="317" spans="1:5" ht="13.2" x14ac:dyDescent="0.25">
      <c r="A317" s="711">
        <v>36312</v>
      </c>
      <c r="B317" s="814">
        <v>30.9117</v>
      </c>
      <c r="C317" s="814">
        <v>325.42</v>
      </c>
      <c r="D317" s="710">
        <f t="shared" si="16"/>
        <v>101.63641743933714</v>
      </c>
      <c r="E317" s="815">
        <f t="shared" si="17"/>
        <v>119.77621553976961</v>
      </c>
    </row>
    <row r="318" spans="1:5" ht="13.2" x14ac:dyDescent="0.25">
      <c r="A318" s="711">
        <v>36313</v>
      </c>
      <c r="B318" s="814">
        <v>31.087</v>
      </c>
      <c r="C318" s="814">
        <v>324.39999999999998</v>
      </c>
      <c r="D318" s="710">
        <f t="shared" si="16"/>
        <v>102.21279673834418</v>
      </c>
      <c r="E318" s="815">
        <f t="shared" si="17"/>
        <v>119.40078766240936</v>
      </c>
    </row>
    <row r="319" spans="1:5" ht="13.2" x14ac:dyDescent="0.25">
      <c r="A319" s="711">
        <v>36314</v>
      </c>
      <c r="B319" s="814">
        <v>31.320699999999999</v>
      </c>
      <c r="C319" s="814">
        <v>326.47000000000003</v>
      </c>
      <c r="D319" s="710">
        <f t="shared" si="16"/>
        <v>102.98119287170383</v>
      </c>
      <c r="E319" s="815">
        <f t="shared" si="17"/>
        <v>120.16268541352278</v>
      </c>
    </row>
    <row r="320" spans="1:5" ht="13.2" x14ac:dyDescent="0.25">
      <c r="A320" s="711">
        <v>36315</v>
      </c>
      <c r="B320" s="814">
        <v>31.6129</v>
      </c>
      <c r="C320" s="814">
        <v>330.72</v>
      </c>
      <c r="D320" s="710">
        <f t="shared" si="16"/>
        <v>103.9419346353653</v>
      </c>
      <c r="E320" s="815">
        <f t="shared" si="17"/>
        <v>121.72696823585704</v>
      </c>
    </row>
    <row r="321" spans="1:5" ht="13.2" x14ac:dyDescent="0.25">
      <c r="A321" s="711">
        <v>36318</v>
      </c>
      <c r="B321" s="814">
        <v>31.087</v>
      </c>
      <c r="C321" s="814">
        <v>333.27</v>
      </c>
      <c r="D321" s="710">
        <f t="shared" si="16"/>
        <v>102.21279673834418</v>
      </c>
      <c r="E321" s="815">
        <f t="shared" si="17"/>
        <v>122.66553792925761</v>
      </c>
    </row>
    <row r="322" spans="1:5" ht="13.2" x14ac:dyDescent="0.25">
      <c r="A322" s="711">
        <v>36319</v>
      </c>
      <c r="B322" s="814">
        <v>31.028600000000001</v>
      </c>
      <c r="C322" s="814">
        <v>332.37</v>
      </c>
      <c r="D322" s="710">
        <f t="shared" si="16"/>
        <v>102.02077990399158</v>
      </c>
      <c r="E322" s="815">
        <f t="shared" si="17"/>
        <v>122.33427803746918</v>
      </c>
    </row>
    <row r="323" spans="1:5" ht="13.2" x14ac:dyDescent="0.25">
      <c r="A323" s="711">
        <v>36320</v>
      </c>
      <c r="B323" s="814">
        <v>31.028600000000001</v>
      </c>
      <c r="C323" s="814">
        <v>331.86</v>
      </c>
      <c r="D323" s="710">
        <f t="shared" si="16"/>
        <v>102.02077990399158</v>
      </c>
      <c r="E323" s="815">
        <f t="shared" si="17"/>
        <v>122.14656409878906</v>
      </c>
    </row>
    <row r="324" spans="1:5" ht="13.2" x14ac:dyDescent="0.25">
      <c r="A324" s="711">
        <v>36321</v>
      </c>
      <c r="B324" s="814">
        <v>30.502700000000001</v>
      </c>
      <c r="C324" s="814">
        <v>328</v>
      </c>
      <c r="D324" s="710">
        <f t="shared" si="16"/>
        <v>100.29164200697048</v>
      </c>
      <c r="E324" s="815">
        <f t="shared" si="17"/>
        <v>120.72582722956311</v>
      </c>
    </row>
    <row r="325" spans="1:5" ht="13.2" x14ac:dyDescent="0.25">
      <c r="A325" s="711">
        <v>36322</v>
      </c>
      <c r="B325" s="814">
        <v>30.444199999999999</v>
      </c>
      <c r="C325" s="814">
        <v>328.72</v>
      </c>
      <c r="D325" s="710">
        <f t="shared" si="16"/>
        <v>100.09929637666863</v>
      </c>
      <c r="E325" s="815">
        <f t="shared" si="17"/>
        <v>120.99083514299387</v>
      </c>
    </row>
    <row r="326" spans="1:5" ht="13.2" x14ac:dyDescent="0.25">
      <c r="A326" s="711">
        <v>36325</v>
      </c>
      <c r="B326" s="814">
        <v>30.853300000000001</v>
      </c>
      <c r="C326" s="814">
        <v>331.11</v>
      </c>
      <c r="D326" s="710">
        <f t="shared" si="16"/>
        <v>101.44440060498454</v>
      </c>
      <c r="E326" s="815">
        <f t="shared" si="17"/>
        <v>121.87051418896537</v>
      </c>
    </row>
    <row r="327" spans="1:5" ht="13.2" x14ac:dyDescent="0.25">
      <c r="A327" s="711">
        <v>36326</v>
      </c>
      <c r="B327" s="814">
        <v>31.671399999999998</v>
      </c>
      <c r="C327" s="814">
        <v>332.1</v>
      </c>
      <c r="D327" s="710">
        <f t="shared" si="16"/>
        <v>104.13428026566712</v>
      </c>
      <c r="E327" s="815">
        <f t="shared" si="17"/>
        <v>122.23490006993265</v>
      </c>
    </row>
    <row r="328" spans="1:5" ht="13.2" x14ac:dyDescent="0.25">
      <c r="A328" s="711">
        <v>36327</v>
      </c>
      <c r="B328" s="814">
        <v>31.905100000000001</v>
      </c>
      <c r="C328" s="814">
        <v>333.45</v>
      </c>
      <c r="D328" s="710">
        <f t="shared" si="16"/>
        <v>104.90267639902675</v>
      </c>
      <c r="E328" s="815">
        <f t="shared" si="17"/>
        <v>122.73178990761528</v>
      </c>
    </row>
    <row r="329" spans="1:5" ht="13.2" x14ac:dyDescent="0.25">
      <c r="A329" s="711">
        <v>36328</v>
      </c>
      <c r="B329" s="814">
        <v>31.495999999999999</v>
      </c>
      <c r="C329" s="814">
        <v>332.91</v>
      </c>
      <c r="D329" s="710">
        <f t="shared" si="16"/>
        <v>103.55757217071084</v>
      </c>
      <c r="E329" s="815">
        <f t="shared" si="17"/>
        <v>122.53303397254226</v>
      </c>
    </row>
    <row r="330" spans="1:5" ht="13.2" x14ac:dyDescent="0.25">
      <c r="A330" s="711">
        <v>36329</v>
      </c>
      <c r="B330" s="814">
        <v>31.379200000000001</v>
      </c>
      <c r="C330" s="814">
        <v>330.1</v>
      </c>
      <c r="D330" s="710">
        <f t="shared" si="16"/>
        <v>103.17353850200566</v>
      </c>
      <c r="E330" s="815">
        <f t="shared" si="17"/>
        <v>121.49876697706947</v>
      </c>
    </row>
    <row r="331" spans="1:5" ht="13.2" x14ac:dyDescent="0.25">
      <c r="A331" s="711">
        <v>36332</v>
      </c>
      <c r="B331" s="814">
        <v>30.794799999999999</v>
      </c>
      <c r="C331" s="814">
        <v>326.77</v>
      </c>
      <c r="D331" s="710">
        <f t="shared" si="16"/>
        <v>101.25205497468271</v>
      </c>
      <c r="E331" s="815">
        <f t="shared" si="17"/>
        <v>120.27310537745224</v>
      </c>
    </row>
    <row r="332" spans="1:5" ht="13.2" x14ac:dyDescent="0.25">
      <c r="A332" s="711">
        <v>36333</v>
      </c>
      <c r="B332" s="814">
        <v>31.028600000000001</v>
      </c>
      <c r="C332" s="814">
        <v>328.39</v>
      </c>
      <c r="D332" s="710">
        <f t="shared" si="16"/>
        <v>102.02077990399158</v>
      </c>
      <c r="E332" s="815">
        <f t="shared" si="17"/>
        <v>120.86937318267141</v>
      </c>
    </row>
    <row r="333" spans="1:5" ht="13.2" x14ac:dyDescent="0.25">
      <c r="A333" s="711">
        <v>36334</v>
      </c>
      <c r="B333" s="814">
        <v>31.145399999999999</v>
      </c>
      <c r="C333" s="814">
        <v>326.68</v>
      </c>
      <c r="D333" s="710">
        <f t="shared" si="16"/>
        <v>102.40481357269677</v>
      </c>
      <c r="E333" s="815">
        <f t="shared" si="17"/>
        <v>120.2399793882734</v>
      </c>
    </row>
    <row r="334" spans="1:5" ht="13.2" x14ac:dyDescent="0.25">
      <c r="A334" s="711">
        <v>36335</v>
      </c>
      <c r="B334" s="814">
        <v>31.028600000000001</v>
      </c>
      <c r="C334" s="814">
        <v>324.76</v>
      </c>
      <c r="D334" s="710">
        <f t="shared" si="16"/>
        <v>102.02077990399158</v>
      </c>
      <c r="E334" s="815">
        <f t="shared" si="17"/>
        <v>119.53329161912474</v>
      </c>
    </row>
    <row r="335" spans="1:5" ht="13.2" x14ac:dyDescent="0.25">
      <c r="A335" s="711">
        <v>36336</v>
      </c>
      <c r="B335" s="814">
        <v>30.794799999999999</v>
      </c>
      <c r="C335" s="814">
        <v>322.04000000000002</v>
      </c>
      <c r="D335" s="710">
        <f t="shared" si="16"/>
        <v>101.25205497468271</v>
      </c>
      <c r="E335" s="815">
        <f t="shared" si="17"/>
        <v>118.5321506128308</v>
      </c>
    </row>
    <row r="336" spans="1:5" ht="13.2" x14ac:dyDescent="0.25">
      <c r="A336" s="711">
        <v>36339</v>
      </c>
      <c r="B336" s="814">
        <v>30.970099999999999</v>
      </c>
      <c r="C336" s="814">
        <v>323.29000000000002</v>
      </c>
      <c r="D336" s="710">
        <f t="shared" si="16"/>
        <v>101.82843427368975</v>
      </c>
      <c r="E336" s="815">
        <f t="shared" si="17"/>
        <v>118.99223379587029</v>
      </c>
    </row>
    <row r="337" spans="1:5" ht="13.2" x14ac:dyDescent="0.25">
      <c r="A337" s="711">
        <v>36340</v>
      </c>
      <c r="B337" s="814">
        <v>30.444199999999999</v>
      </c>
      <c r="C337" s="814">
        <v>322.45</v>
      </c>
      <c r="D337" s="710">
        <f t="shared" si="16"/>
        <v>100.09929637666863</v>
      </c>
      <c r="E337" s="815">
        <f t="shared" si="17"/>
        <v>118.68305789686775</v>
      </c>
    </row>
    <row r="338" spans="1:5" ht="13.2" x14ac:dyDescent="0.25">
      <c r="A338" s="711">
        <v>36341</v>
      </c>
      <c r="B338" s="814">
        <v>29.918299999999999</v>
      </c>
      <c r="C338" s="814">
        <v>316.82</v>
      </c>
      <c r="D338" s="710">
        <f t="shared" si="16"/>
        <v>98.370158479647515</v>
      </c>
      <c r="E338" s="815">
        <f t="shared" si="17"/>
        <v>116.61084324045787</v>
      </c>
    </row>
    <row r="339" spans="1:5" ht="13.2" x14ac:dyDescent="0.25">
      <c r="A339" s="711">
        <v>36342</v>
      </c>
      <c r="B339" s="814">
        <v>29.976800000000001</v>
      </c>
      <c r="C339" s="814">
        <v>318.32</v>
      </c>
      <c r="D339" s="710">
        <f t="shared" si="16"/>
        <v>98.562504109949373</v>
      </c>
      <c r="E339" s="815">
        <f t="shared" si="17"/>
        <v>117.16294306010526</v>
      </c>
    </row>
    <row r="340" spans="1:5" ht="13.2" x14ac:dyDescent="0.25">
      <c r="A340" s="711">
        <v>36343</v>
      </c>
      <c r="B340" s="814">
        <v>30.3858</v>
      </c>
      <c r="C340" s="814">
        <v>320.33</v>
      </c>
      <c r="D340" s="710">
        <f t="shared" si="16"/>
        <v>99.907279542316033</v>
      </c>
      <c r="E340" s="815">
        <f t="shared" si="17"/>
        <v>117.90275681843276</v>
      </c>
    </row>
    <row r="341" spans="1:5" ht="13.2" x14ac:dyDescent="0.25">
      <c r="A341" s="711">
        <v>36347</v>
      </c>
      <c r="B341" s="814">
        <v>30.444199999999999</v>
      </c>
      <c r="C341" s="814">
        <v>321.38</v>
      </c>
      <c r="D341" s="710">
        <f t="shared" si="16"/>
        <v>100.09929637666863</v>
      </c>
      <c r="E341" s="815">
        <f t="shared" si="17"/>
        <v>118.28922669218596</v>
      </c>
    </row>
    <row r="342" spans="1:5" ht="13.2" x14ac:dyDescent="0.25">
      <c r="A342" s="711">
        <v>36348</v>
      </c>
      <c r="B342" s="814">
        <v>30.2105</v>
      </c>
      <c r="C342" s="814">
        <v>321.14</v>
      </c>
      <c r="D342" s="710">
        <f t="shared" si="16"/>
        <v>99.330900243308989</v>
      </c>
      <c r="E342" s="815">
        <f t="shared" si="17"/>
        <v>118.20089072104236</v>
      </c>
    </row>
    <row r="343" spans="1:5" ht="13.2" x14ac:dyDescent="0.25">
      <c r="A343" s="711">
        <v>36349</v>
      </c>
      <c r="B343" s="814">
        <v>29.742999999999999</v>
      </c>
      <c r="C343" s="814">
        <v>320.69</v>
      </c>
      <c r="D343" s="710">
        <f t="shared" si="16"/>
        <v>97.793779180640485</v>
      </c>
      <c r="E343" s="815">
        <f t="shared" si="17"/>
        <v>118.03526077514815</v>
      </c>
    </row>
    <row r="344" spans="1:5" ht="13.2" x14ac:dyDescent="0.25">
      <c r="A344" s="711">
        <v>36350</v>
      </c>
      <c r="B344" s="814">
        <v>29.918299999999999</v>
      </c>
      <c r="C344" s="814">
        <v>321.70999999999998</v>
      </c>
      <c r="D344" s="710">
        <f t="shared" si="16"/>
        <v>98.370158479647515</v>
      </c>
      <c r="E344" s="815">
        <f t="shared" si="17"/>
        <v>118.41068865250837</v>
      </c>
    </row>
    <row r="345" spans="1:5" ht="13.2" x14ac:dyDescent="0.25">
      <c r="A345" s="711">
        <v>36353</v>
      </c>
      <c r="B345" s="814">
        <v>29.567699999999999</v>
      </c>
      <c r="C345" s="814">
        <v>320.3</v>
      </c>
      <c r="D345" s="710">
        <f t="shared" si="16"/>
        <v>97.217399881633455</v>
      </c>
      <c r="E345" s="815">
        <f t="shared" si="17"/>
        <v>117.89171482203984</v>
      </c>
    </row>
    <row r="346" spans="1:5" ht="13.2" x14ac:dyDescent="0.25">
      <c r="A346" s="711">
        <v>36354</v>
      </c>
      <c r="B346" s="814">
        <v>29.626200000000001</v>
      </c>
      <c r="C346" s="814">
        <v>320.3</v>
      </c>
      <c r="D346" s="710">
        <f t="shared" si="16"/>
        <v>97.409745511935284</v>
      </c>
      <c r="E346" s="815">
        <f t="shared" si="17"/>
        <v>117.89171482203984</v>
      </c>
    </row>
    <row r="347" spans="1:5" ht="13.2" x14ac:dyDescent="0.25">
      <c r="A347" s="711">
        <v>36355</v>
      </c>
      <c r="B347" s="814">
        <v>29.567699999999999</v>
      </c>
      <c r="C347" s="814">
        <v>320.36</v>
      </c>
      <c r="D347" s="710">
        <f t="shared" si="16"/>
        <v>97.217399881633455</v>
      </c>
      <c r="E347" s="815">
        <f t="shared" si="17"/>
        <v>117.91379881482573</v>
      </c>
    </row>
    <row r="348" spans="1:5" ht="13.2" x14ac:dyDescent="0.25">
      <c r="A348" s="711">
        <v>36356</v>
      </c>
      <c r="B348" s="814">
        <v>29.392399999999999</v>
      </c>
      <c r="C348" s="814">
        <v>320.57</v>
      </c>
      <c r="D348" s="710">
        <f t="shared" si="16"/>
        <v>96.64102058262641</v>
      </c>
      <c r="E348" s="815">
        <f t="shared" si="17"/>
        <v>117.99109278957636</v>
      </c>
    </row>
    <row r="349" spans="1:5" ht="13.2" x14ac:dyDescent="0.25">
      <c r="A349" s="711">
        <v>36357</v>
      </c>
      <c r="B349" s="814">
        <v>29.1587</v>
      </c>
      <c r="C349" s="814">
        <v>320.24</v>
      </c>
      <c r="D349" s="710">
        <f t="shared" si="16"/>
        <v>95.87262444926678</v>
      </c>
      <c r="E349" s="815">
        <f t="shared" si="17"/>
        <v>117.86963082925392</v>
      </c>
    </row>
    <row r="350" spans="1:5" ht="13.2" x14ac:dyDescent="0.25">
      <c r="A350" s="711">
        <v>36360</v>
      </c>
      <c r="B350" s="814">
        <v>29.275500000000001</v>
      </c>
      <c r="C350" s="814">
        <v>321.41000000000003</v>
      </c>
      <c r="D350" s="710">
        <f t="shared" si="16"/>
        <v>96.25665811797198</v>
      </c>
      <c r="E350" s="815">
        <f t="shared" si="17"/>
        <v>118.3002686885789</v>
      </c>
    </row>
    <row r="351" spans="1:5" ht="13.2" x14ac:dyDescent="0.25">
      <c r="A351" s="711">
        <v>36361</v>
      </c>
      <c r="B351" s="814">
        <v>29.1587</v>
      </c>
      <c r="C351" s="814">
        <v>321.32</v>
      </c>
      <c r="D351" s="710">
        <f t="shared" si="16"/>
        <v>95.87262444926678</v>
      </c>
      <c r="E351" s="815">
        <f t="shared" si="17"/>
        <v>118.26714269940004</v>
      </c>
    </row>
    <row r="352" spans="1:5" ht="13.2" x14ac:dyDescent="0.25">
      <c r="A352" s="711">
        <v>36362</v>
      </c>
      <c r="B352" s="814">
        <v>29.217099999999999</v>
      </c>
      <c r="C352" s="814">
        <v>321.68</v>
      </c>
      <c r="D352" s="710">
        <f t="shared" si="16"/>
        <v>96.06464128361938</v>
      </c>
      <c r="E352" s="815">
        <f t="shared" si="17"/>
        <v>118.39964665611542</v>
      </c>
    </row>
    <row r="353" spans="1:5" ht="13.2" x14ac:dyDescent="0.25">
      <c r="A353" s="711">
        <v>36363</v>
      </c>
      <c r="B353" s="814">
        <v>29.584700000000002</v>
      </c>
      <c r="C353" s="814">
        <v>321.23</v>
      </c>
      <c r="D353" s="710">
        <f t="shared" si="16"/>
        <v>97.273295193003221</v>
      </c>
      <c r="E353" s="815">
        <f t="shared" si="17"/>
        <v>118.23401671022123</v>
      </c>
    </row>
    <row r="354" spans="1:5" ht="13.2" x14ac:dyDescent="0.25">
      <c r="A354" s="711">
        <v>36364</v>
      </c>
      <c r="B354" s="814">
        <v>29.584700000000002</v>
      </c>
      <c r="C354" s="814">
        <v>320.99</v>
      </c>
      <c r="D354" s="710">
        <f t="shared" si="16"/>
        <v>97.273295193003221</v>
      </c>
      <c r="E354" s="815">
        <f t="shared" si="17"/>
        <v>118.14568073907763</v>
      </c>
    </row>
    <row r="355" spans="1:5" ht="13.2" x14ac:dyDescent="0.25">
      <c r="A355" s="711">
        <v>36367</v>
      </c>
      <c r="B355" s="814">
        <v>29.4068</v>
      </c>
      <c r="C355" s="814">
        <v>320.93</v>
      </c>
      <c r="D355" s="710">
        <f t="shared" si="16"/>
        <v>96.688367199316104</v>
      </c>
      <c r="E355" s="815">
        <f t="shared" si="17"/>
        <v>118.12359674629174</v>
      </c>
    </row>
    <row r="356" spans="1:5" ht="13.2" x14ac:dyDescent="0.25">
      <c r="A356" s="711">
        <v>36368</v>
      </c>
      <c r="B356" s="814">
        <v>29.3475</v>
      </c>
      <c r="C356" s="814">
        <v>319.61</v>
      </c>
      <c r="D356" s="710">
        <f t="shared" si="16"/>
        <v>96.493391201420394</v>
      </c>
      <c r="E356" s="815">
        <f t="shared" si="17"/>
        <v>117.63774890500203</v>
      </c>
    </row>
    <row r="357" spans="1:5" ht="13.2" x14ac:dyDescent="0.25">
      <c r="A357" s="711">
        <v>36369</v>
      </c>
      <c r="B357" s="814">
        <v>28.7547</v>
      </c>
      <c r="C357" s="814">
        <v>317.18</v>
      </c>
      <c r="D357" s="710">
        <f t="shared" si="16"/>
        <v>94.544288814361792</v>
      </c>
      <c r="E357" s="815">
        <f t="shared" si="17"/>
        <v>116.74334719717325</v>
      </c>
    </row>
    <row r="358" spans="1:5" ht="13.2" x14ac:dyDescent="0.25">
      <c r="A358" s="711">
        <v>36370</v>
      </c>
      <c r="B358" s="814">
        <v>28.2211</v>
      </c>
      <c r="C358" s="814">
        <v>313.23</v>
      </c>
      <c r="D358" s="710">
        <f t="shared" si="16"/>
        <v>92.789833629249685</v>
      </c>
      <c r="E358" s="815">
        <f t="shared" si="17"/>
        <v>115.28948433876846</v>
      </c>
    </row>
    <row r="359" spans="1:5" ht="13.2" x14ac:dyDescent="0.25">
      <c r="A359" s="711">
        <v>36371</v>
      </c>
      <c r="B359" s="814">
        <v>28.398900000000001</v>
      </c>
      <c r="C359" s="814">
        <v>314.66000000000003</v>
      </c>
      <c r="D359" s="710">
        <f t="shared" si="16"/>
        <v>93.374432826987572</v>
      </c>
      <c r="E359" s="815">
        <f t="shared" si="17"/>
        <v>115.81581950016565</v>
      </c>
    </row>
    <row r="360" spans="1:5" ht="13.2" x14ac:dyDescent="0.25">
      <c r="A360" s="711">
        <v>36374</v>
      </c>
      <c r="B360" s="814">
        <v>28.576799999999999</v>
      </c>
      <c r="C360" s="814">
        <v>315.68</v>
      </c>
      <c r="D360" s="710">
        <f t="shared" si="16"/>
        <v>93.959360820674675</v>
      </c>
      <c r="E360" s="815">
        <f t="shared" si="17"/>
        <v>116.19124737752587</v>
      </c>
    </row>
    <row r="361" spans="1:5" ht="13.2" x14ac:dyDescent="0.25">
      <c r="A361" s="711">
        <v>36375</v>
      </c>
      <c r="B361" s="814">
        <v>28.517499999999998</v>
      </c>
      <c r="C361" s="814">
        <v>316.85000000000002</v>
      </c>
      <c r="D361" s="710">
        <f t="shared" si="16"/>
        <v>93.764384822778965</v>
      </c>
      <c r="E361" s="815">
        <f t="shared" si="17"/>
        <v>116.62188523685084</v>
      </c>
    </row>
    <row r="362" spans="1:5" ht="13.2" x14ac:dyDescent="0.25">
      <c r="A362" s="711">
        <v>36376</v>
      </c>
      <c r="B362" s="814">
        <v>26.975999999999999</v>
      </c>
      <c r="C362" s="814">
        <v>316.64</v>
      </c>
      <c r="D362" s="710">
        <f t="shared" si="16"/>
        <v>88.695995265338325</v>
      </c>
      <c r="E362" s="815">
        <f t="shared" si="17"/>
        <v>116.5445912621002</v>
      </c>
    </row>
    <row r="363" spans="1:5" ht="13.2" x14ac:dyDescent="0.25">
      <c r="A363" s="711">
        <v>36377</v>
      </c>
      <c r="B363" s="814">
        <v>27.0946</v>
      </c>
      <c r="C363" s="814">
        <v>317.72000000000003</v>
      </c>
      <c r="D363" s="710">
        <f t="shared" si="16"/>
        <v>89.085947261129732</v>
      </c>
      <c r="E363" s="815">
        <f t="shared" si="17"/>
        <v>116.94210313224632</v>
      </c>
    </row>
    <row r="364" spans="1:5" ht="13.2" x14ac:dyDescent="0.25">
      <c r="A364" s="711">
        <v>36378</v>
      </c>
      <c r="B364" s="814">
        <v>26.857500000000002</v>
      </c>
      <c r="C364" s="814">
        <v>318.38</v>
      </c>
      <c r="D364" s="710">
        <f t="shared" si="16"/>
        <v>88.306372065496149</v>
      </c>
      <c r="E364" s="815">
        <f t="shared" si="17"/>
        <v>117.18502705289116</v>
      </c>
    </row>
    <row r="365" spans="1:5" ht="13.2" x14ac:dyDescent="0.25">
      <c r="A365" s="711">
        <v>36381</v>
      </c>
      <c r="B365" s="814">
        <v>26.916699999999999</v>
      </c>
      <c r="C365" s="814">
        <v>318.95</v>
      </c>
      <c r="D365" s="710">
        <f t="shared" si="16"/>
        <v>88.501019267442615</v>
      </c>
      <c r="E365" s="815">
        <f t="shared" si="17"/>
        <v>117.39482498435716</v>
      </c>
    </row>
    <row r="366" spans="1:5" ht="13.2" x14ac:dyDescent="0.25">
      <c r="A366" s="711">
        <v>36382</v>
      </c>
      <c r="B366" s="814">
        <v>26.5017</v>
      </c>
      <c r="C366" s="814">
        <v>317.69</v>
      </c>
      <c r="D366" s="710">
        <f t="shared" si="16"/>
        <v>87.136516078121915</v>
      </c>
      <c r="E366" s="815">
        <f t="shared" si="17"/>
        <v>116.93106113585337</v>
      </c>
    </row>
    <row r="367" spans="1:5" ht="13.2" x14ac:dyDescent="0.25">
      <c r="A367" s="711">
        <v>36383</v>
      </c>
      <c r="B367" s="814">
        <v>26.916699999999999</v>
      </c>
      <c r="C367" s="814">
        <v>317.24</v>
      </c>
      <c r="D367" s="710">
        <f t="shared" si="16"/>
        <v>88.501019267442615</v>
      </c>
      <c r="E367" s="815">
        <f t="shared" si="17"/>
        <v>116.76543118995914</v>
      </c>
    </row>
    <row r="368" spans="1:5" ht="13.2" x14ac:dyDescent="0.25">
      <c r="A368" s="711">
        <v>36384</v>
      </c>
      <c r="B368" s="814">
        <v>26.205300000000001</v>
      </c>
      <c r="C368" s="814">
        <v>312.60000000000002</v>
      </c>
      <c r="D368" s="710">
        <f t="shared" si="16"/>
        <v>86.161964884592621</v>
      </c>
      <c r="E368" s="815">
        <f t="shared" si="17"/>
        <v>115.05760241451655</v>
      </c>
    </row>
    <row r="369" spans="1:5" ht="13.2" x14ac:dyDescent="0.25">
      <c r="A369" s="711">
        <v>36385</v>
      </c>
      <c r="B369" s="814">
        <v>26.264600000000002</v>
      </c>
      <c r="C369" s="814">
        <v>314.39</v>
      </c>
      <c r="D369" s="710">
        <f t="shared" si="16"/>
        <v>86.356940882488331</v>
      </c>
      <c r="E369" s="815">
        <f t="shared" si="17"/>
        <v>115.7164415326291</v>
      </c>
    </row>
    <row r="370" spans="1:5" ht="13.2" x14ac:dyDescent="0.25">
      <c r="A370" s="711">
        <v>36388</v>
      </c>
      <c r="B370" s="814">
        <v>26.442399999999999</v>
      </c>
      <c r="C370" s="814">
        <v>312.58</v>
      </c>
      <c r="D370" s="710">
        <f t="shared" si="16"/>
        <v>86.941540080226204</v>
      </c>
      <c r="E370" s="815">
        <f t="shared" si="17"/>
        <v>115.05024108358791</v>
      </c>
    </row>
    <row r="371" spans="1:5" ht="13.2" x14ac:dyDescent="0.25">
      <c r="A371" s="711">
        <v>36389</v>
      </c>
      <c r="B371" s="814">
        <v>26.5017</v>
      </c>
      <c r="C371" s="814">
        <v>313.06</v>
      </c>
      <c r="D371" s="710">
        <f t="shared" si="16"/>
        <v>87.136516078121915</v>
      </c>
      <c r="E371" s="815">
        <f t="shared" si="17"/>
        <v>115.22691302587509</v>
      </c>
    </row>
    <row r="372" spans="1:5" ht="13.2" x14ac:dyDescent="0.25">
      <c r="A372" s="711">
        <v>36390</v>
      </c>
      <c r="B372" s="814">
        <v>27.0946</v>
      </c>
      <c r="C372" s="814">
        <v>311.33</v>
      </c>
      <c r="D372" s="710">
        <f t="shared" si="16"/>
        <v>89.085947261129732</v>
      </c>
      <c r="E372" s="815">
        <f t="shared" si="17"/>
        <v>114.59015790054841</v>
      </c>
    </row>
    <row r="373" spans="1:5" ht="13.2" x14ac:dyDescent="0.25">
      <c r="A373" s="711">
        <v>36391</v>
      </c>
      <c r="B373" s="814">
        <v>28.2211</v>
      </c>
      <c r="C373" s="814">
        <v>314.86</v>
      </c>
      <c r="D373" s="710">
        <f t="shared" si="16"/>
        <v>92.789833629249685</v>
      </c>
      <c r="E373" s="815">
        <f t="shared" si="17"/>
        <v>115.88943280945196</v>
      </c>
    </row>
    <row r="374" spans="1:5" ht="13.2" x14ac:dyDescent="0.25">
      <c r="A374" s="711">
        <v>36392</v>
      </c>
      <c r="B374" s="814">
        <v>28.339700000000001</v>
      </c>
      <c r="C374" s="814">
        <v>319.64</v>
      </c>
      <c r="D374" s="710">
        <f t="shared" si="16"/>
        <v>93.179785625041106</v>
      </c>
      <c r="E374" s="815">
        <f t="shared" si="17"/>
        <v>117.64879090139497</v>
      </c>
    </row>
    <row r="375" spans="1:5" ht="13.2" x14ac:dyDescent="0.25">
      <c r="A375" s="711">
        <v>36395</v>
      </c>
      <c r="B375" s="814">
        <v>28.517499999999998</v>
      </c>
      <c r="C375" s="814">
        <v>319.58</v>
      </c>
      <c r="D375" s="710">
        <f t="shared" si="16"/>
        <v>93.764384822778965</v>
      </c>
      <c r="E375" s="815">
        <f t="shared" si="17"/>
        <v>117.62670690860908</v>
      </c>
    </row>
    <row r="376" spans="1:5" ht="13.2" x14ac:dyDescent="0.25">
      <c r="A376" s="711">
        <v>36396</v>
      </c>
      <c r="B376" s="814">
        <v>28.814</v>
      </c>
      <c r="C376" s="814">
        <v>321.25</v>
      </c>
      <c r="D376" s="710">
        <f t="shared" ref="D376:D439" si="18">+(B376/$B$2)*$D$2</f>
        <v>94.739264812257503</v>
      </c>
      <c r="E376" s="815">
        <f t="shared" ref="E376:E439" si="19">+(C376/$C$2)*$E$2</f>
        <v>118.24137804114984</v>
      </c>
    </row>
    <row r="377" spans="1:5" ht="13.2" x14ac:dyDescent="0.25">
      <c r="A377" s="711">
        <v>36397</v>
      </c>
      <c r="B377" s="814">
        <v>29.584700000000002</v>
      </c>
      <c r="C377" s="814">
        <v>325.2</v>
      </c>
      <c r="D377" s="710">
        <f t="shared" si="18"/>
        <v>97.273295193003221</v>
      </c>
      <c r="E377" s="815">
        <f t="shared" si="19"/>
        <v>119.69524089955463</v>
      </c>
    </row>
    <row r="378" spans="1:5" ht="13.2" x14ac:dyDescent="0.25">
      <c r="A378" s="711">
        <v>36398</v>
      </c>
      <c r="B378" s="814">
        <v>29.3475</v>
      </c>
      <c r="C378" s="814">
        <v>321.73</v>
      </c>
      <c r="D378" s="710">
        <f t="shared" si="18"/>
        <v>96.493391201420394</v>
      </c>
      <c r="E378" s="815">
        <f t="shared" si="19"/>
        <v>118.41804998343702</v>
      </c>
    </row>
    <row r="379" spans="1:5" ht="13.2" x14ac:dyDescent="0.25">
      <c r="A379" s="711">
        <v>36399</v>
      </c>
      <c r="B379" s="814">
        <v>29.525400000000001</v>
      </c>
      <c r="C379" s="814">
        <v>320.93</v>
      </c>
      <c r="D379" s="710">
        <f t="shared" si="18"/>
        <v>97.078319195107525</v>
      </c>
      <c r="E379" s="815">
        <f t="shared" si="19"/>
        <v>118.12359674629174</v>
      </c>
    </row>
    <row r="380" spans="1:5" ht="13.2" x14ac:dyDescent="0.25">
      <c r="A380" s="711">
        <v>36402</v>
      </c>
      <c r="B380" s="814">
        <v>29.110399999999998</v>
      </c>
      <c r="C380" s="814">
        <v>317.11</v>
      </c>
      <c r="D380" s="710">
        <f t="shared" si="18"/>
        <v>95.713816005786796</v>
      </c>
      <c r="E380" s="815">
        <f t="shared" si="19"/>
        <v>116.71758253892304</v>
      </c>
    </row>
    <row r="381" spans="1:5" ht="13.2" x14ac:dyDescent="0.25">
      <c r="A381" s="711">
        <v>36403</v>
      </c>
      <c r="B381" s="814">
        <v>28.814</v>
      </c>
      <c r="C381" s="814">
        <v>315.86</v>
      </c>
      <c r="D381" s="710">
        <f t="shared" si="18"/>
        <v>94.739264812257503</v>
      </c>
      <c r="E381" s="815">
        <f t="shared" si="19"/>
        <v>116.25749935588354</v>
      </c>
    </row>
    <row r="382" spans="1:5" ht="13.2" x14ac:dyDescent="0.25">
      <c r="A382" s="711">
        <v>36404</v>
      </c>
      <c r="B382" s="814">
        <v>28.576799999999999</v>
      </c>
      <c r="C382" s="814">
        <v>316.95</v>
      </c>
      <c r="D382" s="710">
        <f t="shared" si="18"/>
        <v>93.959360820674675</v>
      </c>
      <c r="E382" s="815">
        <f t="shared" si="19"/>
        <v>116.65869189149399</v>
      </c>
    </row>
    <row r="383" spans="1:5" ht="13.2" x14ac:dyDescent="0.25">
      <c r="A383" s="711">
        <v>36405</v>
      </c>
      <c r="B383" s="814">
        <v>28.398900000000001</v>
      </c>
      <c r="C383" s="814">
        <v>314.60000000000002</v>
      </c>
      <c r="D383" s="710">
        <f t="shared" si="18"/>
        <v>93.374432826987572</v>
      </c>
      <c r="E383" s="815">
        <f t="shared" si="19"/>
        <v>115.79373550737975</v>
      </c>
    </row>
    <row r="384" spans="1:5" ht="13.2" x14ac:dyDescent="0.25">
      <c r="A384" s="711">
        <v>36406</v>
      </c>
      <c r="B384" s="814">
        <v>29.051100000000002</v>
      </c>
      <c r="C384" s="814">
        <v>319.61</v>
      </c>
      <c r="D384" s="710">
        <f t="shared" si="18"/>
        <v>95.5188400078911</v>
      </c>
      <c r="E384" s="815">
        <f t="shared" si="19"/>
        <v>117.63774890500203</v>
      </c>
    </row>
    <row r="385" spans="1:5" ht="13.2" x14ac:dyDescent="0.25">
      <c r="A385" s="711">
        <v>36410</v>
      </c>
      <c r="B385" s="814">
        <v>28.102499999999999</v>
      </c>
      <c r="C385" s="814">
        <v>314.60000000000002</v>
      </c>
      <c r="D385" s="710">
        <f t="shared" si="18"/>
        <v>92.399881633458264</v>
      </c>
      <c r="E385" s="815">
        <f t="shared" si="19"/>
        <v>115.79373550737975</v>
      </c>
    </row>
    <row r="386" spans="1:5" ht="13.2" x14ac:dyDescent="0.25">
      <c r="A386" s="711">
        <v>36411</v>
      </c>
      <c r="B386" s="814">
        <v>27.924600000000002</v>
      </c>
      <c r="C386" s="814">
        <v>312.64</v>
      </c>
      <c r="D386" s="710">
        <f t="shared" si="18"/>
        <v>91.814953639771161</v>
      </c>
      <c r="E386" s="815">
        <f t="shared" si="19"/>
        <v>115.0723250763738</v>
      </c>
    </row>
    <row r="387" spans="1:5" ht="13.2" x14ac:dyDescent="0.25">
      <c r="A387" s="711">
        <v>36412</v>
      </c>
      <c r="B387" s="814">
        <v>27.924600000000002</v>
      </c>
      <c r="C387" s="814">
        <v>314.12</v>
      </c>
      <c r="D387" s="710">
        <f t="shared" si="18"/>
        <v>91.814953639771161</v>
      </c>
      <c r="E387" s="815">
        <f t="shared" si="19"/>
        <v>115.61706356509258</v>
      </c>
    </row>
    <row r="388" spans="1:5" ht="13.2" x14ac:dyDescent="0.25">
      <c r="A388" s="711">
        <v>36413</v>
      </c>
      <c r="B388" s="814">
        <v>28.458200000000001</v>
      </c>
      <c r="C388" s="814">
        <v>315.95</v>
      </c>
      <c r="D388" s="710">
        <f t="shared" si="18"/>
        <v>93.569408824883283</v>
      </c>
      <c r="E388" s="815">
        <f t="shared" si="19"/>
        <v>116.29062534506238</v>
      </c>
    </row>
    <row r="389" spans="1:5" ht="13.2" x14ac:dyDescent="0.25">
      <c r="A389" s="711">
        <v>36416</v>
      </c>
      <c r="B389" s="814">
        <v>28.7547</v>
      </c>
      <c r="C389" s="814">
        <v>313.54000000000002</v>
      </c>
      <c r="D389" s="710">
        <f t="shared" si="18"/>
        <v>94.544288814361792</v>
      </c>
      <c r="E389" s="815">
        <f t="shared" si="19"/>
        <v>115.40358496816225</v>
      </c>
    </row>
    <row r="390" spans="1:5" ht="13.2" x14ac:dyDescent="0.25">
      <c r="A390" s="711">
        <v>36417</v>
      </c>
      <c r="B390" s="814">
        <v>28.517499999999998</v>
      </c>
      <c r="C390" s="814">
        <v>310.91000000000003</v>
      </c>
      <c r="D390" s="710">
        <f t="shared" si="18"/>
        <v>93.764384822778965</v>
      </c>
      <c r="E390" s="815">
        <f t="shared" si="19"/>
        <v>114.43556995104716</v>
      </c>
    </row>
    <row r="391" spans="1:5" ht="13.2" x14ac:dyDescent="0.25">
      <c r="A391" s="711">
        <v>36418</v>
      </c>
      <c r="B391" s="814">
        <v>28.7547</v>
      </c>
      <c r="C391" s="814">
        <v>310.98</v>
      </c>
      <c r="D391" s="710">
        <f t="shared" si="18"/>
        <v>94.544288814361792</v>
      </c>
      <c r="E391" s="815">
        <f t="shared" si="19"/>
        <v>114.46133460929737</v>
      </c>
    </row>
    <row r="392" spans="1:5" ht="13.2" x14ac:dyDescent="0.25">
      <c r="A392" s="711">
        <v>36419</v>
      </c>
      <c r="B392" s="814">
        <v>28.576799999999999</v>
      </c>
      <c r="C392" s="814">
        <v>309.02</v>
      </c>
      <c r="D392" s="710">
        <f t="shared" si="18"/>
        <v>93.959360820674675</v>
      </c>
      <c r="E392" s="815">
        <f t="shared" si="19"/>
        <v>113.73992417829142</v>
      </c>
    </row>
    <row r="393" spans="1:5" ht="13.2" x14ac:dyDescent="0.25">
      <c r="A393" s="711">
        <v>36420</v>
      </c>
      <c r="B393" s="814">
        <v>28.636099999999999</v>
      </c>
      <c r="C393" s="814">
        <v>310.77999999999997</v>
      </c>
      <c r="D393" s="710">
        <f t="shared" si="18"/>
        <v>94.154336818570386</v>
      </c>
      <c r="E393" s="815">
        <f t="shared" si="19"/>
        <v>114.38772130001102</v>
      </c>
    </row>
    <row r="394" spans="1:5" ht="13.2" x14ac:dyDescent="0.25">
      <c r="A394" s="711">
        <v>36423</v>
      </c>
      <c r="B394" s="814">
        <v>27.924600000000002</v>
      </c>
      <c r="C394" s="814">
        <v>308.66000000000003</v>
      </c>
      <c r="D394" s="710">
        <f t="shared" si="18"/>
        <v>91.814953639771161</v>
      </c>
      <c r="E394" s="815">
        <f t="shared" si="19"/>
        <v>113.60742022157606</v>
      </c>
    </row>
    <row r="395" spans="1:5" ht="13.2" x14ac:dyDescent="0.25">
      <c r="A395" s="711">
        <v>36424</v>
      </c>
      <c r="B395" s="814">
        <v>27.450299999999999</v>
      </c>
      <c r="C395" s="814">
        <v>302.24</v>
      </c>
      <c r="D395" s="710">
        <f t="shared" si="18"/>
        <v>90.255474452554736</v>
      </c>
      <c r="E395" s="815">
        <f t="shared" si="19"/>
        <v>111.24443299348523</v>
      </c>
    </row>
    <row r="396" spans="1:5" ht="13.2" x14ac:dyDescent="0.25">
      <c r="A396" s="711">
        <v>36425</v>
      </c>
      <c r="B396" s="814">
        <v>27.272500000000001</v>
      </c>
      <c r="C396" s="814">
        <v>300.48</v>
      </c>
      <c r="D396" s="710">
        <f t="shared" si="18"/>
        <v>89.670875254816863</v>
      </c>
      <c r="E396" s="815">
        <f t="shared" si="19"/>
        <v>110.59663587176563</v>
      </c>
    </row>
    <row r="397" spans="1:5" ht="13.2" x14ac:dyDescent="0.25">
      <c r="A397" s="711">
        <v>36426</v>
      </c>
      <c r="B397" s="814">
        <v>26.798200000000001</v>
      </c>
      <c r="C397" s="814">
        <v>294.86</v>
      </c>
      <c r="D397" s="710">
        <f t="shared" si="18"/>
        <v>88.111396067600438</v>
      </c>
      <c r="E397" s="815">
        <f t="shared" si="19"/>
        <v>108.52810188082005</v>
      </c>
    </row>
    <row r="398" spans="1:5" ht="13.2" x14ac:dyDescent="0.25">
      <c r="A398" s="711">
        <v>36427</v>
      </c>
      <c r="B398" s="814">
        <v>26.798200000000001</v>
      </c>
      <c r="C398" s="814">
        <v>294.73</v>
      </c>
      <c r="D398" s="710">
        <f t="shared" si="18"/>
        <v>88.111396067600438</v>
      </c>
      <c r="E398" s="815">
        <f t="shared" si="19"/>
        <v>108.48025322978397</v>
      </c>
    </row>
    <row r="399" spans="1:5" ht="13.2" x14ac:dyDescent="0.25">
      <c r="A399" s="711">
        <v>36430</v>
      </c>
      <c r="B399" s="814">
        <v>26.857500000000002</v>
      </c>
      <c r="C399" s="814">
        <v>293.73</v>
      </c>
      <c r="D399" s="710">
        <f t="shared" si="18"/>
        <v>88.306372065496149</v>
      </c>
      <c r="E399" s="815">
        <f t="shared" si="19"/>
        <v>108.11218668335236</v>
      </c>
    </row>
    <row r="400" spans="1:5" ht="13.2" x14ac:dyDescent="0.25">
      <c r="A400" s="711">
        <v>36431</v>
      </c>
      <c r="B400" s="814">
        <v>26.442399999999999</v>
      </c>
      <c r="C400" s="814">
        <v>291.77</v>
      </c>
      <c r="D400" s="710">
        <f t="shared" si="18"/>
        <v>86.941540080226204</v>
      </c>
      <c r="E400" s="815">
        <f t="shared" si="19"/>
        <v>107.39077625234641</v>
      </c>
    </row>
    <row r="401" spans="1:5" ht="13.2" x14ac:dyDescent="0.25">
      <c r="A401" s="711">
        <v>36432</v>
      </c>
      <c r="B401" s="814">
        <v>26.264600000000002</v>
      </c>
      <c r="C401" s="814">
        <v>294.73</v>
      </c>
      <c r="D401" s="710">
        <f t="shared" si="18"/>
        <v>86.356940882488331</v>
      </c>
      <c r="E401" s="815">
        <f t="shared" si="19"/>
        <v>108.48025322978397</v>
      </c>
    </row>
    <row r="402" spans="1:5" ht="13.2" x14ac:dyDescent="0.25">
      <c r="A402" s="711">
        <v>36433</v>
      </c>
      <c r="B402" s="814">
        <v>26.857500000000002</v>
      </c>
      <c r="C402" s="814">
        <v>298.26</v>
      </c>
      <c r="D402" s="710">
        <f t="shared" si="18"/>
        <v>88.306372065496149</v>
      </c>
      <c r="E402" s="815">
        <f t="shared" si="19"/>
        <v>109.77952813868748</v>
      </c>
    </row>
    <row r="403" spans="1:5" ht="13.2" x14ac:dyDescent="0.25">
      <c r="A403" s="711">
        <v>36434</v>
      </c>
      <c r="B403" s="814">
        <v>27.331800000000001</v>
      </c>
      <c r="C403" s="814">
        <v>301.54000000000002</v>
      </c>
      <c r="D403" s="710">
        <f t="shared" si="18"/>
        <v>89.865851252712574</v>
      </c>
      <c r="E403" s="815">
        <f t="shared" si="19"/>
        <v>110.98678641098311</v>
      </c>
    </row>
    <row r="404" spans="1:5" ht="13.2" x14ac:dyDescent="0.25">
      <c r="A404" s="711">
        <v>36437</v>
      </c>
      <c r="B404" s="814">
        <v>27.7468</v>
      </c>
      <c r="C404" s="814">
        <v>305.87</v>
      </c>
      <c r="D404" s="710">
        <f t="shared" si="18"/>
        <v>91.230354442033274</v>
      </c>
      <c r="E404" s="815">
        <f t="shared" si="19"/>
        <v>112.5805145570319</v>
      </c>
    </row>
    <row r="405" spans="1:5" ht="13.2" x14ac:dyDescent="0.25">
      <c r="A405" s="711">
        <v>36438</v>
      </c>
      <c r="B405" s="814">
        <v>27.331800000000001</v>
      </c>
      <c r="C405" s="814">
        <v>303.39999999999998</v>
      </c>
      <c r="D405" s="710">
        <f t="shared" si="18"/>
        <v>89.865851252712574</v>
      </c>
      <c r="E405" s="815">
        <f t="shared" si="19"/>
        <v>111.67139018734586</v>
      </c>
    </row>
    <row r="406" spans="1:5" ht="13.2" x14ac:dyDescent="0.25">
      <c r="A406" s="711">
        <v>36439</v>
      </c>
      <c r="B406" s="814">
        <v>27.272500000000001</v>
      </c>
      <c r="C406" s="814">
        <v>303.43</v>
      </c>
      <c r="D406" s="710">
        <f t="shared" si="18"/>
        <v>89.670875254816863</v>
      </c>
      <c r="E406" s="815">
        <f t="shared" si="19"/>
        <v>111.68243218373884</v>
      </c>
    </row>
    <row r="407" spans="1:5" ht="13.2" x14ac:dyDescent="0.25">
      <c r="A407" s="711">
        <v>36440</v>
      </c>
      <c r="B407" s="814">
        <v>26.561</v>
      </c>
      <c r="C407" s="814">
        <v>298.36</v>
      </c>
      <c r="D407" s="710">
        <f t="shared" si="18"/>
        <v>87.331492076017611</v>
      </c>
      <c r="E407" s="815">
        <f t="shared" si="19"/>
        <v>109.81633479333064</v>
      </c>
    </row>
    <row r="408" spans="1:5" ht="13.2" x14ac:dyDescent="0.25">
      <c r="A408" s="711">
        <v>36441</v>
      </c>
      <c r="B408" s="814">
        <v>26.6203</v>
      </c>
      <c r="C408" s="814">
        <v>299.67</v>
      </c>
      <c r="D408" s="710">
        <f t="shared" si="18"/>
        <v>87.526468073913321</v>
      </c>
      <c r="E408" s="815">
        <f t="shared" si="19"/>
        <v>110.29850196915602</v>
      </c>
    </row>
    <row r="409" spans="1:5" ht="13.2" x14ac:dyDescent="0.25">
      <c r="A409" s="711">
        <v>36444</v>
      </c>
      <c r="B409" s="814">
        <v>26.442399999999999</v>
      </c>
      <c r="C409" s="814">
        <v>295.72000000000003</v>
      </c>
      <c r="D409" s="710">
        <f t="shared" si="18"/>
        <v>86.941540080226204</v>
      </c>
      <c r="E409" s="815">
        <f t="shared" si="19"/>
        <v>108.84463911075125</v>
      </c>
    </row>
    <row r="410" spans="1:5" ht="13.2" x14ac:dyDescent="0.25">
      <c r="A410" s="711">
        <v>36445</v>
      </c>
      <c r="B410" s="814">
        <v>26.442399999999999</v>
      </c>
      <c r="C410" s="814">
        <v>295.58999999999997</v>
      </c>
      <c r="D410" s="710">
        <f t="shared" si="18"/>
        <v>86.941540080226204</v>
      </c>
      <c r="E410" s="815">
        <f t="shared" si="19"/>
        <v>108.79679045971511</v>
      </c>
    </row>
    <row r="411" spans="1:5" ht="13.2" x14ac:dyDescent="0.25">
      <c r="A411" s="711">
        <v>36446</v>
      </c>
      <c r="B411" s="814">
        <v>26.6203</v>
      </c>
      <c r="C411" s="814">
        <v>296.49</v>
      </c>
      <c r="D411" s="710">
        <f t="shared" si="18"/>
        <v>87.526468073913321</v>
      </c>
      <c r="E411" s="815">
        <f t="shared" si="19"/>
        <v>109.12805035150355</v>
      </c>
    </row>
    <row r="412" spans="1:5" ht="13.2" x14ac:dyDescent="0.25">
      <c r="A412" s="711">
        <v>36447</v>
      </c>
      <c r="B412" s="814">
        <v>26.916699999999999</v>
      </c>
      <c r="C412" s="814">
        <v>299.38</v>
      </c>
      <c r="D412" s="710">
        <f t="shared" si="18"/>
        <v>88.501019267442615</v>
      </c>
      <c r="E412" s="815">
        <f t="shared" si="19"/>
        <v>110.19176267069086</v>
      </c>
    </row>
    <row r="413" spans="1:5" ht="13.2" x14ac:dyDescent="0.25">
      <c r="A413" s="711">
        <v>36448</v>
      </c>
      <c r="B413" s="814">
        <v>26.561</v>
      </c>
      <c r="C413" s="814">
        <v>294.73</v>
      </c>
      <c r="D413" s="710">
        <f t="shared" si="18"/>
        <v>87.331492076017611</v>
      </c>
      <c r="E413" s="815">
        <f t="shared" si="19"/>
        <v>108.48025322978397</v>
      </c>
    </row>
    <row r="414" spans="1:5" ht="13.2" x14ac:dyDescent="0.25">
      <c r="A414" s="711">
        <v>36451</v>
      </c>
      <c r="B414" s="814">
        <v>26.383099999999999</v>
      </c>
      <c r="C414" s="814">
        <v>298.52</v>
      </c>
      <c r="D414" s="710">
        <f t="shared" si="18"/>
        <v>86.746564082330508</v>
      </c>
      <c r="E414" s="815">
        <f t="shared" si="19"/>
        <v>109.87522544075969</v>
      </c>
    </row>
    <row r="415" spans="1:5" ht="13.2" x14ac:dyDescent="0.25">
      <c r="A415" s="711">
        <v>36452</v>
      </c>
      <c r="B415" s="814">
        <v>26.323899999999998</v>
      </c>
      <c r="C415" s="814">
        <v>295.08</v>
      </c>
      <c r="D415" s="710">
        <f t="shared" si="18"/>
        <v>86.551916880384027</v>
      </c>
      <c r="E415" s="815">
        <f t="shared" si="19"/>
        <v>108.60907652103499</v>
      </c>
    </row>
    <row r="416" spans="1:5" ht="13.2" x14ac:dyDescent="0.25">
      <c r="A416" s="711">
        <v>36453</v>
      </c>
      <c r="B416" s="814">
        <v>26.561</v>
      </c>
      <c r="C416" s="814">
        <v>294.66000000000003</v>
      </c>
      <c r="D416" s="710">
        <f t="shared" si="18"/>
        <v>87.331492076017611</v>
      </c>
      <c r="E416" s="815">
        <f t="shared" si="19"/>
        <v>108.45448857153374</v>
      </c>
    </row>
    <row r="417" spans="1:5" ht="13.2" x14ac:dyDescent="0.25">
      <c r="A417" s="711">
        <v>36454</v>
      </c>
      <c r="B417" s="814">
        <v>26.679600000000001</v>
      </c>
      <c r="C417" s="814">
        <v>293.57</v>
      </c>
      <c r="D417" s="710">
        <f t="shared" si="18"/>
        <v>87.721444071809032</v>
      </c>
      <c r="E417" s="815">
        <f t="shared" si="19"/>
        <v>108.05329603592328</v>
      </c>
    </row>
    <row r="418" spans="1:5" ht="13.2" x14ac:dyDescent="0.25">
      <c r="A418" s="711">
        <v>36455</v>
      </c>
      <c r="B418" s="814">
        <v>26.6203</v>
      </c>
      <c r="C418" s="814">
        <v>294.73</v>
      </c>
      <c r="D418" s="710">
        <f t="shared" si="18"/>
        <v>87.526468073913321</v>
      </c>
      <c r="E418" s="815">
        <f t="shared" si="19"/>
        <v>108.48025322978397</v>
      </c>
    </row>
    <row r="419" spans="1:5" ht="13.2" x14ac:dyDescent="0.25">
      <c r="A419" s="711">
        <v>36458</v>
      </c>
      <c r="B419" s="814">
        <v>26.916699999999999</v>
      </c>
      <c r="C419" s="814">
        <v>294.47000000000003</v>
      </c>
      <c r="D419" s="710">
        <f t="shared" si="18"/>
        <v>88.501019267442615</v>
      </c>
      <c r="E419" s="815">
        <f t="shared" si="19"/>
        <v>108.38455592771174</v>
      </c>
    </row>
    <row r="420" spans="1:5" ht="13.2" x14ac:dyDescent="0.25">
      <c r="A420" s="711">
        <v>36459</v>
      </c>
      <c r="B420" s="814">
        <v>27.035299999999999</v>
      </c>
      <c r="C420" s="814">
        <v>295.24</v>
      </c>
      <c r="D420" s="710">
        <f t="shared" si="18"/>
        <v>88.890971263234036</v>
      </c>
      <c r="E420" s="815">
        <f t="shared" si="19"/>
        <v>108.66796716846406</v>
      </c>
    </row>
    <row r="421" spans="1:5" ht="13.2" x14ac:dyDescent="0.25">
      <c r="A421" s="711">
        <v>36460</v>
      </c>
      <c r="B421" s="814">
        <v>27.983899999999998</v>
      </c>
      <c r="C421" s="814">
        <v>302.37</v>
      </c>
      <c r="D421" s="710">
        <f t="shared" si="18"/>
        <v>92.009929637666858</v>
      </c>
      <c r="E421" s="815">
        <f t="shared" si="19"/>
        <v>111.29228164452134</v>
      </c>
    </row>
    <row r="422" spans="1:5" ht="13.2" x14ac:dyDescent="0.25">
      <c r="A422" s="711">
        <v>36461</v>
      </c>
      <c r="B422" s="814">
        <v>27.875599999999999</v>
      </c>
      <c r="C422" s="814">
        <v>306.26</v>
      </c>
      <c r="D422" s="710">
        <f t="shared" si="18"/>
        <v>91.653843624646541</v>
      </c>
      <c r="E422" s="815">
        <f t="shared" si="19"/>
        <v>112.72406051014023</v>
      </c>
    </row>
    <row r="423" spans="1:5" ht="13.2" x14ac:dyDescent="0.25">
      <c r="A423" s="711">
        <v>36462</v>
      </c>
      <c r="B423" s="814">
        <v>27.2133</v>
      </c>
      <c r="C423" s="814">
        <v>306.61</v>
      </c>
      <c r="D423" s="710">
        <f t="shared" si="18"/>
        <v>89.476228052870383</v>
      </c>
      <c r="E423" s="815">
        <f t="shared" si="19"/>
        <v>112.85288380139129</v>
      </c>
    </row>
    <row r="424" spans="1:5" ht="13.2" x14ac:dyDescent="0.25">
      <c r="A424" s="711">
        <v>36465</v>
      </c>
      <c r="B424" s="814">
        <v>27.153099999999998</v>
      </c>
      <c r="C424" s="814">
        <v>305.2</v>
      </c>
      <c r="D424" s="710">
        <f t="shared" si="18"/>
        <v>89.278292891431562</v>
      </c>
      <c r="E424" s="815">
        <f t="shared" si="19"/>
        <v>112.33390997092275</v>
      </c>
    </row>
    <row r="425" spans="1:5" ht="13.2" x14ac:dyDescent="0.25">
      <c r="A425" s="711">
        <v>36466</v>
      </c>
      <c r="B425" s="814">
        <v>27.0929</v>
      </c>
      <c r="C425" s="814">
        <v>306.67</v>
      </c>
      <c r="D425" s="710">
        <f t="shared" si="18"/>
        <v>89.08035772999277</v>
      </c>
      <c r="E425" s="815">
        <f t="shared" si="19"/>
        <v>112.87496779417718</v>
      </c>
    </row>
    <row r="426" spans="1:5" ht="13.2" x14ac:dyDescent="0.25">
      <c r="A426" s="711">
        <v>36467</v>
      </c>
      <c r="B426" s="814">
        <v>26.852</v>
      </c>
      <c r="C426" s="814">
        <v>306.64</v>
      </c>
      <c r="D426" s="710">
        <f t="shared" si="18"/>
        <v>88.288288288288285</v>
      </c>
      <c r="E426" s="815">
        <f t="shared" si="19"/>
        <v>112.86392579778423</v>
      </c>
    </row>
    <row r="427" spans="1:5" ht="13.2" x14ac:dyDescent="0.25">
      <c r="A427" s="711">
        <v>36468</v>
      </c>
      <c r="B427" s="814">
        <v>26.0092</v>
      </c>
      <c r="C427" s="814">
        <v>304.01</v>
      </c>
      <c r="D427" s="710">
        <f t="shared" si="18"/>
        <v>85.517196028144923</v>
      </c>
      <c r="E427" s="815">
        <f t="shared" si="19"/>
        <v>111.89591078066914</v>
      </c>
    </row>
    <row r="428" spans="1:5" ht="13.2" x14ac:dyDescent="0.25">
      <c r="A428" s="711">
        <v>36469</v>
      </c>
      <c r="B428" s="814">
        <v>26.1296</v>
      </c>
      <c r="C428" s="814">
        <v>303.27</v>
      </c>
      <c r="D428" s="710">
        <f t="shared" si="18"/>
        <v>85.91306635102255</v>
      </c>
      <c r="E428" s="815">
        <f t="shared" si="19"/>
        <v>111.62354153630976</v>
      </c>
    </row>
    <row r="429" spans="1:5" ht="13.2" x14ac:dyDescent="0.25">
      <c r="A429" s="711">
        <v>36472</v>
      </c>
      <c r="B429" s="814">
        <v>26.3704</v>
      </c>
      <c r="C429" s="814">
        <v>302.18</v>
      </c>
      <c r="D429" s="710">
        <f t="shared" si="18"/>
        <v>86.704806996777791</v>
      </c>
      <c r="E429" s="815">
        <f t="shared" si="19"/>
        <v>111.22234900069934</v>
      </c>
    </row>
    <row r="430" spans="1:5" ht="13.2" x14ac:dyDescent="0.25">
      <c r="A430" s="711">
        <v>36473</v>
      </c>
      <c r="B430" s="814">
        <v>26.852</v>
      </c>
      <c r="C430" s="814">
        <v>299.48</v>
      </c>
      <c r="D430" s="710">
        <f t="shared" si="18"/>
        <v>88.288288288288285</v>
      </c>
      <c r="E430" s="815">
        <f t="shared" si="19"/>
        <v>110.22856932533402</v>
      </c>
    </row>
    <row r="431" spans="1:5" ht="13.2" x14ac:dyDescent="0.25">
      <c r="A431" s="711">
        <v>36474</v>
      </c>
      <c r="B431" s="814">
        <v>26.671399999999998</v>
      </c>
      <c r="C431" s="814">
        <v>297.33</v>
      </c>
      <c r="D431" s="710">
        <f t="shared" si="18"/>
        <v>87.694482803971837</v>
      </c>
      <c r="E431" s="815">
        <f t="shared" si="19"/>
        <v>109.43722625050609</v>
      </c>
    </row>
    <row r="432" spans="1:5" ht="13.2" x14ac:dyDescent="0.25">
      <c r="A432" s="711">
        <v>36475</v>
      </c>
      <c r="B432" s="814">
        <v>26.310199999999998</v>
      </c>
      <c r="C432" s="814">
        <v>299.35000000000002</v>
      </c>
      <c r="D432" s="710">
        <f t="shared" si="18"/>
        <v>86.506871835338984</v>
      </c>
      <c r="E432" s="815">
        <f t="shared" si="19"/>
        <v>110.18072067429792</v>
      </c>
    </row>
    <row r="433" spans="1:5" ht="13.2" x14ac:dyDescent="0.25">
      <c r="A433" s="711">
        <v>36476</v>
      </c>
      <c r="B433" s="814">
        <v>26.3704</v>
      </c>
      <c r="C433" s="814">
        <v>300.31</v>
      </c>
      <c r="D433" s="710">
        <f t="shared" si="18"/>
        <v>86.704806996777791</v>
      </c>
      <c r="E433" s="815">
        <f t="shared" si="19"/>
        <v>110.53406455887225</v>
      </c>
    </row>
    <row r="434" spans="1:5" ht="13.2" x14ac:dyDescent="0.25">
      <c r="A434" s="711">
        <v>36479</v>
      </c>
      <c r="B434" s="814">
        <v>25.8887</v>
      </c>
      <c r="C434" s="814">
        <v>298.13</v>
      </c>
      <c r="D434" s="710">
        <f t="shared" si="18"/>
        <v>85.120996909318066</v>
      </c>
      <c r="E434" s="815">
        <f t="shared" si="19"/>
        <v>109.73167948765136</v>
      </c>
    </row>
    <row r="435" spans="1:5" ht="13.2" x14ac:dyDescent="0.25">
      <c r="A435" s="711">
        <v>36480</v>
      </c>
      <c r="B435" s="814">
        <v>25.8887</v>
      </c>
      <c r="C435" s="814">
        <v>297.97000000000003</v>
      </c>
      <c r="D435" s="710">
        <f t="shared" si="18"/>
        <v>85.120996909318066</v>
      </c>
      <c r="E435" s="815">
        <f t="shared" si="19"/>
        <v>109.67278884022231</v>
      </c>
    </row>
    <row r="436" spans="1:5" ht="13.2" x14ac:dyDescent="0.25">
      <c r="A436" s="711">
        <v>36481</v>
      </c>
      <c r="B436" s="814">
        <v>25.7683</v>
      </c>
      <c r="C436" s="814">
        <v>296.24</v>
      </c>
      <c r="D436" s="710">
        <f t="shared" si="18"/>
        <v>84.725126586440453</v>
      </c>
      <c r="E436" s="815">
        <f t="shared" si="19"/>
        <v>109.03603371489565</v>
      </c>
    </row>
    <row r="437" spans="1:5" ht="13.2" x14ac:dyDescent="0.25">
      <c r="A437" s="711">
        <v>36482</v>
      </c>
      <c r="B437" s="814">
        <v>25.467300000000002</v>
      </c>
      <c r="C437" s="814">
        <v>294.05</v>
      </c>
      <c r="D437" s="710">
        <f t="shared" si="18"/>
        <v>83.735450779246406</v>
      </c>
      <c r="E437" s="815">
        <f t="shared" si="19"/>
        <v>108.22996797821047</v>
      </c>
    </row>
    <row r="438" spans="1:5" ht="13.2" x14ac:dyDescent="0.25">
      <c r="A438" s="711">
        <v>36483</v>
      </c>
      <c r="B438" s="814">
        <v>25.4071</v>
      </c>
      <c r="C438" s="814">
        <v>291.70999999999998</v>
      </c>
      <c r="D438" s="710">
        <f t="shared" si="18"/>
        <v>83.537515617807571</v>
      </c>
      <c r="E438" s="815">
        <f t="shared" si="19"/>
        <v>107.36869225956052</v>
      </c>
    </row>
    <row r="439" spans="1:5" ht="13.2" x14ac:dyDescent="0.25">
      <c r="A439" s="711">
        <v>36486</v>
      </c>
      <c r="B439" s="814">
        <v>25.0459</v>
      </c>
      <c r="C439" s="814">
        <v>286.08999999999997</v>
      </c>
      <c r="D439" s="710">
        <f t="shared" si="18"/>
        <v>82.349904649174718</v>
      </c>
      <c r="E439" s="815">
        <f t="shared" si="19"/>
        <v>105.30015826861496</v>
      </c>
    </row>
    <row r="440" spans="1:5" ht="13.2" x14ac:dyDescent="0.25">
      <c r="A440" s="711">
        <v>36487</v>
      </c>
      <c r="B440" s="814">
        <v>24.504000000000001</v>
      </c>
      <c r="C440" s="814">
        <v>281.56</v>
      </c>
      <c r="D440" s="710">
        <f t="shared" ref="D440:D503" si="20">+(B440/$B$2)*$D$2</f>
        <v>80.568159400276187</v>
      </c>
      <c r="E440" s="815">
        <f t="shared" ref="E440:E503" si="21">+(C440/$C$2)*$E$2</f>
        <v>103.63281681327985</v>
      </c>
    </row>
    <row r="441" spans="1:5" ht="13.2" x14ac:dyDescent="0.25">
      <c r="A441" s="711">
        <v>36488</v>
      </c>
      <c r="B441" s="814">
        <v>24.504000000000001</v>
      </c>
      <c r="C441" s="814">
        <v>283.2</v>
      </c>
      <c r="D441" s="710">
        <f t="shared" si="20"/>
        <v>80.568159400276187</v>
      </c>
      <c r="E441" s="815">
        <f t="shared" si="21"/>
        <v>104.23644594942765</v>
      </c>
    </row>
    <row r="442" spans="1:5" ht="13.2" x14ac:dyDescent="0.25">
      <c r="A442" s="711">
        <v>36490</v>
      </c>
      <c r="B442" s="814">
        <v>24.383600000000001</v>
      </c>
      <c r="C442" s="814">
        <v>281.37</v>
      </c>
      <c r="D442" s="710">
        <f t="shared" si="20"/>
        <v>80.17228907739856</v>
      </c>
      <c r="E442" s="815">
        <f t="shared" si="21"/>
        <v>103.56288416945785</v>
      </c>
    </row>
    <row r="443" spans="1:5" ht="13.2" x14ac:dyDescent="0.25">
      <c r="A443" s="711">
        <v>36493</v>
      </c>
      <c r="B443" s="814">
        <v>23.901900000000001</v>
      </c>
      <c r="C443" s="814">
        <v>276.94</v>
      </c>
      <c r="D443" s="710">
        <f t="shared" si="20"/>
        <v>78.588478989938849</v>
      </c>
      <c r="E443" s="815">
        <f t="shared" si="21"/>
        <v>101.93234936876587</v>
      </c>
    </row>
    <row r="444" spans="1:5" ht="13.2" x14ac:dyDescent="0.25">
      <c r="A444" s="711">
        <v>36494</v>
      </c>
      <c r="B444" s="814">
        <v>24.383600000000001</v>
      </c>
      <c r="C444" s="814">
        <v>281.52999999999997</v>
      </c>
      <c r="D444" s="710">
        <f t="shared" si="20"/>
        <v>80.17228907739856</v>
      </c>
      <c r="E444" s="815">
        <f t="shared" si="21"/>
        <v>103.62177481688688</v>
      </c>
    </row>
    <row r="445" spans="1:5" ht="13.2" x14ac:dyDescent="0.25">
      <c r="A445" s="711">
        <v>36495</v>
      </c>
      <c r="B445" s="814">
        <v>24.4438</v>
      </c>
      <c r="C445" s="814">
        <v>279.95999999999998</v>
      </c>
      <c r="D445" s="710">
        <f t="shared" si="20"/>
        <v>80.37022423883738</v>
      </c>
      <c r="E445" s="815">
        <f t="shared" si="21"/>
        <v>103.04391033898928</v>
      </c>
    </row>
    <row r="446" spans="1:5" ht="13.2" x14ac:dyDescent="0.25">
      <c r="A446" s="711">
        <v>36496</v>
      </c>
      <c r="B446" s="814">
        <v>24.202999999999999</v>
      </c>
      <c r="C446" s="814">
        <v>281.43</v>
      </c>
      <c r="D446" s="710">
        <f t="shared" si="20"/>
        <v>79.578483593082126</v>
      </c>
      <c r="E446" s="815">
        <f t="shared" si="21"/>
        <v>103.58496816224374</v>
      </c>
    </row>
    <row r="447" spans="1:5" ht="13.2" x14ac:dyDescent="0.25">
      <c r="A447" s="711">
        <v>36497</v>
      </c>
      <c r="B447" s="814">
        <v>24.202999999999999</v>
      </c>
      <c r="C447" s="814">
        <v>283.17</v>
      </c>
      <c r="D447" s="710">
        <f t="shared" si="20"/>
        <v>79.578483593082126</v>
      </c>
      <c r="E447" s="815">
        <f t="shared" si="21"/>
        <v>104.22540395303473</v>
      </c>
    </row>
    <row r="448" spans="1:5" ht="13.2" x14ac:dyDescent="0.25">
      <c r="A448" s="711">
        <v>36500</v>
      </c>
      <c r="B448" s="814">
        <v>23.9621</v>
      </c>
      <c r="C448" s="814">
        <v>281.31</v>
      </c>
      <c r="D448" s="710">
        <f t="shared" si="20"/>
        <v>78.786414151377642</v>
      </c>
      <c r="E448" s="815">
        <f t="shared" si="21"/>
        <v>103.54080017667195</v>
      </c>
    </row>
    <row r="449" spans="1:5" ht="13.2" x14ac:dyDescent="0.25">
      <c r="A449" s="711">
        <v>36501</v>
      </c>
      <c r="B449" s="814">
        <v>23.781500000000001</v>
      </c>
      <c r="C449" s="814">
        <v>275.91000000000003</v>
      </c>
      <c r="D449" s="710">
        <f t="shared" si="20"/>
        <v>78.192608667061222</v>
      </c>
      <c r="E449" s="815">
        <f t="shared" si="21"/>
        <v>101.55324082594134</v>
      </c>
    </row>
    <row r="450" spans="1:5" ht="13.2" x14ac:dyDescent="0.25">
      <c r="A450" s="711">
        <v>36502</v>
      </c>
      <c r="B450" s="814">
        <v>23.480499999999999</v>
      </c>
      <c r="C450" s="814">
        <v>273.7</v>
      </c>
      <c r="D450" s="710">
        <f t="shared" si="20"/>
        <v>77.202932859867161</v>
      </c>
      <c r="E450" s="815">
        <f t="shared" si="21"/>
        <v>100.7398137583275</v>
      </c>
    </row>
    <row r="451" spans="1:5" ht="13.2" x14ac:dyDescent="0.25">
      <c r="A451" s="711">
        <v>36503</v>
      </c>
      <c r="B451" s="814">
        <v>23.119199999999999</v>
      </c>
      <c r="C451" s="814">
        <v>274.44</v>
      </c>
      <c r="D451" s="710">
        <f t="shared" si="20"/>
        <v>76.01499309528505</v>
      </c>
      <c r="E451" s="815">
        <f t="shared" si="21"/>
        <v>101.01218300268688</v>
      </c>
    </row>
    <row r="452" spans="1:5" ht="13.2" x14ac:dyDescent="0.25">
      <c r="A452" s="711">
        <v>36504</v>
      </c>
      <c r="B452" s="814">
        <v>22.878399999999999</v>
      </c>
      <c r="C452" s="814">
        <v>273.18</v>
      </c>
      <c r="D452" s="710">
        <f t="shared" si="20"/>
        <v>75.223252449529824</v>
      </c>
      <c r="E452" s="815">
        <f t="shared" si="21"/>
        <v>100.54841915418309</v>
      </c>
    </row>
    <row r="453" spans="1:5" ht="13.2" x14ac:dyDescent="0.25">
      <c r="A453" s="711">
        <v>36507</v>
      </c>
      <c r="B453" s="814">
        <v>22.878399999999999</v>
      </c>
      <c r="C453" s="814">
        <v>269.58999999999997</v>
      </c>
      <c r="D453" s="710">
        <f t="shared" si="20"/>
        <v>75.223252449529824</v>
      </c>
      <c r="E453" s="815">
        <f t="shared" si="21"/>
        <v>99.227060252493644</v>
      </c>
    </row>
    <row r="454" spans="1:5" ht="13.2" x14ac:dyDescent="0.25">
      <c r="A454" s="711">
        <v>36508</v>
      </c>
      <c r="B454" s="814">
        <v>23.179500000000001</v>
      </c>
      <c r="C454" s="814">
        <v>269.2</v>
      </c>
      <c r="D454" s="710">
        <f t="shared" si="20"/>
        <v>76.213257052673114</v>
      </c>
      <c r="E454" s="815">
        <f t="shared" si="21"/>
        <v>99.083514299385328</v>
      </c>
    </row>
    <row r="455" spans="1:5" ht="13.2" x14ac:dyDescent="0.25">
      <c r="A455" s="711">
        <v>36509</v>
      </c>
      <c r="B455" s="814">
        <v>23.239699999999999</v>
      </c>
      <c r="C455" s="814">
        <v>272.19</v>
      </c>
      <c r="D455" s="710">
        <f t="shared" si="20"/>
        <v>76.411192214111907</v>
      </c>
      <c r="E455" s="815">
        <f t="shared" si="21"/>
        <v>100.18403327321579</v>
      </c>
    </row>
    <row r="456" spans="1:5" ht="13.2" x14ac:dyDescent="0.25">
      <c r="A456" s="711">
        <v>36510</v>
      </c>
      <c r="B456" s="814">
        <v>23.239699999999999</v>
      </c>
      <c r="C456" s="814">
        <v>270.52</v>
      </c>
      <c r="D456" s="710">
        <f t="shared" si="20"/>
        <v>76.411192214111907</v>
      </c>
      <c r="E456" s="815">
        <f t="shared" si="21"/>
        <v>99.56936214067504</v>
      </c>
    </row>
    <row r="457" spans="1:5" ht="13.2" x14ac:dyDescent="0.25">
      <c r="A457" s="711">
        <v>36511</v>
      </c>
      <c r="B457" s="814">
        <v>23.239699999999999</v>
      </c>
      <c r="C457" s="814">
        <v>274.27</v>
      </c>
      <c r="D457" s="710">
        <f t="shared" si="20"/>
        <v>76.411192214111907</v>
      </c>
      <c r="E457" s="815">
        <f t="shared" si="21"/>
        <v>100.9496116897935</v>
      </c>
    </row>
    <row r="458" spans="1:5" ht="13.2" x14ac:dyDescent="0.25">
      <c r="A458" s="711">
        <v>36514</v>
      </c>
      <c r="B458" s="814">
        <v>23.239699999999999</v>
      </c>
      <c r="C458" s="814">
        <v>273.83</v>
      </c>
      <c r="D458" s="710">
        <f t="shared" si="20"/>
        <v>76.411192214111907</v>
      </c>
      <c r="E458" s="815">
        <f t="shared" si="21"/>
        <v>100.78766240936361</v>
      </c>
    </row>
    <row r="459" spans="1:5" ht="13.2" x14ac:dyDescent="0.25">
      <c r="A459" s="711">
        <v>36515</v>
      </c>
      <c r="B459" s="814">
        <v>23.299900000000001</v>
      </c>
      <c r="C459" s="814">
        <v>277.10000000000002</v>
      </c>
      <c r="D459" s="710">
        <f t="shared" si="20"/>
        <v>76.609127375550727</v>
      </c>
      <c r="E459" s="815">
        <f t="shared" si="21"/>
        <v>101.99124001619492</v>
      </c>
    </row>
    <row r="460" spans="1:5" ht="13.2" x14ac:dyDescent="0.25">
      <c r="A460" s="711">
        <v>36516</v>
      </c>
      <c r="B460" s="814">
        <v>23.239699999999999</v>
      </c>
      <c r="C460" s="814">
        <v>277.42</v>
      </c>
      <c r="D460" s="710">
        <f t="shared" si="20"/>
        <v>76.411192214111907</v>
      </c>
      <c r="E460" s="815">
        <f t="shared" si="21"/>
        <v>102.10902131105304</v>
      </c>
    </row>
    <row r="461" spans="1:5" ht="13.2" x14ac:dyDescent="0.25">
      <c r="A461" s="711">
        <v>36517</v>
      </c>
      <c r="B461" s="814">
        <v>23.299900000000001</v>
      </c>
      <c r="C461" s="814">
        <v>281.20999999999998</v>
      </c>
      <c r="D461" s="710">
        <f t="shared" si="20"/>
        <v>76.609127375550727</v>
      </c>
      <c r="E461" s="815">
        <f t="shared" si="21"/>
        <v>103.50399352202876</v>
      </c>
    </row>
    <row r="462" spans="1:5" ht="13.2" x14ac:dyDescent="0.25">
      <c r="A462" s="711">
        <v>36521</v>
      </c>
      <c r="B462" s="814">
        <v>23.239699999999999</v>
      </c>
      <c r="C462" s="814">
        <v>282.56</v>
      </c>
      <c r="D462" s="710">
        <f t="shared" si="20"/>
        <v>76.411192214111907</v>
      </c>
      <c r="E462" s="815">
        <f t="shared" si="21"/>
        <v>104.00088335971142</v>
      </c>
    </row>
    <row r="463" spans="1:5" ht="13.2" x14ac:dyDescent="0.25">
      <c r="A463" s="711">
        <v>36522</v>
      </c>
      <c r="B463" s="814">
        <v>23.239699999999999</v>
      </c>
      <c r="C463" s="814">
        <v>283.01</v>
      </c>
      <c r="D463" s="710">
        <f t="shared" si="20"/>
        <v>76.411192214111907</v>
      </c>
      <c r="E463" s="815">
        <f t="shared" si="21"/>
        <v>104.16651330560565</v>
      </c>
    </row>
    <row r="464" spans="1:5" ht="13.2" x14ac:dyDescent="0.25">
      <c r="A464" s="711">
        <v>36523</v>
      </c>
      <c r="B464" s="814">
        <v>23.299900000000001</v>
      </c>
      <c r="C464" s="814">
        <v>281.60000000000002</v>
      </c>
      <c r="D464" s="710">
        <f t="shared" si="20"/>
        <v>76.609127375550727</v>
      </c>
      <c r="E464" s="815">
        <f t="shared" si="21"/>
        <v>103.64753947513712</v>
      </c>
    </row>
    <row r="465" spans="1:5" ht="13.2" x14ac:dyDescent="0.25">
      <c r="A465" s="711">
        <v>36524</v>
      </c>
      <c r="B465" s="814">
        <v>23.119199999999999</v>
      </c>
      <c r="C465" s="814">
        <v>283.62</v>
      </c>
      <c r="D465" s="710">
        <f t="shared" si="20"/>
        <v>76.01499309528505</v>
      </c>
      <c r="E465" s="815">
        <f t="shared" si="21"/>
        <v>104.39103389892892</v>
      </c>
    </row>
    <row r="466" spans="1:5" ht="13.2" x14ac:dyDescent="0.25">
      <c r="A466" s="711">
        <v>36525</v>
      </c>
      <c r="B466" s="814">
        <v>23.059000000000001</v>
      </c>
      <c r="C466" s="814">
        <v>283.36</v>
      </c>
      <c r="D466" s="710">
        <f t="shared" si="20"/>
        <v>75.817057933846257</v>
      </c>
      <c r="E466" s="815">
        <f t="shared" si="21"/>
        <v>104.29533659685673</v>
      </c>
    </row>
    <row r="467" spans="1:5" ht="13.2" x14ac:dyDescent="0.25">
      <c r="A467" s="711">
        <v>36528</v>
      </c>
      <c r="B467" s="814">
        <v>22.637599999999999</v>
      </c>
      <c r="C467" s="814">
        <v>276.70999999999998</v>
      </c>
      <c r="D467" s="710">
        <f t="shared" si="20"/>
        <v>74.431511803774569</v>
      </c>
      <c r="E467" s="815">
        <f t="shared" si="21"/>
        <v>101.84769406308661</v>
      </c>
    </row>
    <row r="468" spans="1:5" ht="13.2" x14ac:dyDescent="0.25">
      <c r="A468" s="711">
        <v>36529</v>
      </c>
      <c r="B468" s="814">
        <v>22.757999999999999</v>
      </c>
      <c r="C468" s="814">
        <v>278.51</v>
      </c>
      <c r="D468" s="710">
        <f t="shared" si="20"/>
        <v>74.827382126652196</v>
      </c>
      <c r="E468" s="815">
        <f t="shared" si="21"/>
        <v>102.51021384666348</v>
      </c>
    </row>
    <row r="469" spans="1:5" ht="13.2" x14ac:dyDescent="0.25">
      <c r="A469" s="711">
        <v>36530</v>
      </c>
      <c r="B469" s="814">
        <v>23.661100000000001</v>
      </c>
      <c r="C469" s="814">
        <v>289.11</v>
      </c>
      <c r="D469" s="710">
        <f t="shared" si="20"/>
        <v>77.796738344183609</v>
      </c>
      <c r="E469" s="815">
        <f t="shared" si="21"/>
        <v>106.41171923883839</v>
      </c>
    </row>
    <row r="470" spans="1:5" ht="13.2" x14ac:dyDescent="0.25">
      <c r="A470" s="711">
        <v>36531</v>
      </c>
      <c r="B470" s="814">
        <v>23.661100000000001</v>
      </c>
      <c r="C470" s="814">
        <v>292.64</v>
      </c>
      <c r="D470" s="710">
        <f t="shared" si="20"/>
        <v>77.796738344183609</v>
      </c>
      <c r="E470" s="815">
        <f t="shared" si="21"/>
        <v>107.7109941477419</v>
      </c>
    </row>
    <row r="471" spans="1:5" ht="13.2" x14ac:dyDescent="0.25">
      <c r="A471" s="711">
        <v>36532</v>
      </c>
      <c r="B471" s="814">
        <v>23.841699999999999</v>
      </c>
      <c r="C471" s="814">
        <v>297.77999999999997</v>
      </c>
      <c r="D471" s="710">
        <f t="shared" si="20"/>
        <v>78.390543828500029</v>
      </c>
      <c r="E471" s="815">
        <f t="shared" si="21"/>
        <v>109.6028561964003</v>
      </c>
    </row>
    <row r="472" spans="1:5" ht="13.2" x14ac:dyDescent="0.25">
      <c r="A472" s="711">
        <v>36535</v>
      </c>
      <c r="B472" s="814">
        <v>23.841699999999999</v>
      </c>
      <c r="C472" s="814">
        <v>296.37</v>
      </c>
      <c r="D472" s="710">
        <f t="shared" si="20"/>
        <v>78.390543828500029</v>
      </c>
      <c r="E472" s="815">
        <f t="shared" si="21"/>
        <v>109.08388236593176</v>
      </c>
    </row>
    <row r="473" spans="1:5" ht="13.2" x14ac:dyDescent="0.25">
      <c r="A473" s="711">
        <v>36536</v>
      </c>
      <c r="B473" s="814">
        <v>23.721299999999999</v>
      </c>
      <c r="C473" s="814">
        <v>294.37</v>
      </c>
      <c r="D473" s="710">
        <f t="shared" si="20"/>
        <v>77.994673505622401</v>
      </c>
      <c r="E473" s="815">
        <f t="shared" si="21"/>
        <v>108.34774927306859</v>
      </c>
    </row>
    <row r="474" spans="1:5" ht="13.2" x14ac:dyDescent="0.25">
      <c r="A474" s="711">
        <v>36537</v>
      </c>
      <c r="B474" s="814">
        <v>23.721299999999999</v>
      </c>
      <c r="C474" s="814">
        <v>298.23</v>
      </c>
      <c r="D474" s="710">
        <f t="shared" si="20"/>
        <v>77.994673505622401</v>
      </c>
      <c r="E474" s="815">
        <f t="shared" si="21"/>
        <v>109.76848614229453</v>
      </c>
    </row>
    <row r="475" spans="1:5" ht="13.2" x14ac:dyDescent="0.25">
      <c r="A475" s="711">
        <v>36538</v>
      </c>
      <c r="B475" s="814">
        <v>23.540700000000001</v>
      </c>
      <c r="C475" s="814">
        <v>299.8</v>
      </c>
      <c r="D475" s="710">
        <f t="shared" si="20"/>
        <v>77.400868021305982</v>
      </c>
      <c r="E475" s="815">
        <f t="shared" si="21"/>
        <v>110.34635062019214</v>
      </c>
    </row>
    <row r="476" spans="1:5" ht="13.2" x14ac:dyDescent="0.25">
      <c r="A476" s="711">
        <v>36539</v>
      </c>
      <c r="B476" s="814">
        <v>23.239699999999999</v>
      </c>
      <c r="C476" s="814">
        <v>302.24</v>
      </c>
      <c r="D476" s="710">
        <f t="shared" si="20"/>
        <v>76.411192214111907</v>
      </c>
      <c r="E476" s="815">
        <f t="shared" si="21"/>
        <v>111.24443299348523</v>
      </c>
    </row>
    <row r="477" spans="1:5" ht="13.2" x14ac:dyDescent="0.25">
      <c r="A477" s="711">
        <v>36543</v>
      </c>
      <c r="B477" s="814">
        <v>23.239699999999999</v>
      </c>
      <c r="C477" s="814">
        <v>299.29000000000002</v>
      </c>
      <c r="D477" s="710">
        <f t="shared" si="20"/>
        <v>76.411192214111907</v>
      </c>
      <c r="E477" s="815">
        <f t="shared" si="21"/>
        <v>110.15863668151202</v>
      </c>
    </row>
    <row r="478" spans="1:5" ht="13.2" x14ac:dyDescent="0.25">
      <c r="A478" s="711">
        <v>36544</v>
      </c>
      <c r="B478" s="814">
        <v>23.540700000000001</v>
      </c>
      <c r="C478" s="814">
        <v>301.54000000000002</v>
      </c>
      <c r="D478" s="710">
        <f t="shared" si="20"/>
        <v>77.400868021305982</v>
      </c>
      <c r="E478" s="815">
        <f t="shared" si="21"/>
        <v>110.98678641098311</v>
      </c>
    </row>
    <row r="479" spans="1:5" ht="13.2" x14ac:dyDescent="0.25">
      <c r="A479" s="711">
        <v>36545</v>
      </c>
      <c r="B479" s="814">
        <v>23.661100000000001</v>
      </c>
      <c r="C479" s="814">
        <v>308.82</v>
      </c>
      <c r="D479" s="710">
        <f t="shared" si="20"/>
        <v>77.796738344183609</v>
      </c>
      <c r="E479" s="815">
        <f t="shared" si="21"/>
        <v>113.66631086900512</v>
      </c>
    </row>
    <row r="480" spans="1:5" ht="13.2" x14ac:dyDescent="0.25">
      <c r="A480" s="711">
        <v>36546</v>
      </c>
      <c r="B480" s="814">
        <v>23.841699999999999</v>
      </c>
      <c r="C480" s="814">
        <v>315.08999999999997</v>
      </c>
      <c r="D480" s="710">
        <f t="shared" si="20"/>
        <v>78.390543828500029</v>
      </c>
      <c r="E480" s="815">
        <f t="shared" si="21"/>
        <v>115.97408811513121</v>
      </c>
    </row>
    <row r="481" spans="1:5" ht="13.2" x14ac:dyDescent="0.25">
      <c r="A481" s="711">
        <v>36549</v>
      </c>
      <c r="B481" s="814">
        <v>24.082599999999999</v>
      </c>
      <c r="C481" s="814">
        <v>312.26</v>
      </c>
      <c r="D481" s="710">
        <f t="shared" si="20"/>
        <v>79.182613270204499</v>
      </c>
      <c r="E481" s="815">
        <f t="shared" si="21"/>
        <v>114.93245978872979</v>
      </c>
    </row>
    <row r="482" spans="1:5" ht="13.2" x14ac:dyDescent="0.25">
      <c r="A482" s="711">
        <v>36550</v>
      </c>
      <c r="B482" s="814">
        <v>23.901900000000001</v>
      </c>
      <c r="C482" s="814">
        <v>305.87</v>
      </c>
      <c r="D482" s="710">
        <f t="shared" si="20"/>
        <v>78.588478989938849</v>
      </c>
      <c r="E482" s="815">
        <f t="shared" si="21"/>
        <v>112.5805145570319</v>
      </c>
    </row>
    <row r="483" spans="1:5" ht="13.2" x14ac:dyDescent="0.25">
      <c r="A483" s="711">
        <v>36551</v>
      </c>
      <c r="B483" s="814">
        <v>24.022300000000001</v>
      </c>
      <c r="C483" s="814">
        <v>310.33</v>
      </c>
      <c r="D483" s="710">
        <f t="shared" si="20"/>
        <v>78.984349312816477</v>
      </c>
      <c r="E483" s="815">
        <f t="shared" si="21"/>
        <v>114.22209135411683</v>
      </c>
    </row>
    <row r="484" spans="1:5" ht="13.2" x14ac:dyDescent="0.25">
      <c r="A484" s="711">
        <v>36552</v>
      </c>
      <c r="B484" s="814">
        <v>24.125</v>
      </c>
      <c r="C484" s="814">
        <v>310.81</v>
      </c>
      <c r="D484" s="710">
        <f t="shared" si="20"/>
        <v>79.322022752679686</v>
      </c>
      <c r="E484" s="815">
        <f t="shared" si="21"/>
        <v>114.398763296404</v>
      </c>
    </row>
    <row r="485" spans="1:5" ht="13.2" x14ac:dyDescent="0.25">
      <c r="A485" s="711">
        <v>36553</v>
      </c>
      <c r="B485" s="814">
        <v>23.5625</v>
      </c>
      <c r="C485" s="814">
        <v>306.58</v>
      </c>
      <c r="D485" s="710">
        <f t="shared" si="20"/>
        <v>77.472545538238961</v>
      </c>
      <c r="E485" s="815">
        <f t="shared" si="21"/>
        <v>112.84184180499834</v>
      </c>
    </row>
    <row r="486" spans="1:5" ht="13.2" x14ac:dyDescent="0.25">
      <c r="A486" s="711">
        <v>36556</v>
      </c>
      <c r="B486" s="814">
        <v>24.875</v>
      </c>
      <c r="C486" s="814">
        <v>315.14</v>
      </c>
      <c r="D486" s="710">
        <f t="shared" si="20"/>
        <v>81.787992371933967</v>
      </c>
      <c r="E486" s="815">
        <f t="shared" si="21"/>
        <v>115.99249144245279</v>
      </c>
    </row>
    <row r="487" spans="1:5" ht="13.2" x14ac:dyDescent="0.25">
      <c r="A487" s="711">
        <v>36557</v>
      </c>
      <c r="B487" s="814">
        <v>25</v>
      </c>
      <c r="C487" s="814">
        <v>312.95</v>
      </c>
      <c r="D487" s="710">
        <f t="shared" si="20"/>
        <v>82.198987308476362</v>
      </c>
      <c r="E487" s="815">
        <f t="shared" si="21"/>
        <v>115.1864257057676</v>
      </c>
    </row>
    <row r="488" spans="1:5" ht="13.2" x14ac:dyDescent="0.25">
      <c r="A488" s="711">
        <v>36558</v>
      </c>
      <c r="B488" s="814">
        <v>25</v>
      </c>
      <c r="C488" s="814">
        <v>311.41000000000003</v>
      </c>
      <c r="D488" s="710">
        <f t="shared" si="20"/>
        <v>82.198987308476362</v>
      </c>
      <c r="E488" s="815">
        <f t="shared" si="21"/>
        <v>114.61960322426296</v>
      </c>
    </row>
    <row r="489" spans="1:5" ht="13.2" x14ac:dyDescent="0.25">
      <c r="A489" s="711">
        <v>36559</v>
      </c>
      <c r="B489" s="814">
        <v>25.4375</v>
      </c>
      <c r="C489" s="814">
        <v>315.61</v>
      </c>
      <c r="D489" s="710">
        <f t="shared" si="20"/>
        <v>83.637469586374692</v>
      </c>
      <c r="E489" s="815">
        <f t="shared" si="21"/>
        <v>116.16548271927564</v>
      </c>
    </row>
    <row r="490" spans="1:5" ht="13.2" x14ac:dyDescent="0.25">
      <c r="A490" s="711">
        <v>36560</v>
      </c>
      <c r="B490" s="814">
        <v>24.8125</v>
      </c>
      <c r="C490" s="814">
        <v>309.3</v>
      </c>
      <c r="D490" s="710">
        <f t="shared" si="20"/>
        <v>81.582494903662777</v>
      </c>
      <c r="E490" s="815">
        <f t="shared" si="21"/>
        <v>113.84298281129229</v>
      </c>
    </row>
    <row r="491" spans="1:5" ht="13.2" x14ac:dyDescent="0.25">
      <c r="A491" s="711">
        <v>36563</v>
      </c>
      <c r="B491" s="814">
        <v>24.5</v>
      </c>
      <c r="C491" s="814">
        <v>306.91000000000003</v>
      </c>
      <c r="D491" s="710">
        <f t="shared" si="20"/>
        <v>80.555007562306827</v>
      </c>
      <c r="E491" s="815">
        <f t="shared" si="21"/>
        <v>112.96330376532077</v>
      </c>
    </row>
    <row r="492" spans="1:5" ht="13.2" x14ac:dyDescent="0.25">
      <c r="A492" s="711">
        <v>36564</v>
      </c>
      <c r="B492" s="814">
        <v>24.8125</v>
      </c>
      <c r="C492" s="814">
        <v>311.31</v>
      </c>
      <c r="D492" s="710">
        <f t="shared" si="20"/>
        <v>81.582494903662777</v>
      </c>
      <c r="E492" s="815">
        <f t="shared" si="21"/>
        <v>114.58279656961979</v>
      </c>
    </row>
    <row r="493" spans="1:5" ht="13.2" x14ac:dyDescent="0.25">
      <c r="A493" s="711">
        <v>36565</v>
      </c>
      <c r="B493" s="814">
        <v>24.5625</v>
      </c>
      <c r="C493" s="814">
        <v>309.43</v>
      </c>
      <c r="D493" s="710">
        <f t="shared" si="20"/>
        <v>80.760505030578017</v>
      </c>
      <c r="E493" s="815">
        <f t="shared" si="21"/>
        <v>113.89083146232839</v>
      </c>
    </row>
    <row r="494" spans="1:5" ht="13.2" x14ac:dyDescent="0.25">
      <c r="A494" s="711">
        <v>36566</v>
      </c>
      <c r="B494" s="814">
        <v>24.3125</v>
      </c>
      <c r="C494" s="814">
        <v>308.08999999999997</v>
      </c>
      <c r="D494" s="710">
        <f t="shared" si="20"/>
        <v>79.938515157493256</v>
      </c>
      <c r="E494" s="815">
        <f t="shared" si="21"/>
        <v>113.39762229011004</v>
      </c>
    </row>
    <row r="495" spans="1:5" ht="13.2" x14ac:dyDescent="0.25">
      <c r="A495" s="711">
        <v>36567</v>
      </c>
      <c r="B495" s="814">
        <v>24.25</v>
      </c>
      <c r="C495" s="814">
        <v>305.97000000000003</v>
      </c>
      <c r="D495" s="710">
        <f t="shared" si="20"/>
        <v>79.733017689222066</v>
      </c>
      <c r="E495" s="815">
        <f t="shared" si="21"/>
        <v>112.61732121167509</v>
      </c>
    </row>
    <row r="496" spans="1:5" ht="13.2" x14ac:dyDescent="0.25">
      <c r="A496" s="711">
        <v>36570</v>
      </c>
      <c r="B496" s="814">
        <v>23.9375</v>
      </c>
      <c r="C496" s="814">
        <v>307.05</v>
      </c>
      <c r="D496" s="710">
        <f t="shared" si="20"/>
        <v>78.705530347866116</v>
      </c>
      <c r="E496" s="815">
        <f t="shared" si="21"/>
        <v>113.01483308182121</v>
      </c>
    </row>
    <row r="497" spans="1:5" ht="13.2" x14ac:dyDescent="0.25">
      <c r="A497" s="711">
        <v>36571</v>
      </c>
      <c r="B497" s="814">
        <v>23.8125</v>
      </c>
      <c r="C497" s="814">
        <v>307.42</v>
      </c>
      <c r="D497" s="710">
        <f t="shared" si="20"/>
        <v>78.294535411323736</v>
      </c>
      <c r="E497" s="815">
        <f t="shared" si="21"/>
        <v>113.15101770400089</v>
      </c>
    </row>
    <row r="498" spans="1:5" ht="13.2" x14ac:dyDescent="0.25">
      <c r="A498" s="711">
        <v>36572</v>
      </c>
      <c r="B498" s="814">
        <v>23.9375</v>
      </c>
      <c r="C498" s="814">
        <v>306.11</v>
      </c>
      <c r="D498" s="710">
        <f t="shared" si="20"/>
        <v>78.705530347866116</v>
      </c>
      <c r="E498" s="815">
        <f t="shared" si="21"/>
        <v>112.6688505281755</v>
      </c>
    </row>
    <row r="499" spans="1:5" ht="13.2" x14ac:dyDescent="0.25">
      <c r="A499" s="711">
        <v>36573</v>
      </c>
      <c r="B499" s="814">
        <v>23.5</v>
      </c>
      <c r="C499" s="814">
        <v>303.99</v>
      </c>
      <c r="D499" s="710">
        <f t="shared" si="20"/>
        <v>77.267048069967771</v>
      </c>
      <c r="E499" s="815">
        <f t="shared" si="21"/>
        <v>111.88854944974051</v>
      </c>
    </row>
    <row r="500" spans="1:5" ht="13.2" x14ac:dyDescent="0.25">
      <c r="A500" s="711">
        <v>36574</v>
      </c>
      <c r="B500" s="814">
        <v>22.9375</v>
      </c>
      <c r="C500" s="814">
        <v>298.86</v>
      </c>
      <c r="D500" s="710">
        <f t="shared" si="20"/>
        <v>75.41757085552706</v>
      </c>
      <c r="E500" s="815">
        <f t="shared" si="21"/>
        <v>110.00036806654643</v>
      </c>
    </row>
    <row r="501" spans="1:5" ht="13.2" x14ac:dyDescent="0.25">
      <c r="A501" s="711">
        <v>36578</v>
      </c>
      <c r="B501" s="814">
        <v>22.625</v>
      </c>
      <c r="C501" s="814">
        <v>295.89999999999998</v>
      </c>
      <c r="D501" s="710">
        <f t="shared" si="20"/>
        <v>74.390083514171096</v>
      </c>
      <c r="E501" s="815">
        <f t="shared" si="21"/>
        <v>108.9108910891089</v>
      </c>
    </row>
    <row r="502" spans="1:5" ht="13.2" x14ac:dyDescent="0.25">
      <c r="A502" s="711">
        <v>36579</v>
      </c>
      <c r="B502" s="814">
        <v>22.375</v>
      </c>
      <c r="C502" s="814">
        <v>293.52</v>
      </c>
      <c r="D502" s="710">
        <f t="shared" si="20"/>
        <v>73.568093641086335</v>
      </c>
      <c r="E502" s="815">
        <f t="shared" si="21"/>
        <v>108.03489270860172</v>
      </c>
    </row>
    <row r="503" spans="1:5" ht="13.2" x14ac:dyDescent="0.25">
      <c r="A503" s="711">
        <v>36580</v>
      </c>
      <c r="B503" s="814">
        <v>21.3125</v>
      </c>
      <c r="C503" s="814">
        <v>285.52999999999997</v>
      </c>
      <c r="D503" s="710">
        <f t="shared" si="20"/>
        <v>70.07463668047609</v>
      </c>
      <c r="E503" s="815">
        <f t="shared" si="21"/>
        <v>105.09404100261325</v>
      </c>
    </row>
    <row r="504" spans="1:5" ht="13.2" x14ac:dyDescent="0.25">
      <c r="A504" s="711">
        <v>36581</v>
      </c>
      <c r="B504" s="814">
        <v>21</v>
      </c>
      <c r="C504" s="814">
        <v>279.99</v>
      </c>
      <c r="D504" s="710">
        <f t="shared" ref="D504:D510" si="22">+(B504/$B$2)*$D$2</f>
        <v>69.047149339120139</v>
      </c>
      <c r="E504" s="815">
        <f t="shared" ref="E504:E510" si="23">+(C504/$C$2)*$E$2</f>
        <v>103.05495233538224</v>
      </c>
    </row>
    <row r="505" spans="1:5" ht="13.2" x14ac:dyDescent="0.25">
      <c r="A505" s="711">
        <v>36584</v>
      </c>
      <c r="B505" s="814">
        <v>21.375</v>
      </c>
      <c r="C505" s="814">
        <v>288.14999999999998</v>
      </c>
      <c r="D505" s="710">
        <f t="shared" si="22"/>
        <v>70.28013414874728</v>
      </c>
      <c r="E505" s="815">
        <f t="shared" si="23"/>
        <v>106.05837535426403</v>
      </c>
    </row>
    <row r="506" spans="1:5" ht="13.2" x14ac:dyDescent="0.25">
      <c r="A506" s="711">
        <v>36585</v>
      </c>
      <c r="B506" s="814">
        <v>21.375</v>
      </c>
      <c r="C506" s="814">
        <v>288.48</v>
      </c>
      <c r="D506" s="710">
        <f t="shared" si="22"/>
        <v>70.28013414874728</v>
      </c>
      <c r="E506" s="815">
        <f t="shared" si="23"/>
        <v>106.17983731458649</v>
      </c>
    </row>
    <row r="507" spans="1:5" ht="13.2" x14ac:dyDescent="0.25">
      <c r="A507" s="711">
        <v>36586</v>
      </c>
      <c r="B507" s="814">
        <v>21.0625</v>
      </c>
      <c r="C507" s="814">
        <v>287.38</v>
      </c>
      <c r="D507" s="710">
        <f t="shared" si="22"/>
        <v>69.252646807391329</v>
      </c>
      <c r="E507" s="815">
        <f t="shared" si="23"/>
        <v>105.77496411351173</v>
      </c>
    </row>
    <row r="508" spans="1:5" ht="13.2" x14ac:dyDescent="0.25">
      <c r="A508" s="711">
        <v>36587</v>
      </c>
      <c r="B508" s="814">
        <v>21.0625</v>
      </c>
      <c r="C508" s="814">
        <v>287.98</v>
      </c>
      <c r="D508" s="710">
        <f t="shared" si="22"/>
        <v>69.252646807391329</v>
      </c>
      <c r="E508" s="815">
        <f t="shared" si="23"/>
        <v>105.99580404137068</v>
      </c>
    </row>
    <row r="509" spans="1:5" ht="13.2" x14ac:dyDescent="0.25">
      <c r="A509" s="711">
        <v>36588</v>
      </c>
      <c r="B509" s="814">
        <v>21.4375</v>
      </c>
      <c r="C509" s="814">
        <v>290.2</v>
      </c>
      <c r="D509" s="710">
        <f t="shared" si="22"/>
        <v>70.48563161701847</v>
      </c>
      <c r="E509" s="815">
        <f t="shared" si="23"/>
        <v>106.81291177444882</v>
      </c>
    </row>
    <row r="510" spans="1:5" ht="13.2" x14ac:dyDescent="0.25">
      <c r="A510" s="711">
        <v>36591</v>
      </c>
      <c r="B510" s="814">
        <v>20.875</v>
      </c>
      <c r="C510" s="814">
        <v>280.8</v>
      </c>
      <c r="D510" s="710">
        <f t="shared" si="22"/>
        <v>68.636154402577759</v>
      </c>
      <c r="E510" s="815">
        <f t="shared" si="23"/>
        <v>103.35308623799185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Z504"/>
  <sheetViews>
    <sheetView view="pageBreakPreview" zoomScale="70" zoomScaleNormal="75" zoomScaleSheetLayoutView="70" workbookViewId="0">
      <pane xSplit="5" ySplit="6" topLeftCell="F79" activePane="bottomRight" state="frozen"/>
      <selection activeCell="D6" sqref="D6"/>
      <selection pane="topRight" activeCell="D6" sqref="D6"/>
      <selection pane="bottomLeft" activeCell="D6" sqref="D6"/>
      <selection pane="bottomRight" activeCell="P112" sqref="P112"/>
    </sheetView>
  </sheetViews>
  <sheetFormatPr defaultRowHeight="13.2" x14ac:dyDescent="0.25"/>
  <cols>
    <col min="1" max="4" width="3.6640625" customWidth="1"/>
    <col min="5" max="5" width="19.109375" customWidth="1"/>
    <col min="6" max="6" width="17.109375" customWidth="1"/>
    <col min="7" max="7" width="13.6640625" bestFit="1" customWidth="1"/>
    <col min="8" max="8" width="13.44140625" bestFit="1" customWidth="1"/>
    <col min="9" max="9" width="13.6640625" bestFit="1" customWidth="1"/>
    <col min="10" max="10" width="13.44140625" bestFit="1" customWidth="1"/>
    <col min="11" max="12" width="14.44140625" customWidth="1"/>
    <col min="13" max="13" width="12" style="5" customWidth="1"/>
    <col min="14" max="14" width="14.88671875" style="5" customWidth="1"/>
    <col min="15" max="15" width="12" style="5" bestFit="1" customWidth="1"/>
    <col min="16" max="16" width="12" bestFit="1" customWidth="1"/>
    <col min="18" max="18" width="13.33203125" bestFit="1" customWidth="1"/>
    <col min="19" max="19" width="13.6640625" bestFit="1" customWidth="1"/>
    <col min="20" max="20" width="12.5546875" bestFit="1" customWidth="1"/>
    <col min="21" max="21" width="13.44140625" bestFit="1" customWidth="1"/>
    <col min="22" max="23" width="13.44140625" customWidth="1"/>
    <col min="24" max="24" width="13.6640625" style="5" customWidth="1"/>
    <col min="25" max="25" width="10.5546875" style="5" customWidth="1"/>
    <col min="26" max="26" width="12.109375" style="5" bestFit="1" customWidth="1"/>
    <col min="27" max="27" width="11.44140625" style="5" bestFit="1" customWidth="1"/>
    <col min="28" max="28" width="10.33203125" bestFit="1" customWidth="1"/>
    <col min="29" max="29" width="10.33203125" customWidth="1"/>
    <col min="30" max="30" width="12.33203125" bestFit="1" customWidth="1"/>
    <col min="31" max="31" width="11.33203125" bestFit="1" customWidth="1"/>
    <col min="32" max="33" width="12.33203125" bestFit="1" customWidth="1"/>
    <col min="34" max="35" width="12.33203125" customWidth="1"/>
    <col min="36" max="36" width="11.88671875" customWidth="1"/>
    <col min="37" max="37" width="10.5546875" customWidth="1"/>
    <col min="38" max="38" width="11" customWidth="1"/>
    <col min="39" max="39" width="11.44140625" hidden="1" customWidth="1"/>
    <col min="40" max="40" width="10.33203125" hidden="1" customWidth="1"/>
    <col min="41" max="41" width="0.109375" customWidth="1"/>
    <col min="42" max="42" width="10.33203125" customWidth="1"/>
    <col min="43" max="43" width="9.6640625" customWidth="1"/>
    <col min="44" max="44" width="11.5546875" style="5" bestFit="1" customWidth="1"/>
    <col min="45" max="45" width="11.5546875" bestFit="1" customWidth="1"/>
    <col min="46" max="46" width="11.88671875" bestFit="1" customWidth="1"/>
    <col min="47" max="47" width="11.5546875" bestFit="1" customWidth="1"/>
    <col min="48" max="48" width="11.88671875" bestFit="1" customWidth="1"/>
  </cols>
  <sheetData>
    <row r="1" spans="1:63" ht="15.6" x14ac:dyDescent="0.3">
      <c r="A1" s="2" t="s">
        <v>155</v>
      </c>
    </row>
    <row r="2" spans="1:63" x14ac:dyDescent="0.25">
      <c r="A2" s="1" t="s">
        <v>77</v>
      </c>
    </row>
    <row r="3" spans="1:63" x14ac:dyDescent="0.25">
      <c r="A3" t="s">
        <v>17</v>
      </c>
    </row>
    <row r="4" spans="1:63" s="88" customFormat="1" ht="15.6" x14ac:dyDescent="0.3">
      <c r="G4" s="950" t="s">
        <v>156</v>
      </c>
      <c r="H4" s="950"/>
      <c r="I4" s="950"/>
      <c r="J4" s="950"/>
      <c r="K4" s="185"/>
      <c r="L4" s="185"/>
      <c r="M4" s="185"/>
      <c r="N4" s="185"/>
      <c r="O4" s="185"/>
      <c r="R4" s="950" t="s">
        <v>157</v>
      </c>
      <c r="S4" s="950"/>
      <c r="T4" s="950"/>
      <c r="U4" s="950"/>
      <c r="V4" s="185"/>
      <c r="W4" s="185"/>
      <c r="X4" s="185"/>
      <c r="Y4" s="185"/>
      <c r="Z4" s="185"/>
      <c r="AA4" s="185"/>
      <c r="AC4"/>
      <c r="AD4"/>
      <c r="AE4"/>
      <c r="AF4"/>
      <c r="AG4"/>
      <c r="AH4"/>
      <c r="AI4"/>
      <c r="AJ4"/>
      <c r="AK4"/>
      <c r="AL4"/>
      <c r="AM4"/>
      <c r="AN4"/>
      <c r="AO4"/>
      <c r="AR4" s="950"/>
      <c r="AS4" s="950"/>
      <c r="AT4" s="950"/>
    </row>
    <row r="5" spans="1:63" x14ac:dyDescent="0.25">
      <c r="M5" s="15" t="s">
        <v>14</v>
      </c>
      <c r="N5" s="55" t="s">
        <v>136</v>
      </c>
      <c r="O5" s="15"/>
      <c r="X5" s="15" t="s">
        <v>14</v>
      </c>
      <c r="Y5" s="55" t="s">
        <v>136</v>
      </c>
      <c r="Z5" s="15"/>
      <c r="AA5" s="15"/>
      <c r="AR5" s="15" t="s">
        <v>15</v>
      </c>
      <c r="AT5" s="6" t="s">
        <v>14</v>
      </c>
    </row>
    <row r="6" spans="1:63" x14ac:dyDescent="0.25">
      <c r="A6" s="1"/>
      <c r="G6" s="12">
        <v>1995</v>
      </c>
      <c r="H6" s="12">
        <f>G6+1</f>
        <v>1996</v>
      </c>
      <c r="I6" s="12">
        <f>H6+1</f>
        <v>1997</v>
      </c>
      <c r="J6" s="12">
        <v>1998</v>
      </c>
      <c r="K6" s="12" t="s">
        <v>528</v>
      </c>
      <c r="L6" s="12" t="s">
        <v>167</v>
      </c>
      <c r="M6" s="12">
        <v>1999</v>
      </c>
      <c r="N6" s="97" t="s">
        <v>137</v>
      </c>
      <c r="O6" s="12">
        <v>1999</v>
      </c>
      <c r="P6" s="12">
        <v>2000</v>
      </c>
      <c r="Q6" s="12"/>
      <c r="R6" s="12">
        <v>1995</v>
      </c>
      <c r="S6" s="12">
        <f>R6+1</f>
        <v>1996</v>
      </c>
      <c r="T6" s="12">
        <f>S6+1</f>
        <v>1997</v>
      </c>
      <c r="U6" s="12">
        <v>1998</v>
      </c>
      <c r="V6" s="12" t="s">
        <v>168</v>
      </c>
      <c r="W6" s="12" t="s">
        <v>167</v>
      </c>
      <c r="X6" s="12">
        <v>1999</v>
      </c>
      <c r="Y6" s="97" t="s">
        <v>137</v>
      </c>
      <c r="Z6" s="12">
        <v>1999</v>
      </c>
      <c r="AA6" s="12">
        <v>2000</v>
      </c>
      <c r="AB6" s="13"/>
      <c r="AP6" s="13"/>
      <c r="AQ6" s="7" t="s">
        <v>19</v>
      </c>
      <c r="AR6" s="12">
        <v>1997</v>
      </c>
      <c r="AS6" s="12">
        <v>1998</v>
      </c>
      <c r="AT6" s="12">
        <v>1999</v>
      </c>
      <c r="AU6" s="12">
        <v>1999</v>
      </c>
      <c r="AV6" s="12">
        <v>2000</v>
      </c>
    </row>
    <row r="7" spans="1:63" ht="8.25" customHeight="1" x14ac:dyDescent="0.25">
      <c r="J7" t="s">
        <v>64</v>
      </c>
      <c r="N7" s="102"/>
      <c r="Y7" s="102"/>
    </row>
    <row r="8" spans="1:63" x14ac:dyDescent="0.25">
      <c r="A8" s="1" t="s">
        <v>71</v>
      </c>
      <c r="N8" s="95"/>
      <c r="Y8" s="95"/>
      <c r="AB8" s="135"/>
      <c r="AP8" s="135"/>
    </row>
    <row r="9" spans="1:63" x14ac:dyDescent="0.25">
      <c r="A9" t="s">
        <v>9</v>
      </c>
      <c r="G9" s="37">
        <v>473.17001900000002</v>
      </c>
      <c r="H9" s="37">
        <v>488.61352099999999</v>
      </c>
      <c r="I9" s="37">
        <v>447.18060600000001</v>
      </c>
      <c r="J9" s="37">
        <v>489.08178400000003</v>
      </c>
      <c r="K9" s="37"/>
      <c r="L9" s="37"/>
      <c r="M9" s="38">
        <f>J9/J$16*M$16</f>
        <v>595.8703959869564</v>
      </c>
      <c r="N9" s="142"/>
      <c r="O9" s="38">
        <f>(O42+O43)*O28/1000</f>
        <v>444.20645854155725</v>
      </c>
      <c r="P9" s="38">
        <f>(P42+P43)*P28/1000</f>
        <v>439.99744544951517</v>
      </c>
      <c r="Q9" s="133"/>
      <c r="R9" s="37">
        <v>418.93573400000002</v>
      </c>
      <c r="S9" s="37">
        <v>431.519385</v>
      </c>
      <c r="T9" s="37">
        <v>464.52001999999999</v>
      </c>
      <c r="U9" s="37">
        <v>470.15200399999998</v>
      </c>
      <c r="V9" s="37"/>
      <c r="W9" s="37"/>
      <c r="X9" s="38">
        <f t="shared" ref="X9:X15" si="0">U9/$U$16*$X$16</f>
        <v>476.82949198788549</v>
      </c>
      <c r="Y9" s="95"/>
      <c r="Z9" s="38">
        <f t="shared" ref="Z9:AA13" si="1">(Z42+Z43)*Z28/1000</f>
        <v>420.42975617228331</v>
      </c>
      <c r="AA9" s="38">
        <f t="shared" si="1"/>
        <v>410.89093301131038</v>
      </c>
      <c r="AB9" s="95"/>
      <c r="AP9" s="95"/>
      <c r="AQ9" s="37"/>
      <c r="AR9" s="38">
        <f t="shared" ref="AR9:AR15" si="2">T9+I9+AQ9+AF9</f>
        <v>911.70062600000006</v>
      </c>
      <c r="AS9" s="38">
        <f t="shared" ref="AS9:AS15" si="3">U9+J9+AG9</f>
        <v>959.233788</v>
      </c>
      <c r="AT9" s="38">
        <f t="shared" ref="AT9:AT15" si="4">X9+M9+AJ9</f>
        <v>1072.6998879748419</v>
      </c>
      <c r="AU9" s="38">
        <f t="shared" ref="AU9:AV15" si="5">O9+Z9+AL9</f>
        <v>864.63621471384056</v>
      </c>
      <c r="AV9" s="38">
        <f t="shared" si="5"/>
        <v>850.88837846082561</v>
      </c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</row>
    <row r="10" spans="1:63" x14ac:dyDescent="0.25">
      <c r="A10" t="s">
        <v>158</v>
      </c>
      <c r="G10" s="14">
        <v>335.95765299999999</v>
      </c>
      <c r="H10" s="14">
        <v>341.18091600000002</v>
      </c>
      <c r="I10" s="14">
        <v>336.37030099999998</v>
      </c>
      <c r="J10" s="14">
        <v>354.39302700000002</v>
      </c>
      <c r="K10" s="14"/>
      <c r="L10" s="14"/>
      <c r="M10" s="16">
        <f t="shared" ref="M10:M15" si="6">J10/J$16*M$16</f>
        <v>431.77300860893672</v>
      </c>
      <c r="N10" s="95"/>
      <c r="O10" s="16">
        <f t="shared" ref="O10:P15" si="7">(O43+O44)*O29/1000</f>
        <v>321.60278637906282</v>
      </c>
      <c r="P10" s="16">
        <f t="shared" si="7"/>
        <v>322.08716106767787</v>
      </c>
      <c r="Q10" s="133"/>
      <c r="R10" s="14">
        <v>273.85933299999999</v>
      </c>
      <c r="S10" s="14">
        <v>280.24556200000001</v>
      </c>
      <c r="T10" s="14">
        <v>271.36900000000003</v>
      </c>
      <c r="U10" s="14">
        <v>312.107978</v>
      </c>
      <c r="V10" s="14"/>
      <c r="W10" s="14"/>
      <c r="X10" s="16">
        <f t="shared" si="0"/>
        <v>316.54079388993978</v>
      </c>
      <c r="Y10" s="95"/>
      <c r="Z10" s="16">
        <f t="shared" si="1"/>
        <v>277.39436263910983</v>
      </c>
      <c r="AA10" s="16">
        <f t="shared" si="1"/>
        <v>284.67438378278126</v>
      </c>
      <c r="AB10" s="95"/>
      <c r="AP10" s="95"/>
      <c r="AQ10" s="14"/>
      <c r="AR10" s="16">
        <f t="shared" si="2"/>
        <v>607.73930100000007</v>
      </c>
      <c r="AS10" s="16">
        <f t="shared" si="3"/>
        <v>666.50100500000008</v>
      </c>
      <c r="AT10" s="16">
        <f t="shared" si="4"/>
        <v>748.3138024988765</v>
      </c>
      <c r="AU10" s="16">
        <f t="shared" si="5"/>
        <v>598.99714901817265</v>
      </c>
      <c r="AV10" s="16">
        <f t="shared" si="5"/>
        <v>606.76154485045913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</row>
    <row r="11" spans="1:63" x14ac:dyDescent="0.25">
      <c r="A11" t="s">
        <v>11</v>
      </c>
      <c r="G11" s="14">
        <v>261.63098300000001</v>
      </c>
      <c r="H11" s="14">
        <v>268.50407100000001</v>
      </c>
      <c r="I11" s="14">
        <v>262.93411700000001</v>
      </c>
      <c r="J11" s="14">
        <v>279.81221799999997</v>
      </c>
      <c r="K11" s="14"/>
      <c r="L11" s="14"/>
      <c r="M11" s="16">
        <f t="shared" si="6"/>
        <v>340.90784526468593</v>
      </c>
      <c r="N11" s="95"/>
      <c r="O11" s="16">
        <f t="shared" si="7"/>
        <v>389.25543501613845</v>
      </c>
      <c r="P11" s="16">
        <f t="shared" si="7"/>
        <v>393.58770910368168</v>
      </c>
      <c r="Q11" s="95"/>
      <c r="R11" s="14">
        <v>334.97420799999998</v>
      </c>
      <c r="S11" s="14">
        <v>347.92390699999999</v>
      </c>
      <c r="T11" s="14">
        <v>388.77167400000002</v>
      </c>
      <c r="U11" s="14">
        <v>378.56974500000001</v>
      </c>
      <c r="V11" s="14"/>
      <c r="W11" s="14"/>
      <c r="X11" s="16">
        <f t="shared" si="0"/>
        <v>383.94650592690738</v>
      </c>
      <c r="Y11" s="95"/>
      <c r="Z11" s="16">
        <f t="shared" si="1"/>
        <v>496.45327162868784</v>
      </c>
      <c r="AA11" s="16">
        <f t="shared" si="1"/>
        <v>513.64090777214699</v>
      </c>
      <c r="AB11" s="95"/>
      <c r="AP11" s="95"/>
      <c r="AQ11" s="14"/>
      <c r="AR11" s="16">
        <f t="shared" si="2"/>
        <v>651.70579100000009</v>
      </c>
      <c r="AS11" s="16">
        <f t="shared" si="3"/>
        <v>658.38196300000004</v>
      </c>
      <c r="AT11" s="16">
        <f t="shared" si="4"/>
        <v>724.85435119159331</v>
      </c>
      <c r="AU11" s="16">
        <f t="shared" si="5"/>
        <v>885.70870664482629</v>
      </c>
      <c r="AV11" s="16">
        <f t="shared" si="5"/>
        <v>907.22861687582872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</row>
    <row r="12" spans="1:63" x14ac:dyDescent="0.25">
      <c r="A12" t="s">
        <v>159</v>
      </c>
      <c r="G12" s="14">
        <v>5.5178979999999997</v>
      </c>
      <c r="H12" s="14">
        <v>5.6768150000000004</v>
      </c>
      <c r="I12" s="14">
        <v>5.4170920000000002</v>
      </c>
      <c r="J12" s="14">
        <v>5.9684660000000003</v>
      </c>
      <c r="K12" s="14"/>
      <c r="L12" s="14"/>
      <c r="M12" s="16">
        <f t="shared" si="6"/>
        <v>7.2716513172256807</v>
      </c>
      <c r="N12" s="95"/>
      <c r="O12" s="16">
        <f t="shared" si="7"/>
        <v>3.4291171134422598</v>
      </c>
      <c r="P12" s="16">
        <f t="shared" si="7"/>
        <v>3.3937904354173849</v>
      </c>
      <c r="Q12" s="95"/>
      <c r="R12" s="14">
        <v>7.6035060000000003</v>
      </c>
      <c r="S12" s="14">
        <v>7.881475</v>
      </c>
      <c r="T12" s="14">
        <v>8.3013180000000002</v>
      </c>
      <c r="U12" s="14">
        <v>8.451416</v>
      </c>
      <c r="V12" s="14"/>
      <c r="W12" s="14"/>
      <c r="X12" s="16">
        <f t="shared" si="0"/>
        <v>8.5714500067477903</v>
      </c>
      <c r="Y12" s="95"/>
      <c r="Z12" s="16">
        <f t="shared" si="1"/>
        <v>1.9739090087061542</v>
      </c>
      <c r="AA12" s="16">
        <f t="shared" si="1"/>
        <v>1.9337804356587482</v>
      </c>
      <c r="AB12" s="95"/>
      <c r="AP12" s="95"/>
      <c r="AQ12" s="14"/>
      <c r="AR12" s="16">
        <f t="shared" si="2"/>
        <v>13.71841</v>
      </c>
      <c r="AS12" s="16">
        <f t="shared" si="3"/>
        <v>14.419882000000001</v>
      </c>
      <c r="AT12" s="16">
        <f t="shared" si="4"/>
        <v>15.843101323973471</v>
      </c>
      <c r="AU12" s="16">
        <f t="shared" si="5"/>
        <v>5.4030261221484137</v>
      </c>
      <c r="AV12" s="16">
        <f t="shared" si="5"/>
        <v>5.3275708710761336</v>
      </c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</row>
    <row r="13" spans="1:63" x14ac:dyDescent="0.25">
      <c r="A13" t="s">
        <v>160</v>
      </c>
      <c r="G13" s="14">
        <v>73.793807000000001</v>
      </c>
      <c r="H13" s="14">
        <v>74.213271000000006</v>
      </c>
      <c r="I13" s="14">
        <v>71.675037000000003</v>
      </c>
      <c r="J13" s="14">
        <v>74.158686000000003</v>
      </c>
      <c r="K13" s="14"/>
      <c r="L13" s="14"/>
      <c r="M13" s="16">
        <f t="shared" si="6"/>
        <v>90.350871854782383</v>
      </c>
      <c r="N13" s="95"/>
      <c r="O13" s="16">
        <f t="shared" si="7"/>
        <v>52.127895760241636</v>
      </c>
      <c r="P13" s="16">
        <f t="shared" si="7"/>
        <v>51.134858409420183</v>
      </c>
      <c r="Q13" s="95"/>
      <c r="R13" s="14">
        <v>3.6874999999999998E-2</v>
      </c>
      <c r="S13" s="14">
        <v>5.9884E-2</v>
      </c>
      <c r="T13" s="14">
        <v>5.3496000000000002E-2</v>
      </c>
      <c r="U13" s="14">
        <v>5.9954E-2</v>
      </c>
      <c r="V13" s="14"/>
      <c r="W13" s="14"/>
      <c r="X13" s="16">
        <f t="shared" si="0"/>
        <v>6.0805516342416113E-2</v>
      </c>
      <c r="Y13" s="95"/>
      <c r="Z13" s="16">
        <f t="shared" si="1"/>
        <v>2.3757357818372429E-2</v>
      </c>
      <c r="AA13" s="16">
        <f t="shared" si="1"/>
        <v>2.7570189387161142E-2</v>
      </c>
      <c r="AB13" s="95"/>
      <c r="AP13" s="95"/>
      <c r="AQ13" s="14"/>
      <c r="AR13" s="16">
        <f t="shared" si="2"/>
        <v>71.728532999999999</v>
      </c>
      <c r="AS13" s="16">
        <f t="shared" si="3"/>
        <v>74.218640000000008</v>
      </c>
      <c r="AT13" s="16">
        <f t="shared" si="4"/>
        <v>90.411677371124796</v>
      </c>
      <c r="AU13" s="16">
        <f t="shared" si="5"/>
        <v>52.151653118060011</v>
      </c>
      <c r="AV13" s="16">
        <f t="shared" si="5"/>
        <v>51.162428598807345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</row>
    <row r="14" spans="1:63" x14ac:dyDescent="0.25">
      <c r="A14" t="s">
        <v>161</v>
      </c>
      <c r="G14" s="14">
        <v>0.46694600000000003</v>
      </c>
      <c r="H14" s="14">
        <v>0.46784599999999998</v>
      </c>
      <c r="I14" s="14">
        <v>0.42150500000000002</v>
      </c>
      <c r="J14" s="14">
        <v>0.38175100000000001</v>
      </c>
      <c r="K14" s="14"/>
      <c r="L14" s="14"/>
      <c r="M14" s="16">
        <f t="shared" si="6"/>
        <v>0.4651044610126322</v>
      </c>
      <c r="N14" s="95"/>
      <c r="O14" s="16">
        <f t="shared" si="7"/>
        <v>0.47906220034868757</v>
      </c>
      <c r="P14" s="16">
        <f t="shared" si="7"/>
        <v>0.44740925972845624</v>
      </c>
      <c r="Q14" s="95"/>
      <c r="R14" s="14">
        <v>0</v>
      </c>
      <c r="S14" s="14">
        <v>0</v>
      </c>
      <c r="T14" s="14">
        <v>0</v>
      </c>
      <c r="U14" s="14">
        <v>0</v>
      </c>
      <c r="V14" s="14"/>
      <c r="W14" s="14"/>
      <c r="X14" s="16">
        <f t="shared" si="0"/>
        <v>0</v>
      </c>
      <c r="Y14" s="95"/>
      <c r="Z14" s="16">
        <v>0</v>
      </c>
      <c r="AA14" s="16">
        <v>0</v>
      </c>
      <c r="AB14" s="95"/>
      <c r="AP14" s="95"/>
      <c r="AQ14" s="14"/>
      <c r="AR14" s="16">
        <f t="shared" si="2"/>
        <v>0.42150500000000002</v>
      </c>
      <c r="AS14" s="16">
        <f t="shared" si="3"/>
        <v>0.38175100000000001</v>
      </c>
      <c r="AT14" s="16">
        <f t="shared" si="4"/>
        <v>0.4651044610126322</v>
      </c>
      <c r="AU14" s="16">
        <f t="shared" si="5"/>
        <v>0.47906220034868757</v>
      </c>
      <c r="AV14" s="16">
        <f t="shared" si="5"/>
        <v>0.44740925972845624</v>
      </c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</row>
    <row r="15" spans="1:63" ht="15" x14ac:dyDescent="0.4">
      <c r="G15" s="28">
        <v>0</v>
      </c>
      <c r="H15" s="28">
        <v>0</v>
      </c>
      <c r="I15" s="28">
        <v>0</v>
      </c>
      <c r="J15" s="28">
        <v>0</v>
      </c>
      <c r="K15" s="28"/>
      <c r="L15" s="28"/>
      <c r="M15" s="29">
        <f t="shared" si="6"/>
        <v>0</v>
      </c>
      <c r="N15" s="143"/>
      <c r="O15" s="29">
        <f t="shared" si="7"/>
        <v>0</v>
      </c>
      <c r="P15" s="29">
        <f t="shared" si="7"/>
        <v>0</v>
      </c>
      <c r="Q15" s="143"/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9">
        <f t="shared" si="0"/>
        <v>0</v>
      </c>
      <c r="Y15" s="143"/>
      <c r="Z15" s="34">
        <f>(Z48+Z49)*Z34/1000</f>
        <v>0</v>
      </c>
      <c r="AA15" s="34">
        <f>(AA48+AA49)*AA34/1000</f>
        <v>0</v>
      </c>
      <c r="AB15" s="143"/>
      <c r="AP15" s="143"/>
      <c r="AQ15" s="28"/>
      <c r="AR15" s="29">
        <f t="shared" si="2"/>
        <v>0</v>
      </c>
      <c r="AS15" s="34">
        <f t="shared" si="3"/>
        <v>0</v>
      </c>
      <c r="AT15" s="34">
        <f t="shared" si="4"/>
        <v>0</v>
      </c>
      <c r="AU15" s="34">
        <f t="shared" si="5"/>
        <v>0</v>
      </c>
      <c r="AV15" s="34">
        <f t="shared" si="5"/>
        <v>0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</row>
    <row r="16" spans="1:63" x14ac:dyDescent="0.25">
      <c r="B16" t="s">
        <v>12</v>
      </c>
      <c r="G16" s="9">
        <f>SUM(G9:G15)</f>
        <v>1150.5373060000002</v>
      </c>
      <c r="H16" s="9">
        <f>SUM(H9:H15)</f>
        <v>1178.6564400000002</v>
      </c>
      <c r="I16" s="9">
        <f>SUM(I9:I15)</f>
        <v>1123.998658</v>
      </c>
      <c r="J16" s="9">
        <f>SUM(J9:J15)</f>
        <v>1203.795932</v>
      </c>
      <c r="K16" s="14"/>
      <c r="L16" s="14">
        <v>678</v>
      </c>
      <c r="M16" s="16">
        <f>J16/J23*M25</f>
        <v>1466.6388774935997</v>
      </c>
      <c r="N16" s="135"/>
      <c r="O16" s="9">
        <f>SUM(O9:O15)</f>
        <v>1211.1007550107913</v>
      </c>
      <c r="P16" s="9">
        <f>SUM(P9:P15)</f>
        <v>1210.6483737254407</v>
      </c>
      <c r="Q16" s="135"/>
      <c r="R16" s="9">
        <f>SUM(R9:R15)</f>
        <v>1035.409656</v>
      </c>
      <c r="S16" s="9">
        <f>SUM(S9:S15)</f>
        <v>1067.6302129999999</v>
      </c>
      <c r="T16" s="9">
        <f>SUM(T9:T15)</f>
        <v>1133.0155080000002</v>
      </c>
      <c r="U16" s="9">
        <f>SUM(U9:U15)</f>
        <v>1169.3410970000002</v>
      </c>
      <c r="V16" s="14">
        <v>596</v>
      </c>
      <c r="W16" s="14">
        <v>564</v>
      </c>
      <c r="X16" s="16">
        <f>U16/U23*X25</f>
        <v>1185.9490473278231</v>
      </c>
      <c r="Y16" s="95"/>
      <c r="Z16" s="16">
        <f>SUM(Z9:Z15)</f>
        <v>1196.2750568066056</v>
      </c>
      <c r="AA16" s="9">
        <f>SUM(AA9:AA15)</f>
        <v>1211.1675751912846</v>
      </c>
      <c r="AB16" s="135"/>
      <c r="AP16" s="135"/>
      <c r="AQ16" s="9"/>
      <c r="AR16" s="16">
        <f>SUM(AR9:AR15)</f>
        <v>2257.0141659999999</v>
      </c>
      <c r="AS16" s="16">
        <f>SUM(AS9:AS15)</f>
        <v>2373.1370290000004</v>
      </c>
      <c r="AT16" s="16">
        <f>SUM(AT9:AT15)</f>
        <v>2652.5879248214223</v>
      </c>
      <c r="AU16" s="16">
        <f>SUM(AU9:AU15)</f>
        <v>2407.3758118173964</v>
      </c>
      <c r="AV16" s="16">
        <f>SUM(AV9:AV15)</f>
        <v>2421.8159489167256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1" x14ac:dyDescent="0.25">
      <c r="G17" s="9"/>
      <c r="H17" s="9"/>
      <c r="I17" s="9"/>
      <c r="J17" s="9"/>
      <c r="K17" s="9"/>
      <c r="L17" s="9"/>
      <c r="M17" s="16"/>
      <c r="N17" s="133"/>
      <c r="O17" s="70"/>
      <c r="P17" s="70"/>
      <c r="Q17" s="135"/>
      <c r="R17" s="9"/>
      <c r="S17" s="9"/>
      <c r="T17" s="9"/>
      <c r="U17" s="9"/>
      <c r="V17" s="9"/>
      <c r="W17" s="9"/>
      <c r="X17" s="16"/>
      <c r="Y17" s="95"/>
      <c r="Z17" s="70"/>
      <c r="AA17" s="70"/>
      <c r="AB17" s="135"/>
      <c r="AP17" s="135"/>
      <c r="AQ17" s="9"/>
      <c r="AR17" s="16"/>
      <c r="AS17" s="16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</row>
    <row r="18" spans="1:61" x14ac:dyDescent="0.25">
      <c r="A18" t="s">
        <v>67</v>
      </c>
      <c r="G18" s="14">
        <v>232.38355899999999</v>
      </c>
      <c r="H18" s="14">
        <v>265.04303499999997</v>
      </c>
      <c r="I18" s="14">
        <v>766.98903499999994</v>
      </c>
      <c r="J18" s="14">
        <v>1189.1814710000001</v>
      </c>
      <c r="K18" s="14"/>
      <c r="L18" s="14">
        <v>448</v>
      </c>
      <c r="M18" s="33">
        <f>J18/J$21*M$21</f>
        <v>1448.8334205166825</v>
      </c>
      <c r="N18" s="118">
        <v>0.02</v>
      </c>
      <c r="O18" s="9">
        <f>O37*O56/1000</f>
        <v>1231.7838971985752</v>
      </c>
      <c r="P18" s="9">
        <f>P37*P56/1000</f>
        <v>1275.9125553157144</v>
      </c>
      <c r="Q18" s="95"/>
      <c r="R18" s="14">
        <v>184.03905</v>
      </c>
      <c r="S18" s="14">
        <v>245.33676399999999</v>
      </c>
      <c r="T18" s="14">
        <v>790.15005799999994</v>
      </c>
      <c r="U18" s="14">
        <v>1201.9946210000001</v>
      </c>
      <c r="V18" s="14">
        <v>331</v>
      </c>
      <c r="W18" s="14">
        <v>523</v>
      </c>
      <c r="X18" s="16">
        <f>U18/$U$21*$X$21</f>
        <v>1219.0663437087062</v>
      </c>
      <c r="Y18" s="95">
        <v>0.02</v>
      </c>
      <c r="Z18" s="16">
        <f>Z37*Z56/1000</f>
        <v>1245.056078297325</v>
      </c>
      <c r="AA18" s="16">
        <f>AA37*AA56/1000</f>
        <v>1289.660212302327</v>
      </c>
      <c r="AB18" s="95"/>
      <c r="AP18" s="95"/>
      <c r="AQ18" s="14"/>
      <c r="AR18" s="16">
        <f>T18+I18+AQ18+AF18</f>
        <v>1557.1390929999998</v>
      </c>
      <c r="AS18" s="16">
        <f>U18+J18+AG18</f>
        <v>2391.1760920000002</v>
      </c>
      <c r="AT18" s="16">
        <f>X18+M18+AJ18</f>
        <v>2667.8997642253889</v>
      </c>
      <c r="AU18" s="16">
        <f t="shared" ref="AU18:AV20" si="8">O18+Z18+AL18</f>
        <v>2476.8399754959</v>
      </c>
      <c r="AV18" s="16">
        <f t="shared" si="8"/>
        <v>2565.5727676180413</v>
      </c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</row>
    <row r="19" spans="1:61" x14ac:dyDescent="0.25">
      <c r="A19" t="s">
        <v>68</v>
      </c>
      <c r="G19" s="14">
        <v>0</v>
      </c>
      <c r="H19" s="14">
        <v>-0.35708099999999998</v>
      </c>
      <c r="I19" s="14">
        <v>0.43577500000000002</v>
      </c>
      <c r="J19" s="14">
        <v>0</v>
      </c>
      <c r="K19" s="14"/>
      <c r="L19" s="14"/>
      <c r="M19" s="16">
        <f>J19/J$21*M$21</f>
        <v>0</v>
      </c>
      <c r="N19" s="110"/>
      <c r="O19" s="16">
        <v>0</v>
      </c>
      <c r="P19" s="14">
        <v>0</v>
      </c>
      <c r="Q19" s="95"/>
      <c r="R19" s="14">
        <v>7.0206299999999997</v>
      </c>
      <c r="S19" s="14">
        <v>-2.7339090000000001</v>
      </c>
      <c r="T19" s="14">
        <v>3.4360719999999998</v>
      </c>
      <c r="U19" s="14">
        <v>-4.4640029999999999</v>
      </c>
      <c r="V19" s="14"/>
      <c r="W19" s="14"/>
      <c r="X19" s="16">
        <f>U19/$U$21*$X$21</f>
        <v>-4.5274044662423618</v>
      </c>
      <c r="Y19" s="95"/>
      <c r="Z19" s="16">
        <v>0</v>
      </c>
      <c r="AA19" s="14">
        <v>0</v>
      </c>
      <c r="AB19" s="95"/>
      <c r="AP19" s="95"/>
      <c r="AQ19" s="14"/>
      <c r="AR19" s="16">
        <f>T19+I19+AQ19+AF19</f>
        <v>3.8718469999999998</v>
      </c>
      <c r="AS19" s="16">
        <f>U19+J19+AG19</f>
        <v>-4.4640029999999999</v>
      </c>
      <c r="AT19" s="16">
        <f>X19+M19+AJ19</f>
        <v>-4.5274044662423618</v>
      </c>
      <c r="AU19" s="16">
        <f t="shared" si="8"/>
        <v>0</v>
      </c>
      <c r="AV19" s="16">
        <f t="shared" si="8"/>
        <v>0</v>
      </c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1" ht="15" x14ac:dyDescent="0.4">
      <c r="A20" t="s">
        <v>13</v>
      </c>
      <c r="G20" s="28">
        <v>10.712368</v>
      </c>
      <c r="H20" s="28">
        <v>12.375681999999999</v>
      </c>
      <c r="I20" s="28">
        <v>16.708480999999999</v>
      </c>
      <c r="J20" s="28">
        <v>14.482143000000001</v>
      </c>
      <c r="K20" s="28"/>
      <c r="L20" s="28">
        <v>7</v>
      </c>
      <c r="M20" s="176">
        <f>J20/J$21*M$21</f>
        <v>17.644247989718071</v>
      </c>
      <c r="N20" s="118">
        <v>0.02</v>
      </c>
      <c r="O20" s="101">
        <f>J20+J20*N20</f>
        <v>14.771785860000001</v>
      </c>
      <c r="P20" s="101">
        <f>O20*(1+N20)</f>
        <v>15.067221577200002</v>
      </c>
      <c r="Q20" s="143"/>
      <c r="R20" s="28">
        <v>21.565843999999998</v>
      </c>
      <c r="S20" s="28">
        <v>21.729168000000001</v>
      </c>
      <c r="T20" s="28">
        <v>31.866911000000002</v>
      </c>
      <c r="U20" s="28">
        <v>36.166348999999997</v>
      </c>
      <c r="V20" s="28">
        <v>19</v>
      </c>
      <c r="W20" s="28">
        <v>17</v>
      </c>
      <c r="X20" s="29">
        <f>U20/$U$21*$X$21</f>
        <v>36.680013429713185</v>
      </c>
      <c r="Y20" s="118">
        <v>0.02</v>
      </c>
      <c r="Z20" s="101">
        <f>U20+U20*Y20</f>
        <v>36.88967598</v>
      </c>
      <c r="AA20" s="101">
        <f>Z20*(1+Y20)</f>
        <v>37.627469499600004</v>
      </c>
      <c r="AB20" s="95"/>
      <c r="AP20" s="95"/>
      <c r="AQ20" s="14"/>
      <c r="AR20" s="29">
        <f>T20+I20+AQ20+AF20</f>
        <v>48.575392000000001</v>
      </c>
      <c r="AS20" s="29">
        <f>U20+J20+AG20</f>
        <v>50.648491999999997</v>
      </c>
      <c r="AT20" s="29">
        <f>X20+M20+AJ20</f>
        <v>54.324261419431252</v>
      </c>
      <c r="AU20" s="34">
        <f t="shared" si="8"/>
        <v>51.661461840000001</v>
      </c>
      <c r="AV20" s="34">
        <f t="shared" si="8"/>
        <v>52.694691076800005</v>
      </c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</row>
    <row r="21" spans="1:61" x14ac:dyDescent="0.25">
      <c r="B21" t="s">
        <v>69</v>
      </c>
      <c r="G21" s="9">
        <f>SUM(G18:G20)</f>
        <v>243.09592699999999</v>
      </c>
      <c r="H21" s="9">
        <f>SUM(H18:H20)</f>
        <v>277.06163599999996</v>
      </c>
      <c r="I21" s="9">
        <f>SUM(I18:I20)</f>
        <v>784.13329099999999</v>
      </c>
      <c r="J21" s="9">
        <f>SUM(J18:J20)</f>
        <v>1203.6636140000001</v>
      </c>
      <c r="K21" s="9"/>
      <c r="L21" s="9"/>
      <c r="M21" s="16">
        <f>J21/J23*M25</f>
        <v>1466.4776685064005</v>
      </c>
      <c r="N21" s="109"/>
      <c r="O21" s="9">
        <f>SUM(O18:O20)</f>
        <v>1246.5556830585751</v>
      </c>
      <c r="P21" s="9">
        <f>SUM(P18:P20)</f>
        <v>1290.9797768929143</v>
      </c>
      <c r="Q21" s="135"/>
      <c r="R21" s="9">
        <f>SUM(R18:R20)</f>
        <v>212.62552400000001</v>
      </c>
      <c r="S21" s="9">
        <f>SUM(S18:S20)</f>
        <v>264.33202299999999</v>
      </c>
      <c r="T21" s="9">
        <f>SUM(T18:T20)</f>
        <v>825.45304099999987</v>
      </c>
      <c r="U21" s="9">
        <f>SUM(U18:U20)</f>
        <v>1233.6969670000001</v>
      </c>
      <c r="V21" s="9"/>
      <c r="W21" s="9"/>
      <c r="X21" s="16">
        <f>U21/U23*X25</f>
        <v>1251.218952672177</v>
      </c>
      <c r="Y21" s="95"/>
      <c r="Z21" s="9">
        <f>SUM(Z18:Z20)</f>
        <v>1281.945754277325</v>
      </c>
      <c r="AA21" s="9">
        <f>SUM(AA18:AA20)</f>
        <v>1327.287681801927</v>
      </c>
      <c r="AB21" s="135"/>
      <c r="AP21" s="135"/>
      <c r="AQ21" s="9"/>
      <c r="AR21" s="16">
        <f>SUM(AR18:AR20)</f>
        <v>1609.5863319999996</v>
      </c>
      <c r="AS21" s="16">
        <f>SUM(AS18:AS20)</f>
        <v>2437.3605809999999</v>
      </c>
      <c r="AT21" s="16">
        <f>SUM(AT18:AT20)</f>
        <v>2717.696621178578</v>
      </c>
      <c r="AU21" s="16">
        <f>SUM(AU18:AU20)</f>
        <v>2528.5014373358999</v>
      </c>
      <c r="AV21" s="16">
        <f>SUM(AV18:AV20)</f>
        <v>2618.2674586948415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</row>
    <row r="22" spans="1:61" x14ac:dyDescent="0.25">
      <c r="G22" s="9"/>
      <c r="H22" s="9"/>
      <c r="I22" s="9"/>
      <c r="J22" s="9"/>
      <c r="K22" s="9"/>
      <c r="L22" s="9"/>
      <c r="M22" s="16"/>
      <c r="N22" s="109"/>
      <c r="O22" s="67"/>
      <c r="P22" s="9"/>
      <c r="Q22" s="135"/>
      <c r="R22" s="9"/>
      <c r="S22" s="9"/>
      <c r="T22" s="9"/>
      <c r="U22" s="9"/>
      <c r="V22" s="9"/>
      <c r="W22" s="9"/>
      <c r="X22" s="16"/>
      <c r="Y22" s="95"/>
      <c r="Z22" s="67"/>
      <c r="AA22" s="9"/>
      <c r="AB22" s="135"/>
      <c r="AP22" s="135"/>
      <c r="AQ22" s="9"/>
      <c r="AR22" s="16"/>
      <c r="AS22" s="9"/>
      <c r="AT22" s="9"/>
      <c r="AU22" s="9"/>
    </row>
    <row r="23" spans="1:61" x14ac:dyDescent="0.25">
      <c r="B23" t="s">
        <v>171</v>
      </c>
      <c r="G23" s="9">
        <f>G21+G16</f>
        <v>1393.6332330000002</v>
      </c>
      <c r="H23" s="9">
        <f>H21+H16</f>
        <v>1455.7180760000001</v>
      </c>
      <c r="I23" s="9">
        <f>I21+I16</f>
        <v>1908.1319490000001</v>
      </c>
      <c r="J23" s="9">
        <f>J21+J16</f>
        <v>2407.459546</v>
      </c>
      <c r="K23" s="9"/>
      <c r="L23" s="9"/>
      <c r="M23" s="16"/>
      <c r="N23" s="109"/>
      <c r="O23" s="67"/>
      <c r="P23" s="9"/>
      <c r="Q23" s="135"/>
      <c r="R23" s="9">
        <f>R21+R16</f>
        <v>1248.0351800000001</v>
      </c>
      <c r="S23" s="9">
        <f>S21+S16</f>
        <v>1331.9622359999998</v>
      </c>
      <c r="T23" s="9">
        <f>T21+T16</f>
        <v>1958.4685490000002</v>
      </c>
      <c r="U23" s="9">
        <f>U21+U16</f>
        <v>2403.0380640000003</v>
      </c>
      <c r="V23" s="9"/>
      <c r="W23" s="9"/>
      <c r="X23" s="16"/>
      <c r="Y23" s="95"/>
      <c r="Z23" s="67"/>
      <c r="AA23" s="9"/>
      <c r="AB23" s="135"/>
      <c r="AP23" s="135"/>
      <c r="AQ23" s="9"/>
      <c r="AR23" s="16">
        <f>T23+I23+AQ23+AF23</f>
        <v>3866.6004980000002</v>
      </c>
      <c r="AS23" s="9">
        <f>U23+J23+AG23</f>
        <v>4810.4976100000003</v>
      </c>
      <c r="AT23" s="9">
        <f>X23+M23+AJ23</f>
        <v>0</v>
      </c>
      <c r="AU23" s="9">
        <f t="shared" ref="AU23:AV25" si="9">O23+Z23+AL23</f>
        <v>0</v>
      </c>
      <c r="AV23">
        <f t="shared" si="9"/>
        <v>0</v>
      </c>
    </row>
    <row r="24" spans="1:61" x14ac:dyDescent="0.25">
      <c r="B24" t="s">
        <v>170</v>
      </c>
      <c r="G24" s="9">
        <v>43.589766999999711</v>
      </c>
      <c r="H24" s="9">
        <v>46.289923999999928</v>
      </c>
      <c r="I24" s="9">
        <v>48.124051000000009</v>
      </c>
      <c r="J24" s="9">
        <v>45.232453999999962</v>
      </c>
      <c r="K24" s="9"/>
      <c r="L24" s="9"/>
      <c r="M24" s="16"/>
      <c r="N24" s="109"/>
      <c r="O24" s="67">
        <f>J24</f>
        <v>45.232453999999962</v>
      </c>
      <c r="P24" s="9">
        <f>O24</f>
        <v>45.232453999999962</v>
      </c>
      <c r="Q24" s="135"/>
      <c r="R24" s="9">
        <f>R25-R23</f>
        <v>-1.8000000000029104E-4</v>
      </c>
      <c r="S24" s="9">
        <f>S25-S23</f>
        <v>-2.3599999985890463E-4</v>
      </c>
      <c r="T24" s="9">
        <f>T25-T23</f>
        <v>1.9264509999998154</v>
      </c>
      <c r="U24" s="9">
        <f>U25-U23</f>
        <v>-6.4000000293162884E-5</v>
      </c>
      <c r="V24" s="9"/>
      <c r="W24" s="9"/>
      <c r="X24" s="16"/>
      <c r="Y24" s="95"/>
      <c r="Z24" s="67"/>
      <c r="AA24" s="9"/>
      <c r="AB24" s="135"/>
      <c r="AP24" s="135"/>
      <c r="AQ24" s="9"/>
      <c r="AR24" s="16">
        <f>T24+I24+AQ24+AF24</f>
        <v>50.050501999999824</v>
      </c>
      <c r="AS24" s="9">
        <f>U24+J24+AG24</f>
        <v>45.232389999999668</v>
      </c>
      <c r="AT24" s="9">
        <f>X24+M24+AJ24</f>
        <v>0</v>
      </c>
      <c r="AU24" s="9">
        <f t="shared" si="9"/>
        <v>45.232453999999962</v>
      </c>
      <c r="AV24">
        <f t="shared" si="9"/>
        <v>45.232453999999962</v>
      </c>
    </row>
    <row r="25" spans="1:61" ht="13.8" thickBot="1" x14ac:dyDescent="0.3">
      <c r="C25" t="s">
        <v>70</v>
      </c>
      <c r="G25" s="171">
        <f>G23</f>
        <v>1393.6332330000002</v>
      </c>
      <c r="H25" s="171">
        <f>H23</f>
        <v>1455.7180760000001</v>
      </c>
      <c r="I25" s="171">
        <f>I23</f>
        <v>1908.1319490000001</v>
      </c>
      <c r="J25" s="171">
        <f>J23</f>
        <v>2407.459546</v>
      </c>
      <c r="K25" s="171">
        <v>1658.604</v>
      </c>
      <c r="L25" s="171">
        <v>1132.9469999999999</v>
      </c>
      <c r="M25" s="173">
        <f>J25+K25-L25</f>
        <v>2933.1165460000002</v>
      </c>
      <c r="N25" s="144"/>
      <c r="O25" s="40">
        <f>O21+O16+O24</f>
        <v>2502.8888920693662</v>
      </c>
      <c r="P25" s="40">
        <f>P21+P16+P24</f>
        <v>2546.860604618355</v>
      </c>
      <c r="Q25" s="135"/>
      <c r="R25" s="171">
        <v>1248.0350000000001</v>
      </c>
      <c r="S25" s="171">
        <v>1331.962</v>
      </c>
      <c r="T25" s="171">
        <v>1960.395</v>
      </c>
      <c r="U25" s="171">
        <v>2403.038</v>
      </c>
      <c r="V25" s="171">
        <v>945.95100000000002</v>
      </c>
      <c r="W25" s="171">
        <v>1103.655</v>
      </c>
      <c r="X25" s="41">
        <f>+U25+217.349-183.219</f>
        <v>2437.1680000000001</v>
      </c>
      <c r="Y25" s="147"/>
      <c r="Z25" s="40">
        <f>Z21+Z16</f>
        <v>2478.2208110839306</v>
      </c>
      <c r="AA25" s="40">
        <f>AA21+AA16</f>
        <v>2538.4552569932116</v>
      </c>
      <c r="AB25" s="135"/>
      <c r="AP25" s="135"/>
      <c r="AQ25" s="39"/>
      <c r="AR25" s="41">
        <f>T25+I25+AQ25+AF25</f>
        <v>3868.5269490000001</v>
      </c>
      <c r="AS25" s="41">
        <f>U25+J25+AG25</f>
        <v>4810.4975460000005</v>
      </c>
      <c r="AT25" s="41">
        <f>X25+M25+AJ25</f>
        <v>5370.2845460000008</v>
      </c>
      <c r="AU25" s="41">
        <f t="shared" si="9"/>
        <v>4981.1097031532972</v>
      </c>
      <c r="AV25" s="41">
        <f t="shared" si="9"/>
        <v>5085.315861611567</v>
      </c>
      <c r="AW25" s="39"/>
      <c r="AX25" s="39"/>
      <c r="AY25" s="39"/>
      <c r="AZ25" s="39"/>
      <c r="BA25" s="39"/>
      <c r="BB25" s="39"/>
      <c r="BC25" s="39"/>
      <c r="BD25" s="39"/>
      <c r="BE25" s="39"/>
    </row>
    <row r="26" spans="1:61" ht="13.8" thickTop="1" x14ac:dyDescent="0.25">
      <c r="G26" s="14"/>
      <c r="H26" s="14"/>
      <c r="I26" s="14"/>
      <c r="J26" s="194"/>
      <c r="K26" s="14"/>
      <c r="L26" s="14"/>
      <c r="M26" s="16"/>
      <c r="N26" s="109"/>
      <c r="O26" s="16"/>
      <c r="P26" s="14"/>
      <c r="Q26" s="95"/>
      <c r="R26" s="14"/>
      <c r="S26" s="14"/>
      <c r="T26" s="14"/>
      <c r="U26" s="14"/>
      <c r="V26" s="14"/>
      <c r="W26" s="14"/>
      <c r="X26" s="16"/>
      <c r="Y26" s="95"/>
      <c r="Z26" s="16"/>
      <c r="AA26" s="14"/>
      <c r="AB26" s="95"/>
      <c r="AP26" s="95"/>
      <c r="AQ26" s="14"/>
      <c r="AR26" s="16"/>
      <c r="AS26" s="16"/>
      <c r="AT26" s="16"/>
    </row>
    <row r="27" spans="1:61" x14ac:dyDescent="0.25">
      <c r="A27" s="1" t="s">
        <v>65</v>
      </c>
      <c r="G27" s="14"/>
      <c r="H27" s="14"/>
      <c r="I27" s="14"/>
      <c r="J27" s="14"/>
      <c r="K27" s="14"/>
      <c r="L27" s="14"/>
      <c r="M27" s="16"/>
      <c r="N27" s="145"/>
      <c r="O27" s="16"/>
      <c r="P27" s="14"/>
      <c r="Q27" s="95"/>
      <c r="R27" s="14"/>
      <c r="S27" s="14"/>
      <c r="T27" s="14"/>
      <c r="U27" s="14"/>
      <c r="V27" s="14"/>
      <c r="W27" s="14"/>
      <c r="X27" s="16"/>
      <c r="Y27" s="95"/>
      <c r="Z27" s="16"/>
      <c r="AA27" s="16"/>
      <c r="AB27" s="95"/>
      <c r="AP27" s="95"/>
      <c r="AQ27" s="14"/>
      <c r="AR27" s="16"/>
      <c r="AS27" s="16"/>
      <c r="AT27" s="16"/>
    </row>
    <row r="28" spans="1:61" x14ac:dyDescent="0.25">
      <c r="A28" t="s">
        <v>9</v>
      </c>
      <c r="G28" s="14">
        <v>6118.3810000000003</v>
      </c>
      <c r="H28" s="14">
        <v>6353.4570000000003</v>
      </c>
      <c r="I28" s="14">
        <v>5903.1880000000001</v>
      </c>
      <c r="J28" s="14">
        <v>6342.7309999999998</v>
      </c>
      <c r="K28" s="14"/>
      <c r="L28" s="14"/>
      <c r="M28" s="16">
        <f>J28/J$35*M$35</f>
        <v>2743.4629233383525</v>
      </c>
      <c r="N28" s="117">
        <f t="shared" ref="N28:N33" si="10">((H28/G28-1)*100+(I28/H28-1)*100+(J28/I28-1)*100)/3/100</f>
        <v>1.4003311391405943E-2</v>
      </c>
      <c r="O28" s="100">
        <f>J28+J28*N28</f>
        <v>6431.5502372649235</v>
      </c>
      <c r="P28" s="100">
        <f t="shared" ref="P28:P34" si="11">O28*(1+N28)</f>
        <v>6521.6132379668152</v>
      </c>
      <c r="Q28" s="95"/>
      <c r="R28" s="14">
        <v>7094.0079999999998</v>
      </c>
      <c r="S28" s="14">
        <v>7092.6790000000001</v>
      </c>
      <c r="T28" s="14">
        <v>7055.37</v>
      </c>
      <c r="U28" s="14">
        <v>7206.4740000000002</v>
      </c>
      <c r="V28" s="14"/>
      <c r="W28" s="14"/>
      <c r="X28" s="16">
        <f>X9/X42*1000</f>
        <v>7340.2124144834906</v>
      </c>
      <c r="Y28" s="117">
        <f>((S28/R28-1)*100+(T28/S28-1)*100+(U28/T28-1)*100)/3/100</f>
        <v>5.3231081083987917E-3</v>
      </c>
      <c r="Z28" s="100">
        <f>U28+U28*Y28</f>
        <v>7244.834840182365</v>
      </c>
      <c r="AA28" s="100">
        <f t="shared" ref="AA28:AA34" si="12">Z28*(1+Y28)</f>
        <v>7283.3998792641505</v>
      </c>
      <c r="AB28" s="95"/>
      <c r="AP28" s="95"/>
      <c r="AQ28" s="14"/>
      <c r="AR28" s="16">
        <f t="shared" ref="AR28:AR34" si="13">T28+I28+AQ28+AF28</f>
        <v>12958.558000000001</v>
      </c>
      <c r="AS28" s="16">
        <f t="shared" ref="AS28:AS34" si="14">U28+J28+AG28</f>
        <v>13549.205</v>
      </c>
      <c r="AT28" s="16">
        <f t="shared" ref="AT28:AT34" si="15">X28+M28+AJ28</f>
        <v>10083.675337821844</v>
      </c>
      <c r="AU28" s="16">
        <f t="shared" ref="AU28:AV34" si="16">O28+Z28+AL28</f>
        <v>13676.385077447288</v>
      </c>
      <c r="AV28" s="16">
        <f t="shared" si="16"/>
        <v>13805.013117230967</v>
      </c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1:61" x14ac:dyDescent="0.25">
      <c r="A29" t="s">
        <v>10</v>
      </c>
      <c r="G29" s="14">
        <v>4920.1890000000003</v>
      </c>
      <c r="H29" s="14">
        <v>5023.9799999999996</v>
      </c>
      <c r="I29" s="14">
        <v>5105.8050000000003</v>
      </c>
      <c r="J29" s="14">
        <v>5279.549</v>
      </c>
      <c r="K29" s="14"/>
      <c r="L29" s="14"/>
      <c r="M29" s="16">
        <f t="shared" ref="M29:M34" si="17">J29/J$35*M$35</f>
        <v>2283.597859257799</v>
      </c>
      <c r="N29" s="117">
        <f t="shared" si="10"/>
        <v>2.3803509243531584E-2</v>
      </c>
      <c r="O29" s="100">
        <f>J29+J29*N29</f>
        <v>5405.2207934231783</v>
      </c>
      <c r="P29" s="100">
        <f t="shared" si="11"/>
        <v>5533.8840165427564</v>
      </c>
      <c r="Q29" s="95"/>
      <c r="R29" s="14">
        <v>5860.0050000000001</v>
      </c>
      <c r="S29" s="14">
        <v>5880.8059999999996</v>
      </c>
      <c r="T29" s="14">
        <v>5523.22</v>
      </c>
      <c r="U29" s="14">
        <v>6264.1319999999996</v>
      </c>
      <c r="V29" s="14"/>
      <c r="W29" s="14"/>
      <c r="X29" s="16">
        <v>0</v>
      </c>
      <c r="Y29" s="95">
        <f>((S29/R29-1)*100+(T29/S29-1)*100+(U29/T29-1)*100)/3/100</f>
        <v>2.5629660735766259E-2</v>
      </c>
      <c r="Z29" s="100">
        <f>U29+U29*Y29</f>
        <v>6424.679577964057</v>
      </c>
      <c r="AA29" s="100">
        <f t="shared" si="12"/>
        <v>6589.3419358832816</v>
      </c>
      <c r="AB29" s="95"/>
      <c r="AP29" s="95"/>
      <c r="AQ29" s="14"/>
      <c r="AR29" s="16">
        <f t="shared" si="13"/>
        <v>10629.025000000001</v>
      </c>
      <c r="AS29" s="16">
        <f t="shared" si="14"/>
        <v>11543.681</v>
      </c>
      <c r="AT29" s="16">
        <f t="shared" si="15"/>
        <v>2283.597859257799</v>
      </c>
      <c r="AU29" s="16">
        <f t="shared" si="16"/>
        <v>11829.900371387235</v>
      </c>
      <c r="AV29" s="16">
        <f t="shared" si="16"/>
        <v>12123.225952426037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1:61" x14ac:dyDescent="0.25">
      <c r="A30" t="s">
        <v>11</v>
      </c>
      <c r="G30" s="14">
        <v>5666.1059999999998</v>
      </c>
      <c r="H30" s="14">
        <v>5841.9359999999997</v>
      </c>
      <c r="I30" s="14">
        <v>6099.4780000000001</v>
      </c>
      <c r="J30" s="14">
        <v>6254.5280000000002</v>
      </c>
      <c r="K30" s="14"/>
      <c r="L30" s="14"/>
      <c r="M30" s="16">
        <f t="shared" si="17"/>
        <v>2705.3119028666965</v>
      </c>
      <c r="N30" s="117">
        <f t="shared" si="10"/>
        <v>3.3512381663987741E-2</v>
      </c>
      <c r="O30" s="100">
        <f>J30+J30*N30</f>
        <v>6464.1321294640984</v>
      </c>
      <c r="P30" s="100">
        <f t="shared" si="11"/>
        <v>6680.7605925131447</v>
      </c>
      <c r="Q30" s="95"/>
      <c r="R30" s="14">
        <v>9692.6350000000002</v>
      </c>
      <c r="S30" s="14">
        <v>10008.447</v>
      </c>
      <c r="T30" s="14">
        <v>10656.492</v>
      </c>
      <c r="U30" s="14">
        <v>10789.468999999999</v>
      </c>
      <c r="V30" s="14"/>
      <c r="W30" s="14"/>
      <c r="X30" s="16">
        <f>X11/X46*1000</f>
        <v>10988.350391089853</v>
      </c>
      <c r="Y30" s="117">
        <f>((S30/R30-1)*100+(T30/S30-1)*100+(U30/T30-1)*100)/3/100</f>
        <v>3.6603659993652046E-2</v>
      </c>
      <c r="Z30" s="100">
        <f>U30+U30*Y30</f>
        <v>11184.403054788048</v>
      </c>
      <c r="AA30" s="100">
        <f t="shared" si="12"/>
        <v>11593.793141437474</v>
      </c>
      <c r="AB30" s="95"/>
      <c r="AP30" s="95"/>
      <c r="AQ30" s="14"/>
      <c r="AR30" s="16">
        <f t="shared" si="13"/>
        <v>16755.97</v>
      </c>
      <c r="AS30" s="16">
        <f t="shared" si="14"/>
        <v>17043.996999999999</v>
      </c>
      <c r="AT30" s="16">
        <f t="shared" si="15"/>
        <v>13693.66229395655</v>
      </c>
      <c r="AU30" s="16">
        <f t="shared" si="16"/>
        <v>17648.535184252149</v>
      </c>
      <c r="AV30" s="16">
        <f t="shared" si="16"/>
        <v>18274.553733950619</v>
      </c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1:61" ht="15" x14ac:dyDescent="0.4">
      <c r="A31" t="s">
        <v>162</v>
      </c>
      <c r="G31" s="74">
        <v>84.724000000000004</v>
      </c>
      <c r="H31" s="74">
        <v>85.421000000000006</v>
      </c>
      <c r="I31" s="74">
        <v>86.664000000000001</v>
      </c>
      <c r="J31" s="74">
        <v>87.959000000000003</v>
      </c>
      <c r="K31" s="74"/>
      <c r="L31" s="74"/>
      <c r="M31" s="26">
        <f t="shared" si="17"/>
        <v>38.045481555802731</v>
      </c>
      <c r="N31" s="117">
        <f t="shared" si="10"/>
        <v>1.2573645663755961E-2</v>
      </c>
      <c r="O31" s="100">
        <f>J31+J31*N31</f>
        <v>89.064965298938318</v>
      </c>
      <c r="P31" s="100">
        <f t="shared" si="11"/>
        <v>90.184836613661886</v>
      </c>
      <c r="Q31" s="143"/>
      <c r="R31" s="74">
        <v>62.613</v>
      </c>
      <c r="S31" s="74">
        <v>63.366</v>
      </c>
      <c r="T31" s="74">
        <v>64.356999999999999</v>
      </c>
      <c r="U31" s="74">
        <v>64.835999999999999</v>
      </c>
      <c r="V31" s="74"/>
      <c r="W31" s="74"/>
      <c r="X31" s="26">
        <f>X12/X48*1000</f>
        <v>66.031116633886413</v>
      </c>
      <c r="Y31" s="117">
        <f>((S31/R31-1)*100+(T31/S31-1)*100+(U31/T31-1)*100)/3/100</f>
        <v>1.1702805390257771E-2</v>
      </c>
      <c r="Z31" s="100">
        <f>U31+U31*Y31</f>
        <v>65.594763090282754</v>
      </c>
      <c r="AA31" s="100">
        <f t="shared" si="12"/>
        <v>66.36240583734839</v>
      </c>
      <c r="AB31" s="143"/>
      <c r="AP31" s="143"/>
      <c r="AQ31" s="28"/>
      <c r="AR31" s="26">
        <f t="shared" si="13"/>
        <v>151.02100000000002</v>
      </c>
      <c r="AS31" s="16">
        <f t="shared" si="14"/>
        <v>152.79500000000002</v>
      </c>
      <c r="AT31" s="16">
        <f t="shared" si="15"/>
        <v>104.07659818968915</v>
      </c>
      <c r="AU31" s="16">
        <f t="shared" si="16"/>
        <v>154.65972838922107</v>
      </c>
      <c r="AV31" s="16">
        <f t="shared" si="16"/>
        <v>156.54724245101028</v>
      </c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1:61" x14ac:dyDescent="0.25">
      <c r="A32" t="s">
        <v>163</v>
      </c>
      <c r="G32" s="14">
        <v>1285.202</v>
      </c>
      <c r="H32" s="14">
        <v>1291.242</v>
      </c>
      <c r="I32" s="14">
        <v>1304.2829999999999</v>
      </c>
      <c r="J32" s="14">
        <v>1295.4069999999999</v>
      </c>
      <c r="K32" s="14"/>
      <c r="L32" s="14"/>
      <c r="M32" s="26">
        <f t="shared" si="17"/>
        <v>560.31086217166796</v>
      </c>
      <c r="N32" s="117">
        <f t="shared" si="10"/>
        <v>2.6646524391064812E-3</v>
      </c>
      <c r="O32" s="100">
        <f>J32+J32*N32</f>
        <v>1298.8588094221855</v>
      </c>
      <c r="P32" s="100">
        <f t="shared" si="11"/>
        <v>1302.3198167167673</v>
      </c>
      <c r="Q32" s="135"/>
      <c r="R32" s="14">
        <v>0.42099999999999999</v>
      </c>
      <c r="S32" s="14">
        <v>0.69099999999999995</v>
      </c>
      <c r="T32" s="14">
        <v>0.57899999999999996</v>
      </c>
      <c r="U32" s="14">
        <v>0.63700000000000001</v>
      </c>
      <c r="V32" s="14"/>
      <c r="W32" s="14"/>
      <c r="X32" s="16">
        <f>X13/X50*1000</f>
        <v>0.6487417683969654</v>
      </c>
      <c r="Y32" s="117">
        <f>((S32/R32-1)*100+(T32/S32-1)*100+(U32/T32-1)*100)/3/100</f>
        <v>0.19313964717276375</v>
      </c>
      <c r="Z32" s="100">
        <f>U32+U32*Y32</f>
        <v>0.76002995524905048</v>
      </c>
      <c r="AA32" s="100">
        <f t="shared" si="12"/>
        <v>0.90682187264658354</v>
      </c>
      <c r="AB32" s="135"/>
      <c r="AP32" s="135"/>
      <c r="AQ32" s="9"/>
      <c r="AR32" s="16">
        <f t="shared" si="13"/>
        <v>1304.8619999999999</v>
      </c>
      <c r="AS32" s="16">
        <f t="shared" si="14"/>
        <v>1296.0439999999999</v>
      </c>
      <c r="AT32" s="16">
        <f t="shared" si="15"/>
        <v>560.95960394006488</v>
      </c>
      <c r="AU32" s="16">
        <f t="shared" si="16"/>
        <v>1299.6188393774346</v>
      </c>
      <c r="AV32" s="16">
        <f t="shared" si="16"/>
        <v>1303.2266385894138</v>
      </c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0" x14ac:dyDescent="0.25">
      <c r="A33" t="s">
        <v>164</v>
      </c>
      <c r="G33" s="14">
        <v>9.2899999999999991</v>
      </c>
      <c r="H33" s="14">
        <v>9.32</v>
      </c>
      <c r="I33" s="14">
        <v>9.1329999999999991</v>
      </c>
      <c r="J33" s="14">
        <v>8.0269999999999992</v>
      </c>
      <c r="K33" s="14"/>
      <c r="L33" s="14"/>
      <c r="M33" s="16">
        <f t="shared" si="17"/>
        <v>3.4719708096775594</v>
      </c>
      <c r="N33" s="117">
        <f t="shared" si="10"/>
        <v>-4.5978136360601211E-2</v>
      </c>
      <c r="O33" s="100">
        <f>J33*(1+N33)</f>
        <v>7.6579334994334536</v>
      </c>
      <c r="P33" s="100">
        <f t="shared" si="11"/>
        <v>7.305835988756086</v>
      </c>
      <c r="Q33" s="135"/>
      <c r="R33" s="14">
        <v>0</v>
      </c>
      <c r="S33" s="14">
        <v>0</v>
      </c>
      <c r="T33" s="14">
        <v>0</v>
      </c>
      <c r="U33" s="14">
        <v>0</v>
      </c>
      <c r="V33" s="14"/>
      <c r="W33" s="14"/>
      <c r="X33" s="16">
        <v>0</v>
      </c>
      <c r="Y33" s="117"/>
      <c r="Z33" s="100">
        <v>0</v>
      </c>
      <c r="AA33" s="100">
        <v>0</v>
      </c>
      <c r="AB33" s="135"/>
      <c r="AP33" s="135"/>
      <c r="AQ33" s="9"/>
      <c r="AR33" s="16">
        <f t="shared" si="13"/>
        <v>9.1329999999999991</v>
      </c>
      <c r="AS33" s="16">
        <f t="shared" si="14"/>
        <v>8.0269999999999992</v>
      </c>
      <c r="AT33" s="9">
        <f t="shared" si="15"/>
        <v>3.4719708096775594</v>
      </c>
      <c r="AU33" s="16">
        <f t="shared" si="16"/>
        <v>7.6579334994334536</v>
      </c>
      <c r="AV33" s="16">
        <f t="shared" si="16"/>
        <v>7.305835988756086</v>
      </c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1:60" x14ac:dyDescent="0.25">
      <c r="A34" t="s">
        <v>134</v>
      </c>
      <c r="G34" s="14">
        <v>0</v>
      </c>
      <c r="H34" s="14">
        <v>0</v>
      </c>
      <c r="I34" s="14">
        <v>0</v>
      </c>
      <c r="J34" s="14">
        <v>0</v>
      </c>
      <c r="K34" s="14"/>
      <c r="L34" s="14"/>
      <c r="M34" s="16">
        <f t="shared" si="17"/>
        <v>0</v>
      </c>
      <c r="N34" s="117"/>
      <c r="O34" s="127">
        <f>J34*(1+M34)</f>
        <v>0</v>
      </c>
      <c r="P34" s="127">
        <f t="shared" si="11"/>
        <v>0</v>
      </c>
      <c r="Q34" s="95"/>
      <c r="R34" s="14">
        <v>0</v>
      </c>
      <c r="S34" s="14">
        <v>0</v>
      </c>
      <c r="T34" s="14">
        <v>0</v>
      </c>
      <c r="U34" s="14">
        <v>0</v>
      </c>
      <c r="V34" s="14"/>
      <c r="W34" s="14"/>
      <c r="X34" s="16">
        <v>0</v>
      </c>
      <c r="Y34" s="95"/>
      <c r="Z34" s="127">
        <f>U34*(1+X34)</f>
        <v>0</v>
      </c>
      <c r="AA34" s="127">
        <f t="shared" si="12"/>
        <v>0</v>
      </c>
      <c r="AB34" s="95"/>
      <c r="AP34" s="95"/>
      <c r="AQ34" s="14"/>
      <c r="AR34" s="16">
        <f t="shared" si="13"/>
        <v>0</v>
      </c>
      <c r="AS34" s="16">
        <f t="shared" si="14"/>
        <v>0</v>
      </c>
      <c r="AT34" s="16">
        <f t="shared" si="15"/>
        <v>0</v>
      </c>
      <c r="AU34" s="16">
        <f t="shared" si="16"/>
        <v>0</v>
      </c>
      <c r="AV34" s="16">
        <f t="shared" si="16"/>
        <v>0</v>
      </c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1:60" ht="13.8" thickBot="1" x14ac:dyDescent="0.3">
      <c r="B35" t="s">
        <v>66</v>
      </c>
      <c r="G35" s="157">
        <f>SUM(G28:G34)</f>
        <v>18083.892</v>
      </c>
      <c r="H35" s="157">
        <f>SUM(H28:H34)</f>
        <v>18605.355999999996</v>
      </c>
      <c r="I35" s="157">
        <f>SUM(I28:I34)</f>
        <v>18508.551000000003</v>
      </c>
      <c r="J35" s="157">
        <f>SUM(J28:J34)</f>
        <v>19268.200999999994</v>
      </c>
      <c r="K35" s="175">
        <v>0</v>
      </c>
      <c r="L35" s="175">
        <v>10934</v>
      </c>
      <c r="M35" s="157">
        <f>J35+K35-L35</f>
        <v>8334.2009999999937</v>
      </c>
      <c r="N35" s="117"/>
      <c r="O35" s="16">
        <f>SUM(O28:O34)</f>
        <v>19696.484868372758</v>
      </c>
      <c r="P35" s="16">
        <f>SUM(P28:P34)</f>
        <v>20136.068336341901</v>
      </c>
      <c r="Q35" s="95"/>
      <c r="R35" s="157">
        <f>SUM(R28:R34)</f>
        <v>22709.682000000001</v>
      </c>
      <c r="S35" s="157">
        <f>SUM(S28:S34)</f>
        <v>23045.989000000001</v>
      </c>
      <c r="T35" s="157">
        <f>SUM(T28:T34)</f>
        <v>23300.018000000004</v>
      </c>
      <c r="U35" s="157">
        <f>SUM(U28:U34)</f>
        <v>24325.547999999995</v>
      </c>
      <c r="V35" s="157"/>
      <c r="W35" s="157"/>
      <c r="X35" s="157">
        <f>SUM(X28:X34)</f>
        <v>18395.242663975627</v>
      </c>
      <c r="Y35" s="117"/>
      <c r="Z35" s="16">
        <f>SUM(Z28:Z34)</f>
        <v>24920.272265980002</v>
      </c>
      <c r="AA35" s="16">
        <f>SUM(AA28:AA34)</f>
        <v>25533.804184294902</v>
      </c>
      <c r="AB35" s="95"/>
      <c r="AP35" s="95"/>
      <c r="AQ35" s="14"/>
      <c r="AR35" s="157">
        <f>SUM(AR28:AR34)</f>
        <v>41808.569000000003</v>
      </c>
      <c r="AS35" s="157">
        <f>SUM(AS28:AS34)</f>
        <v>43593.749000000003</v>
      </c>
      <c r="AT35" s="157">
        <f>SUM(AT28:AT34)</f>
        <v>26729.443663975624</v>
      </c>
      <c r="AU35" s="157">
        <f>SUM(AU28:AU34)</f>
        <v>44616.75713435276</v>
      </c>
      <c r="AV35" s="157">
        <f>SUM(AV28:AV34)</f>
        <v>45669.872520636796</v>
      </c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1:60" ht="15.6" thickTop="1" x14ac:dyDescent="0.4">
      <c r="G36" s="29"/>
      <c r="H36" s="29"/>
      <c r="I36" s="29"/>
      <c r="J36" s="29"/>
      <c r="K36" s="29"/>
      <c r="L36" s="29"/>
      <c r="M36" s="29"/>
      <c r="N36" s="117"/>
      <c r="O36" s="100">
        <f>J36*(1+N36)</f>
        <v>0</v>
      </c>
      <c r="P36" s="100">
        <f>O36*(1+N36)</f>
        <v>0</v>
      </c>
      <c r="Q36" s="143"/>
      <c r="R36" s="28"/>
      <c r="S36" s="28"/>
      <c r="T36" s="28"/>
      <c r="U36" s="28"/>
      <c r="V36" s="28"/>
      <c r="W36" s="28"/>
      <c r="X36" s="29"/>
      <c r="Y36" s="143"/>
      <c r="Z36" s="100">
        <f>U36*(1+Y36)</f>
        <v>0</v>
      </c>
      <c r="AA36" s="100">
        <f>Z36*(1+Y36)</f>
        <v>0</v>
      </c>
      <c r="AB36" s="95"/>
      <c r="AP36" s="95"/>
      <c r="AQ36" s="14"/>
      <c r="AR36" s="29"/>
      <c r="AS36" s="29"/>
      <c r="AT36" s="2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1:60" x14ac:dyDescent="0.25">
      <c r="A37" t="s">
        <v>67</v>
      </c>
      <c r="G37" s="14">
        <v>7544.6710000000003</v>
      </c>
      <c r="H37" s="14">
        <v>9645.3549999999996</v>
      </c>
      <c r="I37" s="14">
        <v>30272.303</v>
      </c>
      <c r="J37" s="14">
        <v>41505.813000000002</v>
      </c>
      <c r="K37" s="14">
        <v>0</v>
      </c>
      <c r="L37" s="14">
        <v>18617</v>
      </c>
      <c r="M37" s="16">
        <f>J37+K37-L37</f>
        <v>22888.813000000002</v>
      </c>
      <c r="N37" s="118">
        <v>0.05</v>
      </c>
      <c r="O37" s="100">
        <f>J37*(1+N37)</f>
        <v>43581.103650000005</v>
      </c>
      <c r="P37" s="100">
        <f>O37*(1+N37)</f>
        <v>45760.158832500005</v>
      </c>
      <c r="Q37" s="135"/>
      <c r="R37" s="14">
        <v>7456.1409999999996</v>
      </c>
      <c r="S37" s="14">
        <v>10444.548000000001</v>
      </c>
      <c r="T37" s="14">
        <v>33317.129999999997</v>
      </c>
      <c r="U37" s="14">
        <v>43966.241000000002</v>
      </c>
      <c r="V37" s="14"/>
      <c r="W37" s="14"/>
      <c r="X37" s="16">
        <f>X18/X56*1000</f>
        <v>44590.685953232576</v>
      </c>
      <c r="Y37" s="117">
        <v>0.05</v>
      </c>
      <c r="Z37" s="100">
        <f>U37*(1+Y37)</f>
        <v>46164.553050000002</v>
      </c>
      <c r="AA37" s="100">
        <f>Z37*(1+Y37)</f>
        <v>48472.780702500007</v>
      </c>
      <c r="AB37" s="135"/>
      <c r="AP37" s="135"/>
      <c r="AQ37" s="9"/>
      <c r="AR37" s="16">
        <f>T37+I37+AQ37+AF37</f>
        <v>63589.432999999997</v>
      </c>
      <c r="AS37" s="16">
        <f>U37+J37+AG37</f>
        <v>85472.054000000004</v>
      </c>
      <c r="AT37" s="16">
        <f>X37+M37+AJ37</f>
        <v>67479.498953232571</v>
      </c>
      <c r="AU37" s="16">
        <f>O37+Z37+AL37</f>
        <v>89745.656700000007</v>
      </c>
      <c r="AV37" s="16">
        <f>P37+AA37+AM37</f>
        <v>94232.939535000012</v>
      </c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1:60" x14ac:dyDescent="0.25">
      <c r="G38" s="16"/>
      <c r="H38" s="16"/>
      <c r="I38" s="16"/>
      <c r="J38" s="16"/>
      <c r="K38" s="16"/>
      <c r="L38" s="16"/>
      <c r="M38" s="16"/>
      <c r="N38" s="117"/>
      <c r="O38" s="100"/>
      <c r="P38" s="100"/>
      <c r="Q38" s="135"/>
      <c r="R38" s="9"/>
      <c r="S38" s="9"/>
      <c r="T38" s="9"/>
      <c r="U38" s="9"/>
      <c r="V38" s="9"/>
      <c r="W38" s="9"/>
      <c r="X38" s="16"/>
      <c r="Y38" s="95"/>
      <c r="Z38" s="100"/>
      <c r="AA38" s="100"/>
      <c r="AB38" s="135"/>
      <c r="AP38" s="135"/>
      <c r="AQ38" s="9"/>
      <c r="AR38" s="16"/>
      <c r="AS38" s="9"/>
      <c r="AT38" s="9"/>
    </row>
    <row r="39" spans="1:60" ht="13.8" thickBot="1" x14ac:dyDescent="0.3">
      <c r="C39" t="s">
        <v>2</v>
      </c>
      <c r="G39" s="158">
        <f t="shared" ref="G39:L39" si="18">G37+G35</f>
        <v>25628.563000000002</v>
      </c>
      <c r="H39" s="158">
        <f t="shared" si="18"/>
        <v>28250.710999999996</v>
      </c>
      <c r="I39" s="158">
        <f t="shared" si="18"/>
        <v>48780.854000000007</v>
      </c>
      <c r="J39" s="158">
        <f t="shared" si="18"/>
        <v>60774.013999999996</v>
      </c>
      <c r="K39" s="158">
        <f t="shared" si="18"/>
        <v>0</v>
      </c>
      <c r="L39" s="158">
        <f t="shared" si="18"/>
        <v>29551</v>
      </c>
      <c r="M39" s="158">
        <f>J39+K39-L39</f>
        <v>31223.013999999996</v>
      </c>
      <c r="N39" s="117"/>
      <c r="O39" s="16">
        <f>O37+O35</f>
        <v>63277.588518372766</v>
      </c>
      <c r="P39" s="16">
        <f>P37+P35</f>
        <v>65896.227168841899</v>
      </c>
      <c r="Q39" s="95"/>
      <c r="R39" s="158">
        <f>R37+R35</f>
        <v>30165.823</v>
      </c>
      <c r="S39" s="158">
        <f>S37+S35</f>
        <v>33490.537000000004</v>
      </c>
      <c r="T39" s="158">
        <f>T37+T35</f>
        <v>56617.148000000001</v>
      </c>
      <c r="U39" s="158">
        <f>U37+U35</f>
        <v>68291.78899999999</v>
      </c>
      <c r="V39" s="158"/>
      <c r="W39" s="158"/>
      <c r="X39" s="158">
        <f>X37+X35</f>
        <v>62985.928617208207</v>
      </c>
      <c r="Y39" s="95"/>
      <c r="Z39" s="16">
        <f>Z37+Z35</f>
        <v>71084.825315980008</v>
      </c>
      <c r="AA39" s="16">
        <f>AA37+AA35</f>
        <v>74006.58488679491</v>
      </c>
      <c r="AB39" s="95"/>
      <c r="AP39" s="95"/>
      <c r="AQ39" s="14"/>
      <c r="AR39" s="16">
        <f>T39+I39+AQ39+AF39</f>
        <v>105398.00200000001</v>
      </c>
      <c r="AS39" s="16">
        <f>U39+J39+AG39</f>
        <v>129065.80299999999</v>
      </c>
      <c r="AT39" s="16">
        <f>X39+M39+AJ39</f>
        <v>94208.942617208202</v>
      </c>
      <c r="AU39" s="16">
        <f>O39+Z39+AL39</f>
        <v>134362.41383435277</v>
      </c>
      <c r="AV39" s="16">
        <f>P39+AA39+AM39</f>
        <v>139902.81205563681</v>
      </c>
      <c r="AW39" s="9"/>
      <c r="AX39" s="9"/>
      <c r="AY39" s="9"/>
    </row>
    <row r="40" spans="1:60" ht="13.8" thickTop="1" x14ac:dyDescent="0.25">
      <c r="G40" s="14"/>
      <c r="H40" s="14"/>
      <c r="I40" s="14"/>
      <c r="J40" s="14"/>
      <c r="K40" s="14"/>
      <c r="L40" s="14"/>
      <c r="M40" s="16"/>
      <c r="N40" s="117"/>
      <c r="O40" s="16"/>
      <c r="P40" s="14"/>
      <c r="Q40" s="95"/>
      <c r="R40" s="14"/>
      <c r="S40" s="14"/>
      <c r="T40" s="14"/>
      <c r="U40" s="14"/>
      <c r="V40" s="14"/>
      <c r="W40" s="14"/>
      <c r="X40" s="16"/>
      <c r="Y40" s="95"/>
      <c r="Z40" s="16"/>
      <c r="AA40" s="16"/>
      <c r="AB40" s="95"/>
      <c r="AP40" s="95"/>
      <c r="AQ40" s="14"/>
      <c r="AR40" s="16"/>
      <c r="AS40" s="16"/>
      <c r="AT40" s="16"/>
    </row>
    <row r="41" spans="1:60" x14ac:dyDescent="0.25">
      <c r="A41" s="1" t="s">
        <v>74</v>
      </c>
      <c r="G41" s="14"/>
      <c r="H41" s="14"/>
      <c r="I41" s="14"/>
      <c r="J41" s="14"/>
      <c r="K41" s="14"/>
      <c r="L41" s="14"/>
      <c r="M41" s="16"/>
      <c r="N41" s="117"/>
      <c r="O41" s="16"/>
      <c r="P41" s="14"/>
      <c r="Q41" s="95"/>
      <c r="R41" s="14"/>
      <c r="S41" s="14"/>
      <c r="T41" s="14"/>
      <c r="U41" s="14"/>
      <c r="V41" s="14"/>
      <c r="W41" s="14"/>
      <c r="X41" s="16"/>
      <c r="Y41" s="95"/>
      <c r="Z41" s="16"/>
      <c r="AA41" s="16"/>
      <c r="AB41" s="95"/>
      <c r="AP41" s="95"/>
      <c r="AQ41" s="14"/>
      <c r="AR41" s="16"/>
      <c r="AS41" s="16"/>
      <c r="AT41" s="16"/>
    </row>
    <row r="42" spans="1:60" x14ac:dyDescent="0.25">
      <c r="A42" t="s">
        <v>9</v>
      </c>
      <c r="G42" s="42">
        <f>G9/G28*1000</f>
        <v>77.33582119191334</v>
      </c>
      <c r="H42" s="42">
        <f>H9/H28*1000</f>
        <v>76.905143294430104</v>
      </c>
      <c r="I42" s="42">
        <f>I9/I28*1000</f>
        <v>75.752391080887151</v>
      </c>
      <c r="J42" s="42">
        <f>J9/J28*1000</f>
        <v>77.109021965459362</v>
      </c>
      <c r="K42" s="42"/>
      <c r="L42" s="42"/>
      <c r="M42" s="43">
        <f>M9/M28*1000</f>
        <v>217.19644574670542</v>
      </c>
      <c r="N42" s="118">
        <v>-3.15E-2</v>
      </c>
      <c r="O42" s="42">
        <f>J42+J42*N42</f>
        <v>74.680087773547399</v>
      </c>
      <c r="P42" s="42">
        <f>O42+O42*Q42</f>
        <v>73.074465886416135</v>
      </c>
      <c r="Q42" s="118">
        <v>-2.1499999999999998E-2</v>
      </c>
      <c r="R42" s="42">
        <f>R9/R28*1000</f>
        <v>59.054871942631024</v>
      </c>
      <c r="S42" s="42">
        <f>S9/S28*1000</f>
        <v>60.840112036650744</v>
      </c>
      <c r="T42" s="42">
        <f>T9/T28*1000</f>
        <v>65.839214669110191</v>
      </c>
      <c r="U42" s="42">
        <f>U9/U28*1000</f>
        <v>65.240227606454965</v>
      </c>
      <c r="V42" s="42"/>
      <c r="W42" s="42"/>
      <c r="X42" s="42">
        <f>U42*($U$16-5)/$U$16</f>
        <v>64.961266113637208</v>
      </c>
      <c r="Y42" s="104">
        <v>-3.15E-2</v>
      </c>
      <c r="Z42" s="42">
        <f>U42+U42*Y42</f>
        <v>63.185160436851632</v>
      </c>
      <c r="AA42" s="42">
        <f>Z42+Z42*AB42</f>
        <v>61.542346265493492</v>
      </c>
      <c r="AB42" s="104">
        <v>-2.5999999999999999E-2</v>
      </c>
      <c r="AP42" s="104"/>
      <c r="AQ42" s="42"/>
      <c r="AR42" s="42">
        <f>AR9/AR28*1000</f>
        <v>70.355098615139127</v>
      </c>
      <c r="AS42" s="42">
        <f>AS9/AS28*1000</f>
        <v>70.796315208161673</v>
      </c>
      <c r="AT42" s="42">
        <f>AT9/AT28*1000</f>
        <v>106.37985179385534</v>
      </c>
      <c r="AU42" s="42">
        <f>AU9/AU28*1000</f>
        <v>63.221107757462022</v>
      </c>
      <c r="AV42" s="42">
        <f>AV9/AV28*1000</f>
        <v>61.6361876106278</v>
      </c>
      <c r="AW42" s="72"/>
      <c r="AX42" s="72"/>
      <c r="AY42" s="72"/>
      <c r="AZ42" s="72"/>
      <c r="BA42" s="72"/>
      <c r="BB42" s="72"/>
    </row>
    <row r="43" spans="1:60" x14ac:dyDescent="0.25">
      <c r="B43" t="s">
        <v>147</v>
      </c>
      <c r="G43" s="31">
        <v>0</v>
      </c>
      <c r="H43" s="31">
        <v>0</v>
      </c>
      <c r="I43" s="31">
        <v>0</v>
      </c>
      <c r="J43" s="31">
        <v>0</v>
      </c>
      <c r="K43" s="31"/>
      <c r="L43" s="31"/>
      <c r="M43" s="36">
        <v>0</v>
      </c>
      <c r="N43" s="118"/>
      <c r="O43" s="31">
        <f>-(118*2/5*0.47)*(O42/(O$42+O$44+O$46+O$48+O$50+O$52))</f>
        <v>-5.6133088237711757</v>
      </c>
      <c r="P43" s="31">
        <f>-(118*2/5*0.47)*(P42/(P$42+P$44+P$46+P$48+P$50+P$52))</f>
        <v>-5.6068885563183892</v>
      </c>
      <c r="Q43" s="118"/>
      <c r="R43" s="31">
        <v>0</v>
      </c>
      <c r="S43" s="31">
        <v>0</v>
      </c>
      <c r="T43" s="31">
        <v>0</v>
      </c>
      <c r="U43" s="31">
        <v>0</v>
      </c>
      <c r="V43" s="31"/>
      <c r="W43" s="31"/>
      <c r="X43" s="31">
        <v>0</v>
      </c>
      <c r="Y43" s="104"/>
      <c r="Z43" s="31">
        <f>-(118*2/5*0.47)*(Z42/(Z$42+Z$44+Z$46+Z$48+Z$50+Z$52))</f>
        <v>-5.1535054099579636</v>
      </c>
      <c r="AA43" s="31">
        <f>-(118*2/5*0.47)*(AA42/(AA$42+AA$44+AA$46+AA$48+AA$50+AA$52))</f>
        <v>-5.1276306350751444</v>
      </c>
      <c r="AB43" s="104"/>
      <c r="AP43" s="104"/>
      <c r="AQ43" s="31"/>
      <c r="AR43" s="31"/>
      <c r="AS43" s="31"/>
      <c r="AT43" s="31"/>
      <c r="AU43" s="11"/>
      <c r="AV43" s="11"/>
    </row>
    <row r="44" spans="1:60" x14ac:dyDescent="0.25">
      <c r="A44" t="s">
        <v>10</v>
      </c>
      <c r="G44" s="31">
        <f>G10/G29*1000</f>
        <v>68.281452805979612</v>
      </c>
      <c r="H44" s="31">
        <f>H10/H29*1000</f>
        <v>67.910484516260027</v>
      </c>
      <c r="I44" s="31">
        <f>I10/I29*1000</f>
        <v>65.87997406873157</v>
      </c>
      <c r="J44" s="31">
        <f>J10/J29*1000</f>
        <v>67.125625124418775</v>
      </c>
      <c r="K44" s="31"/>
      <c r="L44" s="31"/>
      <c r="M44" s="36">
        <f>M10/M29*1000</f>
        <v>189.0757634311625</v>
      </c>
      <c r="N44" s="118">
        <v>-0.03</v>
      </c>
      <c r="O44" s="31">
        <f>J44+J44*N44</f>
        <v>65.111856370686212</v>
      </c>
      <c r="P44" s="31">
        <f t="shared" ref="P44:P52" si="19">O44+O44*Q44</f>
        <v>63.809619243272486</v>
      </c>
      <c r="Q44" s="118">
        <v>-0.02</v>
      </c>
      <c r="R44" s="31">
        <f>R10/R29*1000</f>
        <v>46.733634698263906</v>
      </c>
      <c r="S44" s="31">
        <f>S10/S29*1000</f>
        <v>47.654277661939538</v>
      </c>
      <c r="T44" s="31">
        <f>T10/T29*1000</f>
        <v>49.132390163708855</v>
      </c>
      <c r="U44" s="31">
        <f>U10/U29*1000</f>
        <v>49.824617041914188</v>
      </c>
      <c r="V44" s="31"/>
      <c r="W44" s="31"/>
      <c r="X44" s="31">
        <f>U44*($J$16-5)/$J$16</f>
        <v>49.617669104487888</v>
      </c>
      <c r="Y44" s="104">
        <v>-0.03</v>
      </c>
      <c r="Z44" s="31">
        <f>U44+U44*Y44</f>
        <v>48.329878530656764</v>
      </c>
      <c r="AA44" s="31">
        <f>Z44+Z44*AB44</f>
        <v>48.329878530656764</v>
      </c>
      <c r="AB44" s="104"/>
      <c r="AP44" s="104"/>
      <c r="AQ44" s="31"/>
      <c r="AR44" s="31">
        <f>AR10/AR29*1000</f>
        <v>57.177332916236438</v>
      </c>
      <c r="AS44" s="31">
        <f>AS10/AS29*1000</f>
        <v>57.737302771966768</v>
      </c>
      <c r="AT44" s="31">
        <f>AT10/AT29*1000</f>
        <v>327.69070940629138</v>
      </c>
      <c r="AU44" s="31">
        <f>AU10/AU29*1000</f>
        <v>50.634166832626597</v>
      </c>
      <c r="AV44" s="31">
        <f>AV10/AV29*1000</f>
        <v>50.049512170400256</v>
      </c>
      <c r="AW44" s="11"/>
    </row>
    <row r="45" spans="1:60" x14ac:dyDescent="0.25">
      <c r="B45" t="s">
        <v>146</v>
      </c>
      <c r="G45" s="31">
        <v>0</v>
      </c>
      <c r="H45" s="31">
        <v>0</v>
      </c>
      <c r="I45" s="31">
        <v>0</v>
      </c>
      <c r="J45" s="31">
        <v>0</v>
      </c>
      <c r="K45" s="31"/>
      <c r="L45" s="31"/>
      <c r="M45" s="36">
        <v>0</v>
      </c>
      <c r="N45" s="118"/>
      <c r="O45" s="31">
        <f>-(118*2/5*0.47)*(O44/(O$42+O$44+O$46+O$48+O$50+O$52))</f>
        <v>-4.8941152694675383</v>
      </c>
      <c r="P45" s="31">
        <f>-(118*2/5*0.47)*(P44/(P$42+P$44+P$46+P$48+P$50+P$52))</f>
        <v>-4.8960114805935921</v>
      </c>
      <c r="Q45" s="118"/>
      <c r="R45" s="31">
        <v>0</v>
      </c>
      <c r="S45" s="31">
        <v>0</v>
      </c>
      <c r="T45" s="31">
        <v>0</v>
      </c>
      <c r="U45" s="31">
        <v>0</v>
      </c>
      <c r="V45" s="31"/>
      <c r="W45" s="31"/>
      <c r="X45" s="31">
        <v>0</v>
      </c>
      <c r="Y45" s="104"/>
      <c r="Z45" s="31">
        <f>-(118*2/5*0.47)*(Z44/(Z$42+Z$44+Z$46+Z$48+Z$50+Z$52))</f>
        <v>-3.9418795291225717</v>
      </c>
      <c r="AA45" s="31">
        <f>-(118*2/5*0.47)*(AA44/(AA$42+AA$44+AA$46+AA$48+AA$50+AA$52))</f>
        <v>-4.0267844952509781</v>
      </c>
      <c r="AB45" s="104"/>
      <c r="AP45" s="104"/>
      <c r="AQ45" s="31"/>
      <c r="AR45" s="31"/>
      <c r="AS45" s="31"/>
      <c r="AT45" s="31"/>
      <c r="AU45" s="11"/>
      <c r="AV45" s="11"/>
      <c r="AW45" s="11"/>
    </row>
    <row r="46" spans="1:60" x14ac:dyDescent="0.25">
      <c r="A46" t="s">
        <v>11</v>
      </c>
      <c r="G46" s="31">
        <f>G11/G30*1000</f>
        <v>46.174742053890277</v>
      </c>
      <c r="H46" s="31">
        <f>H11/H30*1000</f>
        <v>45.961487938245135</v>
      </c>
      <c r="I46" s="31">
        <f>I11/I30*1000</f>
        <v>43.107642490062261</v>
      </c>
      <c r="J46" s="31">
        <f>J11/J30*1000</f>
        <v>44.73754342453978</v>
      </c>
      <c r="K46" s="31"/>
      <c r="L46" s="31"/>
      <c r="M46" s="36">
        <f>M11/M30*1000</f>
        <v>126.01424808113302</v>
      </c>
      <c r="N46" s="118">
        <v>-0.03</v>
      </c>
      <c r="O46" s="31">
        <f>J46+J46*N46</f>
        <v>43.39541712180359</v>
      </c>
      <c r="P46" s="31">
        <f t="shared" si="19"/>
        <v>42.527508779367516</v>
      </c>
      <c r="Q46" s="118">
        <v>-0.02</v>
      </c>
      <c r="R46" s="31">
        <f>R11/R30*1000</f>
        <v>34.559663909762406</v>
      </c>
      <c r="S46" s="31">
        <f>S11/S30*1000</f>
        <v>34.763026371623887</v>
      </c>
      <c r="T46" s="31">
        <f>T11/T30*1000</f>
        <v>36.482143842457724</v>
      </c>
      <c r="U46" s="31">
        <f>U11/U30*1000</f>
        <v>35.086967208488211</v>
      </c>
      <c r="V46" s="31"/>
      <c r="W46" s="31"/>
      <c r="X46" s="31">
        <f>U46*($J$16-5)/$J$16</f>
        <v>34.941232510954414</v>
      </c>
      <c r="Y46" s="104">
        <v>-0.03</v>
      </c>
      <c r="Z46" s="31">
        <f>U46+U46*Y46</f>
        <v>34.034358192233562</v>
      </c>
      <c r="AA46" s="31">
        <f>Z46+Z46*AB46</f>
        <v>33.166482058331603</v>
      </c>
      <c r="AB46" s="104">
        <v>-2.5499999999999998E-2</v>
      </c>
      <c r="AP46" s="104"/>
      <c r="AQ46" s="31"/>
      <c r="AR46" s="31">
        <f>AR11/AR30*1000</f>
        <v>38.893945918976939</v>
      </c>
      <c r="AS46" s="31">
        <f>AS11/AS30*1000</f>
        <v>38.628378249538535</v>
      </c>
      <c r="AT46" s="31">
        <f>AT11/AT30*1000</f>
        <v>52.933564128530804</v>
      </c>
      <c r="AU46" s="31">
        <f>AU11/AU30*1000</f>
        <v>50.185961463541027</v>
      </c>
      <c r="AV46" s="31">
        <f>AV11/AV30*1000</f>
        <v>49.64436505994518</v>
      </c>
      <c r="AW46" s="11"/>
    </row>
    <row r="47" spans="1:60" x14ac:dyDescent="0.25">
      <c r="B47" t="s">
        <v>146</v>
      </c>
      <c r="G47" s="31">
        <v>0</v>
      </c>
      <c r="H47" s="31">
        <v>0</v>
      </c>
      <c r="I47" s="31">
        <v>0</v>
      </c>
      <c r="J47" s="31">
        <v>0</v>
      </c>
      <c r="K47" s="31"/>
      <c r="L47" s="31"/>
      <c r="M47" s="36">
        <v>0</v>
      </c>
      <c r="N47" s="118"/>
      <c r="O47" s="31">
        <f>-(118*2/5*0.47)*(O46/(O$42+O$44+O$46+O$48+O$50+O$52))</f>
        <v>-3.2618049215434115</v>
      </c>
      <c r="P47" s="31">
        <f>-(118*2/5*0.47)*(P46/(P$42+P$44+P$46+P$48+P$50+P$52))</f>
        <v>-3.2630686986395152</v>
      </c>
      <c r="Q47" s="118"/>
      <c r="R47" s="31">
        <v>0</v>
      </c>
      <c r="S47" s="31">
        <v>0</v>
      </c>
      <c r="T47" s="31">
        <v>0</v>
      </c>
      <c r="U47" s="31">
        <v>0</v>
      </c>
      <c r="V47" s="31"/>
      <c r="W47" s="31"/>
      <c r="X47" s="31">
        <v>0</v>
      </c>
      <c r="Y47" s="104"/>
      <c r="Z47" s="31">
        <f>-(118*2/5*0.47)*(Z46/(Z$42+Z$44+Z$46+Z$48+Z$50+Z$52))</f>
        <v>-2.7759088978402917</v>
      </c>
      <c r="AA47" s="31">
        <f>-(118*2/5*0.47)*(AA46/(AA$42+AA$44+AA$46+AA$48+AA$50+AA$52))</f>
        <v>-2.7633894347529315</v>
      </c>
      <c r="AB47" s="104"/>
      <c r="AP47" s="104"/>
      <c r="AQ47" s="31"/>
      <c r="AR47" s="31"/>
      <c r="AS47" s="31"/>
      <c r="AT47" s="31"/>
      <c r="AU47" s="11"/>
      <c r="AV47" s="11"/>
      <c r="AW47" s="11"/>
    </row>
    <row r="48" spans="1:60" x14ac:dyDescent="0.25">
      <c r="A48" t="s">
        <v>165</v>
      </c>
      <c r="G48" s="31">
        <f>G12/G31*1000</f>
        <v>65.127921250177039</v>
      </c>
      <c r="H48" s="31">
        <f>H12/H31*1000</f>
        <v>66.456901698645524</v>
      </c>
      <c r="I48" s="31">
        <f>I12/I31*1000</f>
        <v>62.506830979414758</v>
      </c>
      <c r="J48" s="31">
        <f>J12/J31*1000</f>
        <v>67.85509157675736</v>
      </c>
      <c r="K48" s="31"/>
      <c r="L48" s="31"/>
      <c r="M48" s="36">
        <f>M12/M31*1000</f>
        <v>191.13048435357766</v>
      </c>
      <c r="N48" s="118">
        <v>-0.03</v>
      </c>
      <c r="O48" s="31">
        <f>J48+J48*N48</f>
        <v>65.81943882945464</v>
      </c>
      <c r="P48" s="31">
        <f t="shared" si="19"/>
        <v>64.503050052865547</v>
      </c>
      <c r="Q48" s="118">
        <v>-0.02</v>
      </c>
      <c r="R48" s="31">
        <f>R12/R31*1000</f>
        <v>121.43653873796177</v>
      </c>
      <c r="S48" s="31">
        <f>S12/S31*1000</f>
        <v>124.38018811349936</v>
      </c>
      <c r="T48" s="31">
        <f>T12/T31*1000</f>
        <v>128.98857933091972</v>
      </c>
      <c r="U48" s="31">
        <f>U12/U31*1000</f>
        <v>130.35066938120798</v>
      </c>
      <c r="V48" s="31"/>
      <c r="W48" s="31"/>
      <c r="X48" s="31">
        <f>U48*($J$16-5)/$J$16</f>
        <v>129.80925423800906</v>
      </c>
      <c r="Y48" s="104">
        <v>-0.03</v>
      </c>
      <c r="Z48" s="31">
        <f>U48+U48*Y48</f>
        <v>126.44014929977175</v>
      </c>
      <c r="AA48" s="31">
        <f>Z48+Z48*AB48</f>
        <v>123.21592549262756</v>
      </c>
      <c r="AB48" s="104">
        <v>-2.5499999999999998E-2</v>
      </c>
      <c r="AP48" s="104"/>
      <c r="AQ48" s="31"/>
      <c r="AR48" s="31">
        <f>AR12/AR31*1000</f>
        <v>90.837764284437256</v>
      </c>
      <c r="AS48" s="31">
        <f>AS12/AS31*1000</f>
        <v>94.374043653260912</v>
      </c>
      <c r="AT48" s="31">
        <f>AT12/AT31*1000</f>
        <v>152.2253955216519</v>
      </c>
      <c r="AU48" s="31">
        <f>AU12/AU31*1000</f>
        <v>34.934925713505748</v>
      </c>
      <c r="AV48" s="31">
        <f>AV12/AV31*1000</f>
        <v>34.03171328772104</v>
      </c>
      <c r="AW48" s="11"/>
    </row>
    <row r="49" spans="1:58" x14ac:dyDescent="0.25">
      <c r="B49" t="s">
        <v>146</v>
      </c>
      <c r="G49" s="31">
        <v>0</v>
      </c>
      <c r="H49" s="31">
        <v>0</v>
      </c>
      <c r="I49" s="31">
        <v>0</v>
      </c>
      <c r="J49" s="31">
        <v>0</v>
      </c>
      <c r="K49" s="31"/>
      <c r="L49" s="31"/>
      <c r="M49" s="36">
        <v>0</v>
      </c>
      <c r="N49" s="118"/>
      <c r="O49" s="31">
        <f>-(118*2/5*0.47)*(O48/(O$42+O$44+O$46+O$48+O$50+O$52))</f>
        <v>-4.9473005157328407</v>
      </c>
      <c r="P49" s="31">
        <f>-(118*2/5*0.47)*(P48/(P$42+P$44+P$46+P$48+P$50+P$52))</f>
        <v>-4.9492173333322116</v>
      </c>
      <c r="Q49" s="118"/>
      <c r="R49" s="31">
        <v>0</v>
      </c>
      <c r="S49" s="31">
        <v>0</v>
      </c>
      <c r="T49" s="31">
        <v>0</v>
      </c>
      <c r="U49" s="31">
        <v>0</v>
      </c>
      <c r="V49" s="31"/>
      <c r="W49" s="31"/>
      <c r="X49" s="31">
        <v>0</v>
      </c>
      <c r="Y49" s="104"/>
      <c r="Z49" s="31">
        <f>-(118*2/5*0.47)*(Z48/(Z$42+Z$44+Z$46+Z$48+Z$50+Z$52))</f>
        <v>-10.312706163079175</v>
      </c>
      <c r="AA49" s="31">
        <f>-(118*2/5*0.47)*(AA48/(AA$42+AA$44+AA$46+AA$48+AA$50+AA$52))</f>
        <v>-10.266195434920947</v>
      </c>
      <c r="AB49" s="104"/>
      <c r="AP49" s="104"/>
      <c r="AQ49" s="31"/>
      <c r="AR49" s="31"/>
      <c r="AS49" s="31"/>
      <c r="AT49" s="31"/>
      <c r="AU49" s="11"/>
      <c r="AV49" s="11"/>
      <c r="AW49" s="11"/>
    </row>
    <row r="50" spans="1:58" x14ac:dyDescent="0.25">
      <c r="A50" t="s">
        <v>72</v>
      </c>
      <c r="G50" s="31">
        <f>G13/G32*1000</f>
        <v>57.418061129690116</v>
      </c>
      <c r="H50" s="31">
        <f>H13/H32*1000</f>
        <v>57.474331689954326</v>
      </c>
      <c r="I50" s="31">
        <f>I13/I32*1000</f>
        <v>54.953592893566821</v>
      </c>
      <c r="J50" s="31">
        <f>J13/J32*1000</f>
        <v>57.247402553791979</v>
      </c>
      <c r="K50" s="31"/>
      <c r="L50" s="31"/>
      <c r="M50" s="31">
        <f>M13/M32*1000</f>
        <v>161.2513302073032</v>
      </c>
      <c r="N50" s="118">
        <v>-0.03</v>
      </c>
      <c r="O50" s="31">
        <v>0</v>
      </c>
      <c r="P50" s="31">
        <v>0</v>
      </c>
      <c r="Q50" s="118">
        <v>-0.02</v>
      </c>
      <c r="R50" s="31">
        <f>R13/R32*1000</f>
        <v>87.589073634204283</v>
      </c>
      <c r="S50" s="31">
        <f>S13/S32*1000</f>
        <v>86.662807525325618</v>
      </c>
      <c r="T50" s="31">
        <f>T13/T32*1000</f>
        <v>92.393782383419691</v>
      </c>
      <c r="U50" s="31">
        <f>U13/U32*1000</f>
        <v>94.119309262166396</v>
      </c>
      <c r="V50" s="31"/>
      <c r="W50" s="31"/>
      <c r="X50" s="31">
        <f>U50*($J$16-5)/$J$16</f>
        <v>93.728382084393843</v>
      </c>
      <c r="Y50" s="104">
        <v>-0.03</v>
      </c>
      <c r="Z50" s="31">
        <v>0</v>
      </c>
      <c r="AA50" s="31">
        <v>0</v>
      </c>
      <c r="AB50" s="104">
        <v>-2.5499999999999998E-2</v>
      </c>
      <c r="AP50" s="104"/>
      <c r="AQ50" s="31"/>
      <c r="AR50" s="31">
        <f>AR13/AR32*1000</f>
        <v>54.970206044777157</v>
      </c>
      <c r="AS50" s="31">
        <f>AS13/AS32*1000</f>
        <v>57.265524935881821</v>
      </c>
      <c r="AT50" s="31">
        <f>AT13/AT32*1000</f>
        <v>161.17324088239468</v>
      </c>
      <c r="AU50" s="31">
        <f>AU13/AU32*1000</f>
        <v>40.12842191718503</v>
      </c>
      <c r="AV50" s="31">
        <f>AV13/AV32*1000</f>
        <v>39.258274105096959</v>
      </c>
      <c r="AW50" s="11"/>
    </row>
    <row r="51" spans="1:58" x14ac:dyDescent="0.25">
      <c r="B51" t="s">
        <v>146</v>
      </c>
      <c r="G51" s="31">
        <v>0</v>
      </c>
      <c r="H51" s="31">
        <v>0</v>
      </c>
      <c r="I51" s="31">
        <v>0</v>
      </c>
      <c r="J51" s="31">
        <v>0</v>
      </c>
      <c r="K51" s="31"/>
      <c r="L51" s="31"/>
      <c r="M51" s="31">
        <v>0</v>
      </c>
      <c r="N51" s="118"/>
      <c r="O51" s="31">
        <v>0</v>
      </c>
      <c r="P51" s="31">
        <v>0</v>
      </c>
      <c r="Q51" s="118"/>
      <c r="R51" s="31">
        <v>0</v>
      </c>
      <c r="S51" s="31">
        <v>0</v>
      </c>
      <c r="T51" s="31">
        <v>0</v>
      </c>
      <c r="U51" s="31">
        <v>0</v>
      </c>
      <c r="V51" s="31"/>
      <c r="W51" s="31"/>
      <c r="X51" s="31">
        <f>U51*($J$16-5)/$J$16</f>
        <v>0</v>
      </c>
      <c r="Y51" s="104"/>
      <c r="Z51" s="31">
        <v>0</v>
      </c>
      <c r="AA51" s="31">
        <v>0</v>
      </c>
      <c r="AB51" s="104"/>
      <c r="AP51" s="104"/>
      <c r="AQ51" s="31"/>
      <c r="AR51" s="31"/>
      <c r="AS51" s="31"/>
      <c r="AT51" s="31"/>
      <c r="AU51" s="11"/>
      <c r="AV51" s="11"/>
      <c r="AW51" s="11"/>
    </row>
    <row r="52" spans="1:58" x14ac:dyDescent="0.25">
      <c r="A52" t="s">
        <v>166</v>
      </c>
      <c r="G52" s="31">
        <f>G14/G33*1000</f>
        <v>50.263293864370297</v>
      </c>
      <c r="H52" s="31">
        <f>H14/H33*1000</f>
        <v>50.198068669527899</v>
      </c>
      <c r="I52" s="31">
        <f>I14/I33*1000</f>
        <v>46.151866856454625</v>
      </c>
      <c r="J52" s="31">
        <f>J14/J33*1000</f>
        <v>47.55836551638221</v>
      </c>
      <c r="K52" s="31"/>
      <c r="L52" s="31"/>
      <c r="M52" s="31">
        <f>M14/M33*1000</f>
        <v>133.9597843726763</v>
      </c>
      <c r="N52" s="118">
        <v>-0.03</v>
      </c>
      <c r="O52" s="31">
        <f>J52+J52*N52</f>
        <v>46.131614550890745</v>
      </c>
      <c r="P52" s="31">
        <f t="shared" si="19"/>
        <v>45.208982259872933</v>
      </c>
      <c r="Q52" s="118">
        <v>-0.02</v>
      </c>
      <c r="R52" s="31">
        <v>0</v>
      </c>
      <c r="S52" s="31">
        <v>0</v>
      </c>
      <c r="T52" s="31">
        <v>0</v>
      </c>
      <c r="U52" s="31">
        <v>0</v>
      </c>
      <c r="V52" s="31"/>
      <c r="W52" s="31"/>
      <c r="X52" s="31">
        <f>U52*($J$16-5)/$J$16</f>
        <v>0</v>
      </c>
      <c r="Y52" s="104">
        <v>-0.03</v>
      </c>
      <c r="Z52" s="31">
        <f>U52+U52*Y52</f>
        <v>0</v>
      </c>
      <c r="AA52" s="31">
        <f>Z52+Z52*AB52</f>
        <v>0</v>
      </c>
      <c r="AB52" s="104">
        <v>-2.5499999999999998E-2</v>
      </c>
      <c r="AP52" s="104"/>
      <c r="AQ52" s="31"/>
      <c r="AR52" s="31">
        <f>AR14/AR33*1000</f>
        <v>46.151866856454625</v>
      </c>
      <c r="AS52" s="31">
        <f>AS14/AS33*1000</f>
        <v>47.55836551638221</v>
      </c>
      <c r="AT52" s="31">
        <f>AT14/AT33*1000</f>
        <v>133.9597843726763</v>
      </c>
      <c r="AU52" s="31">
        <f>AU14/AU33*1000</f>
        <v>62.557633907911232</v>
      </c>
      <c r="AV52" s="31">
        <f>AV14/AV33*1000</f>
        <v>61.239981354226039</v>
      </c>
      <c r="AW52" s="11"/>
    </row>
    <row r="53" spans="1:58" ht="15" x14ac:dyDescent="0.4">
      <c r="B53" t="s">
        <v>146</v>
      </c>
      <c r="G53" s="31">
        <v>0</v>
      </c>
      <c r="H53" s="31">
        <v>0</v>
      </c>
      <c r="I53" s="31">
        <v>0</v>
      </c>
      <c r="J53" s="31">
        <v>0</v>
      </c>
      <c r="K53" s="31"/>
      <c r="L53" s="31"/>
      <c r="M53" s="31">
        <v>0</v>
      </c>
      <c r="N53" s="133"/>
      <c r="O53" s="31">
        <f>-(118*2/5*0.47)*(O52/(O$42+O$44+O$46+O$48+O$50+O$52))</f>
        <v>-3.4674704694850318</v>
      </c>
      <c r="P53" s="31">
        <f>-(118*2/5*0.47)*(P52/(P$42+P$44+P$46+P$48+P$50+P$52))</f>
        <v>-3.4688139311162938</v>
      </c>
      <c r="Q53" s="136"/>
      <c r="R53" s="31">
        <v>0</v>
      </c>
      <c r="S53" s="31">
        <v>0</v>
      </c>
      <c r="T53" s="31">
        <v>0</v>
      </c>
      <c r="U53" s="31">
        <v>0</v>
      </c>
      <c r="V53" s="31"/>
      <c r="W53" s="31"/>
      <c r="X53" s="31">
        <v>0</v>
      </c>
      <c r="Y53" s="136"/>
      <c r="Z53" s="32">
        <f>-(118*2/5*0.47)*(Z52/(Z$42+Z$44+Z$46+Z$48+Z$50+Z$52))</f>
        <v>0</v>
      </c>
      <c r="AA53" s="32">
        <f>-(118*2/5*0.47)*(AA52/(AA$42+AA$44+AA$46+AA$48+AA$50+AA$52))</f>
        <v>0</v>
      </c>
      <c r="AB53" s="136"/>
      <c r="AP53" s="136"/>
      <c r="AQ53" s="32"/>
      <c r="AR53" s="32"/>
      <c r="AS53" s="32"/>
      <c r="AT53" s="11"/>
      <c r="AU53" s="11"/>
      <c r="AV53" s="11"/>
    </row>
    <row r="54" spans="1:58" x14ac:dyDescent="0.25">
      <c r="B54" t="s">
        <v>12</v>
      </c>
      <c r="G54" s="31">
        <f>G16/G35*1000</f>
        <v>63.62221727490963</v>
      </c>
      <c r="H54" s="31">
        <f>H16/H35*1000</f>
        <v>63.350383620716556</v>
      </c>
      <c r="I54" s="31">
        <f>I16/I35*1000</f>
        <v>60.728614465821757</v>
      </c>
      <c r="J54" s="31">
        <f>J16/J35*1000</f>
        <v>62.475782352488459</v>
      </c>
      <c r="K54" s="31"/>
      <c r="L54" s="31"/>
      <c r="M54" s="31">
        <f>M16/M35*1000</f>
        <v>175.97834243421784</v>
      </c>
      <c r="N54" s="118"/>
      <c r="O54" s="31">
        <f>((J54*J35-20000*0.47)/O35)</f>
        <v>60.640055318595337</v>
      </c>
      <c r="P54" s="31">
        <f>((O54*O35-20000*0.47)/P35)</f>
        <v>58.849419469902188</v>
      </c>
      <c r="Q54" s="118"/>
      <c r="R54" s="31">
        <f>R16/R35*1000</f>
        <v>45.593313724075927</v>
      </c>
      <c r="S54" s="31">
        <f>S16/S35*1000</f>
        <v>46.326074919154038</v>
      </c>
      <c r="T54" s="31">
        <f>T16/T35*1000</f>
        <v>48.62723745535304</v>
      </c>
      <c r="U54" s="31">
        <f>U16/U35*1000</f>
        <v>48.070493499262604</v>
      </c>
      <c r="V54" s="31"/>
      <c r="W54" s="31"/>
      <c r="X54" s="31">
        <f>X16/X35*1000</f>
        <v>64.470421455778336</v>
      </c>
      <c r="Y54" s="104"/>
      <c r="Z54" s="31">
        <f>((U54*U35-20000*0.47)/Z35)</f>
        <v>46.546084433575714</v>
      </c>
      <c r="AA54" s="31">
        <f>((Z54*Z35-20000*0.47)/AA35)</f>
        <v>45.059525352969715</v>
      </c>
      <c r="AB54" s="104"/>
      <c r="AP54" s="104"/>
      <c r="AQ54" s="31"/>
      <c r="AR54" s="31">
        <f>AR16/AR35*1000</f>
        <v>53.984487390611235</v>
      </c>
      <c r="AS54" s="31">
        <f>AS16/AS35*1000</f>
        <v>54.437553168460006</v>
      </c>
      <c r="AT54" s="31">
        <f>AT16/AT35*1000</f>
        <v>99.238426290047499</v>
      </c>
      <c r="AU54" s="31">
        <f>AU16/AU35*1000</f>
        <v>53.95676347718765</v>
      </c>
      <c r="AV54" s="31">
        <f>AV16/AV35*1000</f>
        <v>53.02874335421852</v>
      </c>
      <c r="AW54" s="11"/>
    </row>
    <row r="55" spans="1:58" x14ac:dyDescent="0.25">
      <c r="G55" s="11"/>
      <c r="H55" s="11"/>
      <c r="I55" s="11"/>
      <c r="J55" s="31"/>
      <c r="K55" s="31"/>
      <c r="L55" s="31"/>
      <c r="M55" s="31"/>
      <c r="N55" s="111"/>
      <c r="O55" s="31"/>
      <c r="P55" s="11"/>
      <c r="Q55" s="135"/>
      <c r="R55" s="11"/>
      <c r="S55" s="11"/>
      <c r="T55" s="11"/>
      <c r="U55" s="11"/>
      <c r="V55" s="11"/>
      <c r="W55" s="11"/>
      <c r="X55" s="33"/>
      <c r="Y55" s="95"/>
      <c r="Z55" s="31"/>
      <c r="AA55" s="31"/>
      <c r="AB55" s="133"/>
      <c r="AP55" s="133"/>
      <c r="AQ55" s="33"/>
      <c r="AR55" s="33"/>
      <c r="AS55" s="33"/>
      <c r="AT55" s="33"/>
      <c r="AU55" s="11"/>
      <c r="AV55" s="11"/>
      <c r="AW55" s="11"/>
    </row>
    <row r="56" spans="1:58" x14ac:dyDescent="0.25">
      <c r="A56" t="s">
        <v>67</v>
      </c>
      <c r="G56" s="42">
        <f>G18/G37*1000</f>
        <v>30.801019554066702</v>
      </c>
      <c r="H56" s="42">
        <f>H18/H37*1000</f>
        <v>27.478826336614876</v>
      </c>
      <c r="I56" s="42">
        <f>I18/I37*1000</f>
        <v>25.336329218163545</v>
      </c>
      <c r="J56" s="42">
        <f>J18/J37*1000</f>
        <v>28.65096199898554</v>
      </c>
      <c r="K56" s="42"/>
      <c r="L56" s="42"/>
      <c r="M56" s="42">
        <f>M18/M37*1000</f>
        <v>63.298757367482636</v>
      </c>
      <c r="N56" s="118">
        <v>-1.35E-2</v>
      </c>
      <c r="O56" s="42">
        <f>J56*(1+N56)</f>
        <v>28.264174011999238</v>
      </c>
      <c r="P56" s="42">
        <f>O56*(1+N56)</f>
        <v>27.882607662837248</v>
      </c>
      <c r="Q56" s="135"/>
      <c r="R56" s="42">
        <f>R18/R37*1000</f>
        <v>24.682882204078492</v>
      </c>
      <c r="S56" s="42">
        <f>S18/S37*1000</f>
        <v>23.489457274742762</v>
      </c>
      <c r="T56" s="42">
        <f>T18/T37*1000</f>
        <v>23.716030102232697</v>
      </c>
      <c r="U56" s="42">
        <f>U18/U37*1000</f>
        <v>27.339035443125553</v>
      </c>
      <c r="V56" s="42"/>
      <c r="W56" s="42"/>
      <c r="X56" s="43">
        <f>U56</f>
        <v>27.339035443125553</v>
      </c>
      <c r="Y56" s="117">
        <v>-1.35E-2</v>
      </c>
      <c r="Z56" s="42">
        <f>U56*(1+Y56)</f>
        <v>26.969958464643359</v>
      </c>
      <c r="AA56" s="42">
        <f>Z56*(1+Y56)</f>
        <v>26.605864025370675</v>
      </c>
      <c r="AB56" s="133"/>
      <c r="AP56" s="133"/>
      <c r="AQ56" s="67"/>
      <c r="AR56" s="43">
        <f>AR18/AR37*1000</f>
        <v>24.487387597873376</v>
      </c>
      <c r="AS56" s="43">
        <f>AS18/AS37*1000</f>
        <v>27.976115936092985</v>
      </c>
      <c r="AT56" s="43">
        <f>AT18/AT37*1000</f>
        <v>39.536448930576782</v>
      </c>
      <c r="AU56" s="43">
        <f>AU18/AU37*1000</f>
        <v>27.598438370955726</v>
      </c>
      <c r="AV56" s="43">
        <f>AV18/AV37*1000</f>
        <v>27.22585945294783</v>
      </c>
      <c r="AW56" s="72"/>
      <c r="AX56" s="72"/>
      <c r="AY56" s="72"/>
      <c r="AZ56" s="72"/>
      <c r="BA56" s="72"/>
      <c r="BB56" s="72"/>
      <c r="BC56" s="72"/>
      <c r="BD56" s="72"/>
      <c r="BE56" s="72"/>
      <c r="BF56" s="72"/>
    </row>
    <row r="57" spans="1:58" x14ac:dyDescent="0.25">
      <c r="G57" s="9"/>
      <c r="H57" s="9"/>
      <c r="I57" s="9"/>
      <c r="J57" s="9"/>
      <c r="K57" s="9"/>
      <c r="L57" s="9"/>
      <c r="M57" s="16"/>
      <c r="N57" s="111"/>
      <c r="O57" s="16"/>
      <c r="P57" s="9"/>
      <c r="Q57" s="135"/>
      <c r="R57" s="9"/>
      <c r="S57" s="9"/>
      <c r="T57" s="9"/>
      <c r="U57" s="9"/>
      <c r="V57" s="9"/>
      <c r="W57" s="9"/>
      <c r="X57" s="16"/>
      <c r="Y57" s="95"/>
      <c r="Z57" s="16"/>
      <c r="AA57" s="16"/>
      <c r="AB57" s="133"/>
      <c r="AP57" s="133"/>
      <c r="AQ57" s="16"/>
      <c r="AR57" s="16"/>
      <c r="AS57" s="16"/>
      <c r="AT57" s="16"/>
    </row>
    <row r="58" spans="1:58" x14ac:dyDescent="0.25">
      <c r="A58" t="s">
        <v>75</v>
      </c>
      <c r="G58" s="9"/>
      <c r="H58" s="9"/>
      <c r="I58" s="9"/>
      <c r="J58" s="9"/>
      <c r="K58" s="9"/>
      <c r="L58" s="9"/>
      <c r="M58" s="16"/>
      <c r="N58" s="111"/>
      <c r="O58" s="16"/>
      <c r="P58" s="16"/>
      <c r="Q58" s="135"/>
      <c r="R58" s="9"/>
      <c r="S58" s="9"/>
      <c r="T58" s="9"/>
      <c r="U58" s="9"/>
      <c r="V58" s="9"/>
      <c r="W58" s="9"/>
      <c r="X58" s="16"/>
      <c r="Y58" s="95"/>
      <c r="Z58" s="16"/>
      <c r="AA58" s="16"/>
      <c r="AB58" s="133"/>
      <c r="AP58" s="133"/>
      <c r="AQ58" s="16"/>
      <c r="AR58" s="16"/>
      <c r="AS58" s="16"/>
      <c r="AT58" s="16"/>
    </row>
    <row r="59" spans="1:58" x14ac:dyDescent="0.25">
      <c r="G59" s="9"/>
      <c r="H59" s="9"/>
      <c r="I59" s="9"/>
      <c r="J59" s="9"/>
      <c r="K59" s="9"/>
      <c r="L59" s="9"/>
      <c r="M59" s="16"/>
      <c r="N59" s="111"/>
      <c r="O59" s="16"/>
      <c r="P59" s="9"/>
      <c r="Q59" s="135"/>
      <c r="R59" s="9"/>
      <c r="S59" s="9"/>
      <c r="T59" s="9"/>
      <c r="U59" s="9"/>
      <c r="V59" s="9"/>
      <c r="W59" s="9"/>
      <c r="X59" s="16"/>
      <c r="Y59" s="95"/>
      <c r="Z59" s="16"/>
      <c r="AA59" s="16"/>
      <c r="AB59" s="133"/>
      <c r="AP59" s="133"/>
      <c r="AQ59" s="16"/>
      <c r="AR59" s="16"/>
      <c r="AS59" s="16"/>
      <c r="AT59" s="16"/>
    </row>
    <row r="60" spans="1:58" x14ac:dyDescent="0.25">
      <c r="A60" s="1" t="s">
        <v>18</v>
      </c>
      <c r="G60" s="9"/>
      <c r="H60" s="9"/>
      <c r="I60" s="9"/>
      <c r="J60" s="9"/>
      <c r="K60" s="9"/>
      <c r="L60" s="9"/>
      <c r="M60" s="16"/>
      <c r="N60" s="111"/>
      <c r="O60" s="16"/>
      <c r="P60" s="9"/>
      <c r="Q60" s="135"/>
      <c r="R60" s="9"/>
      <c r="S60" s="9"/>
      <c r="T60" s="9"/>
      <c r="U60" s="9"/>
      <c r="V60" s="9"/>
      <c r="W60" s="9"/>
      <c r="X60" s="16"/>
      <c r="Y60" s="95"/>
      <c r="Z60" s="16"/>
      <c r="AA60" s="16"/>
      <c r="AB60" s="133"/>
      <c r="AP60" s="133"/>
      <c r="AQ60" s="16"/>
      <c r="AR60" s="16"/>
      <c r="AS60" s="16"/>
      <c r="AT60" s="16"/>
    </row>
    <row r="61" spans="1:58" x14ac:dyDescent="0.25">
      <c r="A61" s="1"/>
      <c r="B61" t="s">
        <v>169</v>
      </c>
      <c r="G61" s="14">
        <v>335.49951399999998</v>
      </c>
      <c r="H61" s="14">
        <v>391.034333</v>
      </c>
      <c r="I61" s="14">
        <v>408.496331</v>
      </c>
      <c r="J61" s="14">
        <v>331.80299300000001</v>
      </c>
      <c r="K61" s="9"/>
      <c r="L61" s="9"/>
      <c r="M61" s="16"/>
      <c r="N61" s="111"/>
      <c r="O61" s="16"/>
      <c r="P61" s="9"/>
      <c r="Q61" s="135"/>
      <c r="R61" s="9"/>
      <c r="S61" s="9"/>
      <c r="T61" s="9"/>
      <c r="U61" s="9"/>
      <c r="V61" s="9"/>
      <c r="W61" s="9"/>
      <c r="X61" s="16"/>
      <c r="Y61" s="95"/>
      <c r="Z61" s="16"/>
      <c r="AA61" s="16"/>
      <c r="AB61" s="133"/>
      <c r="AP61" s="133"/>
      <c r="AQ61" s="16"/>
      <c r="AR61" s="16"/>
      <c r="AS61" s="16"/>
      <c r="AT61" s="16"/>
    </row>
    <row r="62" spans="1:58" x14ac:dyDescent="0.25">
      <c r="A62" s="1"/>
      <c r="B62" t="s">
        <v>170</v>
      </c>
      <c r="G62" s="9">
        <f>G63-G61</f>
        <v>75.352485999999999</v>
      </c>
      <c r="H62" s="9">
        <f>H63-H61</f>
        <v>83.006666999999993</v>
      </c>
      <c r="I62" s="9">
        <f>I63-I61</f>
        <v>87.123669000000007</v>
      </c>
      <c r="J62" s="9">
        <f>J63-J61</f>
        <v>71.628006999999968</v>
      </c>
      <c r="K62" s="9"/>
      <c r="L62" s="9"/>
      <c r="M62" s="16"/>
      <c r="N62" s="111"/>
      <c r="O62" s="16"/>
      <c r="P62" s="9"/>
      <c r="Q62" s="135"/>
      <c r="R62" s="9"/>
      <c r="S62" s="9"/>
      <c r="T62" s="9"/>
      <c r="U62" s="9"/>
      <c r="V62" s="9"/>
      <c r="W62" s="9"/>
      <c r="X62" s="16"/>
      <c r="Y62" s="95"/>
      <c r="Z62" s="16"/>
      <c r="AA62" s="16"/>
      <c r="AB62" s="133"/>
      <c r="AP62" s="133"/>
      <c r="AQ62" s="16"/>
      <c r="AR62" s="16"/>
      <c r="AS62" s="16"/>
      <c r="AT62" s="16"/>
    </row>
    <row r="63" spans="1:58" ht="13.8" thickBot="1" x14ac:dyDescent="0.3">
      <c r="C63" t="s">
        <v>73</v>
      </c>
      <c r="G63" s="171">
        <v>410.85199999999998</v>
      </c>
      <c r="H63" s="171">
        <v>474.041</v>
      </c>
      <c r="I63" s="171">
        <v>495.62</v>
      </c>
      <c r="J63" s="171">
        <v>403.43099999999998</v>
      </c>
      <c r="K63" s="171">
        <v>255.85499999999999</v>
      </c>
      <c r="L63" s="171">
        <v>223.93199999999999</v>
      </c>
      <c r="M63" s="174">
        <f>J63+K63-L63</f>
        <v>435.35399999999993</v>
      </c>
      <c r="N63" s="111">
        <v>0.02</v>
      </c>
      <c r="O63" s="40">
        <f>J63*(1+N63)</f>
        <v>411.49961999999999</v>
      </c>
      <c r="P63" s="40">
        <f>O63*(1+N63)</f>
        <v>419.72961240000001</v>
      </c>
      <c r="Q63" s="135"/>
      <c r="R63" s="41">
        <v>0</v>
      </c>
      <c r="S63" s="41">
        <v>0</v>
      </c>
      <c r="T63" s="41">
        <v>0</v>
      </c>
      <c r="U63" s="41">
        <v>0</v>
      </c>
      <c r="V63" s="41"/>
      <c r="W63" s="41"/>
      <c r="X63" s="41">
        <v>0</v>
      </c>
      <c r="Y63" s="147">
        <v>0.02</v>
      </c>
      <c r="Z63" s="41">
        <v>0</v>
      </c>
      <c r="AA63" s="41">
        <v>0</v>
      </c>
      <c r="AB63" s="39"/>
      <c r="AP63" s="39"/>
      <c r="AQ63" s="39"/>
      <c r="AR63" s="41">
        <f>T63+I63+AQ63+AF63</f>
        <v>495.62</v>
      </c>
      <c r="AS63" s="41">
        <f>U63+J63+AG63</f>
        <v>403.43099999999998</v>
      </c>
      <c r="AT63" s="41">
        <f>X63+M63+AJ63</f>
        <v>435.35399999999993</v>
      </c>
      <c r="AU63" s="41">
        <f>O63+Z63+AL63</f>
        <v>411.49961999999999</v>
      </c>
      <c r="AV63" s="41">
        <f>P63+AA63+AM63</f>
        <v>419.72961240000001</v>
      </c>
      <c r="AW63" s="39"/>
    </row>
    <row r="64" spans="1:58" ht="13.8" thickTop="1" x14ac:dyDescent="0.25">
      <c r="G64" s="9"/>
      <c r="H64" s="9"/>
      <c r="I64" s="9"/>
      <c r="J64" s="9"/>
      <c r="K64" s="9"/>
      <c r="L64" s="9"/>
      <c r="M64" s="9"/>
      <c r="N64" s="111"/>
      <c r="O64" s="9"/>
      <c r="P64" s="9"/>
      <c r="Q64" s="135"/>
      <c r="R64" s="9"/>
      <c r="S64" s="9"/>
      <c r="T64" s="9"/>
      <c r="U64" s="9"/>
      <c r="V64" s="9"/>
      <c r="W64" s="9"/>
      <c r="X64" s="9"/>
      <c r="Y64" s="95"/>
      <c r="Z64" s="9"/>
      <c r="AA64" s="9"/>
      <c r="AB64" s="9"/>
      <c r="AP64" s="9"/>
      <c r="AQ64" s="9"/>
      <c r="AR64" s="16"/>
      <c r="AS64" s="9"/>
    </row>
    <row r="65" spans="1:69" x14ac:dyDescent="0.25">
      <c r="D65" s="1"/>
      <c r="I65" s="9"/>
      <c r="J65" s="9"/>
      <c r="K65" s="9"/>
      <c r="L65" s="9"/>
      <c r="M65" s="16"/>
      <c r="N65" s="111"/>
      <c r="O65" s="16"/>
      <c r="P65" s="16"/>
      <c r="Q65" s="133"/>
      <c r="R65" s="16"/>
      <c r="S65" s="16"/>
      <c r="T65" s="16"/>
      <c r="U65" s="16"/>
      <c r="V65" s="16"/>
      <c r="W65" s="16"/>
      <c r="X65" s="16"/>
      <c r="Y65" s="95"/>
      <c r="Z65" s="16"/>
      <c r="AA65" s="16"/>
      <c r="AB65" s="9"/>
      <c r="AP65" s="9"/>
      <c r="AQ65" s="9"/>
      <c r="AR65" s="16"/>
      <c r="AS65" s="16"/>
      <c r="AT65" s="16"/>
      <c r="AV65" s="42"/>
    </row>
    <row r="66" spans="1:69" x14ac:dyDescent="0.25">
      <c r="I66" s="9"/>
      <c r="J66" s="9"/>
      <c r="K66" s="9"/>
      <c r="L66" s="9"/>
      <c r="M66" s="16"/>
      <c r="N66" s="111"/>
      <c r="O66" s="16"/>
      <c r="P66" s="9"/>
      <c r="Q66" s="135"/>
      <c r="R66" s="9"/>
      <c r="S66" s="9"/>
      <c r="T66" s="9"/>
      <c r="U66" s="9"/>
      <c r="V66" s="9"/>
      <c r="W66" s="9"/>
      <c r="X66" s="16"/>
      <c r="Y66" s="95"/>
      <c r="Z66" s="16"/>
      <c r="AA66" s="16"/>
      <c r="AB66" s="9"/>
      <c r="AP66" s="9"/>
      <c r="AQ66" s="9"/>
      <c r="AR66" s="16"/>
      <c r="AS66" s="16"/>
      <c r="AT66" s="16"/>
    </row>
    <row r="67" spans="1:69" x14ac:dyDescent="0.25">
      <c r="D67" s="1"/>
      <c r="G67" s="9"/>
      <c r="H67" s="9"/>
      <c r="I67" s="9"/>
      <c r="J67" s="9"/>
      <c r="K67" s="9"/>
      <c r="L67" s="9"/>
      <c r="M67" s="16"/>
      <c r="N67" s="111"/>
      <c r="O67" s="16"/>
      <c r="P67" s="9"/>
      <c r="Q67" s="135"/>
      <c r="R67" s="9"/>
      <c r="S67" s="9"/>
      <c r="T67" s="9"/>
      <c r="U67" s="9"/>
      <c r="V67" s="9"/>
      <c r="W67" s="9"/>
      <c r="X67" s="16"/>
      <c r="Y67" s="95"/>
      <c r="Z67" s="16"/>
      <c r="AA67" s="16"/>
      <c r="AB67" s="9"/>
      <c r="AP67" s="9"/>
      <c r="AQ67" s="9"/>
      <c r="AR67" s="16"/>
      <c r="AS67" s="16"/>
      <c r="AT67" s="16"/>
    </row>
    <row r="68" spans="1:69" ht="13.8" thickBot="1" x14ac:dyDescent="0.3">
      <c r="D68" s="1" t="s">
        <v>16</v>
      </c>
      <c r="G68" s="40">
        <f>+G63+G25</f>
        <v>1804.4852330000003</v>
      </c>
      <c r="H68" s="40">
        <f>+H63+H25</f>
        <v>1929.7590760000001</v>
      </c>
      <c r="I68" s="40">
        <f>+I63+I25</f>
        <v>2403.751949</v>
      </c>
      <c r="J68" s="40">
        <f>+J63+J25</f>
        <v>2810.8905460000001</v>
      </c>
      <c r="K68" s="171">
        <f>K63+K25</f>
        <v>1914.4590000000001</v>
      </c>
      <c r="L68" s="171">
        <v>1356.8789999999999</v>
      </c>
      <c r="M68" s="40">
        <f>J68+K68-L68</f>
        <v>3368.4705460000005</v>
      </c>
      <c r="N68" s="111"/>
      <c r="O68" s="40">
        <f>O63+O25</f>
        <v>2914.3885120693662</v>
      </c>
      <c r="P68" s="40">
        <f>P63+P25</f>
        <v>2966.5902170183549</v>
      </c>
      <c r="Q68" s="135"/>
      <c r="R68" s="40">
        <f>R63+R25</f>
        <v>1248.0350000000001</v>
      </c>
      <c r="S68" s="40">
        <f>S63+S25</f>
        <v>1331.962</v>
      </c>
      <c r="T68" s="40">
        <f>T63+T25</f>
        <v>1960.395</v>
      </c>
      <c r="U68" s="40">
        <f>U63+U25</f>
        <v>2403.038</v>
      </c>
      <c r="V68" s="40"/>
      <c r="W68" s="40"/>
      <c r="X68" s="40">
        <f>X63+X25</f>
        <v>2437.1680000000001</v>
      </c>
      <c r="Y68" s="147"/>
      <c r="Z68" s="40">
        <f>Z63+Z25</f>
        <v>2478.2208110839306</v>
      </c>
      <c r="AA68" s="40">
        <f>AA63+AA25</f>
        <v>2538.4552569932116</v>
      </c>
      <c r="AB68" s="39"/>
      <c r="AP68" s="39"/>
      <c r="AQ68" s="39"/>
      <c r="AR68" s="40">
        <f>AR63+AR25</f>
        <v>4364.1469489999999</v>
      </c>
      <c r="AS68" s="40">
        <f>AS63+AS25</f>
        <v>5213.9285460000001</v>
      </c>
      <c r="AT68" s="40">
        <f>AT63+AT25</f>
        <v>5805.638546000001</v>
      </c>
      <c r="AU68" s="40">
        <f>AU63+AU25</f>
        <v>5392.6093231532968</v>
      </c>
      <c r="AV68" s="40">
        <f>AV63+AV25</f>
        <v>5505.0454740115674</v>
      </c>
      <c r="AW68" s="39"/>
      <c r="AX68" s="39"/>
      <c r="AY68" s="39"/>
      <c r="AZ68" s="39"/>
      <c r="BA68" s="39"/>
      <c r="BB68" s="39"/>
      <c r="BC68" s="39"/>
      <c r="BD68" s="39"/>
      <c r="BE68" s="39"/>
    </row>
    <row r="69" spans="1:69" ht="13.8" thickTop="1" x14ac:dyDescent="0.25">
      <c r="D69" s="1"/>
      <c r="G69" s="48"/>
      <c r="H69" s="48"/>
      <c r="I69" s="48"/>
      <c r="J69" s="48"/>
      <c r="K69" s="48"/>
      <c r="L69" s="48"/>
      <c r="M69" s="48"/>
      <c r="N69" s="111"/>
      <c r="O69" s="48"/>
      <c r="P69" s="48"/>
      <c r="Q69" s="135"/>
      <c r="R69" s="48"/>
      <c r="S69" s="48"/>
      <c r="T69" s="48"/>
      <c r="U69" s="48"/>
      <c r="V69" s="48"/>
      <c r="W69" s="48"/>
      <c r="X69" s="48"/>
      <c r="Y69" s="147"/>
      <c r="Z69" s="48"/>
      <c r="AA69" s="48"/>
      <c r="AB69" s="39"/>
      <c r="AP69" s="39"/>
      <c r="AQ69" s="39"/>
      <c r="AR69" s="48"/>
      <c r="AS69" s="48"/>
      <c r="AT69" s="48"/>
      <c r="AU69" s="48"/>
      <c r="AV69" s="48"/>
      <c r="AW69" s="39"/>
      <c r="AX69" s="39"/>
      <c r="AY69" s="39"/>
      <c r="AZ69" s="39"/>
      <c r="BA69" s="39"/>
      <c r="BB69" s="39"/>
      <c r="BC69" s="39"/>
      <c r="BD69" s="39"/>
      <c r="BE69" s="39"/>
    </row>
    <row r="70" spans="1:69" x14ac:dyDescent="0.25">
      <c r="A70" t="s">
        <v>149</v>
      </c>
      <c r="G70" s="9"/>
      <c r="H70" s="9"/>
      <c r="I70" s="9"/>
      <c r="J70" s="9"/>
      <c r="K70" s="9"/>
      <c r="L70" s="9"/>
      <c r="M70" s="16"/>
      <c r="N70" s="111"/>
      <c r="O70" s="16"/>
      <c r="P70" s="9"/>
      <c r="Q70" s="135"/>
      <c r="R70" s="9"/>
      <c r="S70" s="9"/>
      <c r="T70" s="9"/>
      <c r="U70" s="9"/>
      <c r="V70" s="9"/>
      <c r="W70" s="9"/>
      <c r="X70" s="16"/>
      <c r="Y70" s="95"/>
      <c r="Z70" s="16"/>
      <c r="AA70" s="16"/>
      <c r="AB70" s="9"/>
      <c r="AP70" s="9"/>
      <c r="AQ70" s="9"/>
      <c r="AR70" s="16"/>
      <c r="AS70" s="9"/>
    </row>
    <row r="71" spans="1:69" x14ac:dyDescent="0.25">
      <c r="A71" s="1" t="s">
        <v>20</v>
      </c>
      <c r="G71" s="9"/>
      <c r="H71" s="9"/>
      <c r="I71" s="9"/>
      <c r="J71" s="9"/>
      <c r="K71" s="9"/>
      <c r="L71" s="9"/>
      <c r="M71" s="16"/>
      <c r="N71" s="111"/>
      <c r="O71" s="16"/>
      <c r="P71" s="9"/>
      <c r="Q71" s="135"/>
      <c r="R71" s="9"/>
      <c r="S71" s="9"/>
      <c r="T71" s="9"/>
      <c r="U71" s="9"/>
      <c r="V71" s="9"/>
      <c r="W71" s="9"/>
      <c r="X71" s="16"/>
      <c r="Y71" s="95"/>
      <c r="Z71" s="16"/>
      <c r="AA71" s="16"/>
      <c r="AB71" s="9"/>
      <c r="AP71" s="9"/>
      <c r="AQ71" s="9"/>
      <c r="AR71" s="16"/>
      <c r="AS71" s="9"/>
      <c r="AT71" s="9"/>
    </row>
    <row r="72" spans="1:69" x14ac:dyDescent="0.25">
      <c r="A72" t="s">
        <v>78</v>
      </c>
      <c r="G72" s="14">
        <v>327.35300000000001</v>
      </c>
      <c r="H72" s="14">
        <v>349</v>
      </c>
      <c r="I72" s="14">
        <v>300</v>
      </c>
      <c r="J72" s="14">
        <v>339</v>
      </c>
      <c r="K72" s="14">
        <v>826.25800000000004</v>
      </c>
      <c r="L72" s="14">
        <v>166</v>
      </c>
      <c r="M72" s="177">
        <f>J72+K72-L72</f>
        <v>999.25800000000004</v>
      </c>
      <c r="N72" s="117">
        <v>0</v>
      </c>
      <c r="O72" s="100">
        <f>J72+J72*N72</f>
        <v>339</v>
      </c>
      <c r="P72" s="100">
        <f>O72*(1+N72)</f>
        <v>339</v>
      </c>
      <c r="Q72" s="95"/>
      <c r="R72" s="14">
        <v>389.40100000000001</v>
      </c>
      <c r="S72" s="14">
        <v>364</v>
      </c>
      <c r="T72" s="14">
        <v>393</v>
      </c>
      <c r="U72" s="14">
        <v>382</v>
      </c>
      <c r="V72" s="14">
        <v>211</v>
      </c>
      <c r="W72" s="14">
        <v>170</v>
      </c>
      <c r="X72" s="16">
        <f>U72+58.155-48.347</f>
        <v>391.80799999999999</v>
      </c>
      <c r="Y72" s="117">
        <v>0</v>
      </c>
      <c r="Z72" s="100">
        <f>U72+U72*Y72</f>
        <v>382</v>
      </c>
      <c r="AA72" s="100">
        <f>Z72*(1+Y72)</f>
        <v>382</v>
      </c>
      <c r="AB72" s="9"/>
      <c r="AP72" s="9"/>
      <c r="AQ72" s="14"/>
      <c r="AR72" s="16">
        <f>T72+I72+AQ72+AF72</f>
        <v>693</v>
      </c>
      <c r="AS72" s="16">
        <f>U72+J72+AG72</f>
        <v>721</v>
      </c>
      <c r="AT72" s="16">
        <f>X72+M72+AJ72</f>
        <v>1391.066</v>
      </c>
      <c r="AU72" s="100">
        <f t="shared" ref="AU72:AV76" si="20">O72+Z72+AL72</f>
        <v>721</v>
      </c>
      <c r="AV72" s="100">
        <f t="shared" si="20"/>
        <v>721</v>
      </c>
    </row>
    <row r="73" spans="1:69" x14ac:dyDescent="0.25">
      <c r="A73" t="s">
        <v>79</v>
      </c>
      <c r="G73" s="14">
        <v>56.445</v>
      </c>
      <c r="H73" s="14">
        <v>68</v>
      </c>
      <c r="I73" s="14">
        <v>596</v>
      </c>
      <c r="J73" s="14">
        <v>1068</v>
      </c>
      <c r="K73" s="14">
        <v>253</v>
      </c>
      <c r="L73" s="14">
        <v>478</v>
      </c>
      <c r="M73" s="177">
        <f>J73+K73-L73</f>
        <v>843</v>
      </c>
      <c r="N73" s="119">
        <v>0</v>
      </c>
      <c r="O73" s="127">
        <f>J73*(1+N73)</f>
        <v>1068</v>
      </c>
      <c r="P73" s="127">
        <f>O73*(1+N73)</f>
        <v>1068</v>
      </c>
      <c r="Q73" s="95"/>
      <c r="R73" s="14">
        <v>63.866</v>
      </c>
      <c r="S73" s="14">
        <v>156</v>
      </c>
      <c r="T73" s="14">
        <v>666</v>
      </c>
      <c r="U73" s="14">
        <v>1166</v>
      </c>
      <c r="V73" s="14">
        <v>261</v>
      </c>
      <c r="W73" s="14">
        <v>488</v>
      </c>
      <c r="X73" s="16">
        <f>U73+39.317-17.989</f>
        <v>1187.328</v>
      </c>
      <c r="Y73" s="117">
        <v>0</v>
      </c>
      <c r="Z73" s="100">
        <f>U73*(1+Y73)</f>
        <v>1166</v>
      </c>
      <c r="AA73" s="100">
        <f>Z73*(1+Y73)</f>
        <v>1166</v>
      </c>
      <c r="AB73" s="9"/>
      <c r="AP73" s="9"/>
      <c r="AQ73" s="14"/>
      <c r="AR73" s="16">
        <f>T73+I73+AQ73+AF73</f>
        <v>1262</v>
      </c>
      <c r="AS73" s="16">
        <f>U73+J73+AG73</f>
        <v>2234</v>
      </c>
      <c r="AT73" s="16">
        <f>X73+M73+AJ73</f>
        <v>2030.328</v>
      </c>
      <c r="AU73" s="100">
        <f t="shared" si="20"/>
        <v>2234</v>
      </c>
      <c r="AV73" s="100">
        <f t="shared" si="20"/>
        <v>2234</v>
      </c>
    </row>
    <row r="74" spans="1:69" ht="15" x14ac:dyDescent="0.4">
      <c r="A74" t="s">
        <v>80</v>
      </c>
      <c r="G74" s="74">
        <v>206.25</v>
      </c>
      <c r="H74" s="14">
        <v>249.11600000000001</v>
      </c>
      <c r="I74" s="14">
        <v>266.12299999999999</v>
      </c>
      <c r="J74" s="14">
        <v>199.68299999999999</v>
      </c>
      <c r="K74" s="14">
        <v>99.305999999999997</v>
      </c>
      <c r="L74" s="14">
        <v>118.245</v>
      </c>
      <c r="M74" s="177">
        <f>J74+K74-L74</f>
        <v>180.74399999999997</v>
      </c>
      <c r="N74" s="117">
        <v>0</v>
      </c>
      <c r="O74" s="100">
        <f>J74+J74*N74</f>
        <v>199.68299999999999</v>
      </c>
      <c r="P74" s="100">
        <f>O74*(1+N74)</f>
        <v>199.68299999999999</v>
      </c>
      <c r="Q74" s="96"/>
      <c r="R74" s="14"/>
      <c r="S74" s="14"/>
      <c r="T74" s="14"/>
      <c r="U74" s="14"/>
      <c r="V74" s="14"/>
      <c r="W74" s="14"/>
      <c r="X74" s="14">
        <v>0</v>
      </c>
      <c r="Y74" s="95">
        <v>-0.02</v>
      </c>
      <c r="Z74" s="14">
        <f>U74+U74*Y74</f>
        <v>0</v>
      </c>
      <c r="AA74" s="14">
        <f>Z74*(1+Y74)</f>
        <v>0</v>
      </c>
      <c r="AB74" s="34"/>
      <c r="AP74" s="34"/>
      <c r="AQ74" s="34"/>
      <c r="AR74" s="16">
        <f>T74+I74+AQ74+AF74</f>
        <v>266.12299999999999</v>
      </c>
      <c r="AS74" s="16">
        <f>U74+J74+AG74</f>
        <v>199.68299999999999</v>
      </c>
      <c r="AT74" s="16">
        <f>X74+M74+AJ74</f>
        <v>180.74399999999997</v>
      </c>
      <c r="AU74" s="100">
        <f t="shared" si="20"/>
        <v>199.68299999999999</v>
      </c>
      <c r="AV74" s="100">
        <f t="shared" si="20"/>
        <v>199.68299999999999</v>
      </c>
    </row>
    <row r="75" spans="1:69" ht="15" x14ac:dyDescent="0.4"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77">
        <v>0</v>
      </c>
      <c r="N75" s="118">
        <v>-0.02</v>
      </c>
      <c r="O75" s="100">
        <f>M75+M75*N75</f>
        <v>0</v>
      </c>
      <c r="P75" s="100">
        <f>O75*(1+N75)</f>
        <v>0</v>
      </c>
      <c r="Q75" s="96"/>
      <c r="R75" s="14">
        <v>0</v>
      </c>
      <c r="S75" s="14">
        <v>0</v>
      </c>
      <c r="T75" s="14">
        <v>0</v>
      </c>
      <c r="U75" s="14">
        <v>0</v>
      </c>
      <c r="V75" s="14"/>
      <c r="W75" s="14"/>
      <c r="X75" s="14">
        <v>0</v>
      </c>
      <c r="Y75" s="95">
        <v>-0.02</v>
      </c>
      <c r="Z75" s="14">
        <f>X75+X75*Y75</f>
        <v>0</v>
      </c>
      <c r="AA75" s="14">
        <f>Z75*(1+Y75)</f>
        <v>0</v>
      </c>
      <c r="AB75" s="34"/>
      <c r="AP75" s="34"/>
      <c r="AQ75" s="34"/>
      <c r="AR75" s="16">
        <f>T75+I75+AQ75+AF75</f>
        <v>0</v>
      </c>
      <c r="AS75" s="16">
        <f>U75+J75+AG75</f>
        <v>0</v>
      </c>
      <c r="AT75" s="16">
        <f>X75+M75+AJ75</f>
        <v>0</v>
      </c>
      <c r="AU75" s="100">
        <f t="shared" si="20"/>
        <v>0</v>
      </c>
      <c r="AV75" s="100">
        <f t="shared" si="20"/>
        <v>0</v>
      </c>
    </row>
    <row r="76" spans="1:69" ht="15" x14ac:dyDescent="0.4">
      <c r="G76" s="34">
        <v>0</v>
      </c>
      <c r="H76" s="34">
        <v>0</v>
      </c>
      <c r="I76" s="34">
        <v>0</v>
      </c>
      <c r="J76" s="34">
        <v>0</v>
      </c>
      <c r="K76" s="44">
        <v>0</v>
      </c>
      <c r="L76" s="44">
        <v>0</v>
      </c>
      <c r="M76" s="184">
        <v>0</v>
      </c>
      <c r="N76" s="118">
        <v>-0.02</v>
      </c>
      <c r="O76" s="101">
        <f>M76+M76*N76</f>
        <v>0</v>
      </c>
      <c r="P76" s="101">
        <f>O76*(1+N76)</f>
        <v>0</v>
      </c>
      <c r="Q76" s="96"/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96">
        <v>-0.02</v>
      </c>
      <c r="Z76" s="44">
        <f>X76+X76*Y76</f>
        <v>0</v>
      </c>
      <c r="AA76" s="44">
        <f>Z76*(1+Y76)</f>
        <v>0</v>
      </c>
      <c r="AB76" s="34"/>
      <c r="AP76" s="34"/>
      <c r="AQ76" s="34"/>
      <c r="AR76" s="34">
        <f>T76+I76+AQ76+AF76</f>
        <v>0</v>
      </c>
      <c r="AS76" s="34">
        <f>U76+J76+AG76</f>
        <v>0</v>
      </c>
      <c r="AT76" s="34">
        <f>X76+M76+AJ76</f>
        <v>0</v>
      </c>
      <c r="AU76" s="101">
        <f t="shared" si="20"/>
        <v>0</v>
      </c>
      <c r="AV76" s="101">
        <f t="shared" si="20"/>
        <v>0</v>
      </c>
    </row>
    <row r="77" spans="1:69" ht="15" x14ac:dyDescent="0.4">
      <c r="G77" s="16">
        <f t="shared" ref="G77:M77" si="21">SUM(G72:G76)</f>
        <v>590.048</v>
      </c>
      <c r="H77" s="16">
        <f t="shared" si="21"/>
        <v>666.11599999999999</v>
      </c>
      <c r="I77" s="16">
        <f t="shared" si="21"/>
        <v>1162.123</v>
      </c>
      <c r="J77" s="16">
        <f t="shared" si="21"/>
        <v>1606.683</v>
      </c>
      <c r="K77" s="16">
        <f t="shared" si="21"/>
        <v>1178.5640000000001</v>
      </c>
      <c r="L77" s="16">
        <f t="shared" si="21"/>
        <v>762.245</v>
      </c>
      <c r="M77" s="16">
        <f t="shared" si="21"/>
        <v>2023.002</v>
      </c>
      <c r="N77" s="111"/>
      <c r="O77" s="16">
        <f>SUM(O72:O76)</f>
        <v>1606.683</v>
      </c>
      <c r="P77" s="16">
        <f>SUM(P72:P76)</f>
        <v>1606.683</v>
      </c>
      <c r="Q77" s="96"/>
      <c r="R77" s="16">
        <f>SUM(R72:R76)</f>
        <v>453.267</v>
      </c>
      <c r="S77" s="16">
        <f>SUM(S72:S76)</f>
        <v>520</v>
      </c>
      <c r="T77" s="16">
        <f>SUM(T72:T76)</f>
        <v>1059</v>
      </c>
      <c r="U77" s="16">
        <f>SUM(U72:U76)</f>
        <v>1548</v>
      </c>
      <c r="V77" s="14">
        <v>472.084</v>
      </c>
      <c r="W77" s="14">
        <v>657.83799999999997</v>
      </c>
      <c r="X77" s="16">
        <f>SUM(X72:X76)</f>
        <v>1579.136</v>
      </c>
      <c r="Y77" s="95"/>
      <c r="Z77" s="16">
        <f>SUM(Z72:Z76)</f>
        <v>1548</v>
      </c>
      <c r="AA77" s="16">
        <f>SUM(AA72:AA76)</f>
        <v>1548</v>
      </c>
      <c r="AB77" s="34"/>
      <c r="AP77" s="34"/>
      <c r="AQ77" s="34"/>
      <c r="AR77" s="16">
        <f>SUM(AR72:AR76)</f>
        <v>2221.123</v>
      </c>
      <c r="AS77" s="16">
        <f>SUM(AS72:AS76)</f>
        <v>3154.683</v>
      </c>
      <c r="AT77" s="16">
        <f>SUM(AT72:AT76)</f>
        <v>3602.1380000000004</v>
      </c>
      <c r="AU77" s="16">
        <f>SUM(AU72:AU76)</f>
        <v>3154.683</v>
      </c>
      <c r="AV77" s="16">
        <f>SUM(AV72:AV76)</f>
        <v>3154.683</v>
      </c>
    </row>
    <row r="78" spans="1:69" ht="15" x14ac:dyDescent="0.4">
      <c r="G78" s="16"/>
      <c r="H78" s="16"/>
      <c r="I78" s="16"/>
      <c r="J78" s="16"/>
      <c r="K78" s="16"/>
      <c r="L78" s="16"/>
      <c r="M78" s="16"/>
      <c r="N78" s="111"/>
      <c r="O78" s="16"/>
      <c r="P78" s="16"/>
      <c r="Q78" s="96"/>
      <c r="R78" s="16"/>
      <c r="S78" s="16"/>
      <c r="T78" s="16"/>
      <c r="U78" s="16"/>
      <c r="V78" s="16"/>
      <c r="W78" s="16"/>
      <c r="X78" s="16"/>
      <c r="Y78" s="95"/>
      <c r="Z78" s="16"/>
      <c r="AA78" s="16"/>
      <c r="AB78" s="34"/>
      <c r="AP78" s="34"/>
      <c r="AQ78" s="34"/>
      <c r="AR78" s="16"/>
      <c r="AS78" s="16"/>
      <c r="AT78" s="16"/>
    </row>
    <row r="79" spans="1:69" x14ac:dyDescent="0.25">
      <c r="A79" s="1" t="s">
        <v>83</v>
      </c>
      <c r="G79" s="9"/>
      <c r="H79" s="9"/>
      <c r="I79" s="9"/>
      <c r="J79" s="9"/>
      <c r="K79" s="9"/>
      <c r="L79" s="9"/>
      <c r="M79" s="16"/>
      <c r="N79" s="133" t="s">
        <v>148</v>
      </c>
      <c r="O79" s="16"/>
      <c r="P79" s="9"/>
      <c r="Q79" s="135"/>
      <c r="R79" s="9"/>
      <c r="S79" s="9"/>
      <c r="T79" s="9"/>
      <c r="U79" s="9"/>
      <c r="V79" s="9"/>
      <c r="W79" s="9"/>
      <c r="X79" s="16"/>
      <c r="Y79" s="95" t="s">
        <v>148</v>
      </c>
      <c r="Z79" s="16"/>
      <c r="AA79" s="16"/>
      <c r="AB79" s="9"/>
      <c r="AP79" s="9"/>
      <c r="AQ79" s="9"/>
      <c r="AR79" s="16"/>
      <c r="AS79" s="9"/>
      <c r="AT79" s="9"/>
    </row>
    <row r="80" spans="1:69" x14ac:dyDescent="0.25">
      <c r="A80" t="s">
        <v>21</v>
      </c>
      <c r="F80" s="71"/>
      <c r="G80" s="98">
        <v>226.9864728985566</v>
      </c>
      <c r="H80" s="98">
        <v>256.76797786182919</v>
      </c>
      <c r="I80" s="98">
        <v>239.7133126615532</v>
      </c>
      <c r="J80" s="98">
        <v>233.30595349214721</v>
      </c>
      <c r="K80" s="98">
        <v>284.6332632604196</v>
      </c>
      <c r="L80" s="98">
        <v>330.51676744720857</v>
      </c>
      <c r="M80" s="98">
        <v>187.42244930535827</v>
      </c>
      <c r="N80" s="111">
        <v>-0.02</v>
      </c>
      <c r="O80" s="127">
        <f>J80+J80*N80</f>
        <v>228.63983442230426</v>
      </c>
      <c r="P80" s="127">
        <f>O80*(1+N80)</f>
        <v>224.06703773385817</v>
      </c>
      <c r="Q80" s="133"/>
      <c r="R80" s="14">
        <v>228.50800000000001</v>
      </c>
      <c r="S80" s="14">
        <v>268.47800000000001</v>
      </c>
      <c r="T80" s="14">
        <v>344.87799999999999</v>
      </c>
      <c r="U80" s="14">
        <v>409</v>
      </c>
      <c r="V80" s="14">
        <v>170</v>
      </c>
      <c r="W80" s="14">
        <v>243</v>
      </c>
      <c r="X80" s="14">
        <f>U80+27.142-29.973</f>
        <v>406.16899999999998</v>
      </c>
      <c r="Y80" s="95">
        <v>-0.02</v>
      </c>
      <c r="Z80" s="127">
        <f>U80+U80*Y80</f>
        <v>400.82</v>
      </c>
      <c r="AA80" s="127">
        <f>Z80*(1+Y80)</f>
        <v>392.80359999999996</v>
      </c>
      <c r="AB80" s="14"/>
      <c r="AP80" s="14"/>
      <c r="AQ80" s="14"/>
      <c r="AR80" s="16">
        <f>T80+I80+AQ80+AF80</f>
        <v>584.59131266155316</v>
      </c>
      <c r="AS80" s="16">
        <f>U80+J80+AG80</f>
        <v>642.30595349214718</v>
      </c>
      <c r="AT80" s="16">
        <f>X80+M80+AJ80</f>
        <v>593.59144930535831</v>
      </c>
      <c r="AU80" s="100">
        <f t="shared" ref="AU80:AV82" si="22">O80+Z80+AL80</f>
        <v>629.45983442230431</v>
      </c>
      <c r="AV80" s="100">
        <f t="shared" si="22"/>
        <v>616.87063773385808</v>
      </c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</row>
    <row r="81" spans="1:69" x14ac:dyDescent="0.25">
      <c r="A81" t="s">
        <v>6</v>
      </c>
      <c r="F81" s="71"/>
      <c r="G81" s="98">
        <v>64.887527101443396</v>
      </c>
      <c r="H81" s="98">
        <v>73.401022138170802</v>
      </c>
      <c r="I81" s="98">
        <v>68.525687338446758</v>
      </c>
      <c r="J81" s="98">
        <v>66.694046507852775</v>
      </c>
      <c r="K81" s="98">
        <v>81.366736739580375</v>
      </c>
      <c r="L81" s="98">
        <v>94.483232552791421</v>
      </c>
      <c r="M81" s="98">
        <v>53.577550694641722</v>
      </c>
      <c r="N81" s="111">
        <v>-0.02</v>
      </c>
      <c r="O81" s="127">
        <f>J81+J81*N81</f>
        <v>65.360165577695724</v>
      </c>
      <c r="P81" s="127">
        <f>O81*(1+N81)</f>
        <v>64.052962266141805</v>
      </c>
      <c r="Q81" s="135"/>
      <c r="R81" s="9">
        <v>0</v>
      </c>
      <c r="S81" s="9">
        <v>0</v>
      </c>
      <c r="T81" s="9">
        <v>0</v>
      </c>
      <c r="U81" s="9">
        <v>0</v>
      </c>
      <c r="V81" s="9"/>
      <c r="W81" s="9"/>
      <c r="X81" s="9">
        <v>0</v>
      </c>
      <c r="Y81" s="95">
        <v>-0.02</v>
      </c>
      <c r="Z81" s="9">
        <f>U81+U81*Y81</f>
        <v>0</v>
      </c>
      <c r="AA81" s="9">
        <f>Z81*(1+Y81)</f>
        <v>0</v>
      </c>
      <c r="AB81" s="9"/>
      <c r="AP81" s="9"/>
      <c r="AQ81" s="9"/>
      <c r="AR81" s="16">
        <f>T81+I81+AQ81+AF81</f>
        <v>68.525687338446758</v>
      </c>
      <c r="AS81" s="16">
        <f>U81+J81+AG81</f>
        <v>66.694046507852775</v>
      </c>
      <c r="AT81" s="16">
        <f>X81+M81+AJ81</f>
        <v>53.577550694641722</v>
      </c>
      <c r="AU81" s="100">
        <f t="shared" si="22"/>
        <v>65.360165577695724</v>
      </c>
      <c r="AV81" s="100">
        <f t="shared" si="22"/>
        <v>64.052962266141805</v>
      </c>
      <c r="AW81" s="9"/>
      <c r="AX81" s="9">
        <f>AR77+AR83+AR88</f>
        <v>3050.7114579999998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</row>
    <row r="82" spans="1:69" ht="15" x14ac:dyDescent="0.4">
      <c r="A82" t="s">
        <v>13</v>
      </c>
      <c r="F82" s="9"/>
      <c r="G82" s="44">
        <v>0</v>
      </c>
      <c r="H82" s="44">
        <v>0</v>
      </c>
      <c r="I82" s="44">
        <v>0</v>
      </c>
      <c r="J82" s="44">
        <v>0</v>
      </c>
      <c r="K82" s="44">
        <v>0</v>
      </c>
      <c r="L82" s="44">
        <v>0</v>
      </c>
      <c r="M82" s="178">
        <v>0</v>
      </c>
      <c r="N82" s="111">
        <v>-0.02</v>
      </c>
      <c r="O82" s="101">
        <f>J82+J82*N82</f>
        <v>0</v>
      </c>
      <c r="P82" s="101">
        <f>O82*(1+N82)</f>
        <v>0</v>
      </c>
      <c r="Q82" s="95"/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96">
        <v>-0.02</v>
      </c>
      <c r="Z82" s="44">
        <f>U82+U82*Y82</f>
        <v>0</v>
      </c>
      <c r="AA82" s="44">
        <f>Z82*(1+Y82)</f>
        <v>0</v>
      </c>
      <c r="AB82" s="9"/>
      <c r="AP82" s="9"/>
      <c r="AQ82" s="9"/>
      <c r="AR82" s="34">
        <f>T82+I82+AQ82+AF82</f>
        <v>0</v>
      </c>
      <c r="AS82" s="34">
        <f>U82+J82+AG82</f>
        <v>0</v>
      </c>
      <c r="AT82" s="34">
        <f>X82+M82+AJ82</f>
        <v>0</v>
      </c>
      <c r="AU82" s="101">
        <f t="shared" si="22"/>
        <v>0</v>
      </c>
      <c r="AV82" s="101">
        <f t="shared" si="22"/>
        <v>0</v>
      </c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</row>
    <row r="83" spans="1:69" x14ac:dyDescent="0.25">
      <c r="G83" s="9">
        <f>SUM(G80:G82)+G77</f>
        <v>881.92200000000003</v>
      </c>
      <c r="H83" s="9">
        <f>SUM(H80:H82)+H77</f>
        <v>996.28499999999997</v>
      </c>
      <c r="I83" s="9">
        <f>SUM(I80:I82)+I77</f>
        <v>1470.3620000000001</v>
      </c>
      <c r="J83" s="9">
        <f>SUM(J80:J82)+J77</f>
        <v>1906.683</v>
      </c>
      <c r="K83" s="14"/>
      <c r="L83" s="14"/>
      <c r="M83" s="9">
        <f>SUM(M80:M82)+M77</f>
        <v>2264.002</v>
      </c>
      <c r="N83" s="111"/>
      <c r="O83" s="9">
        <f>SUM(O80:O82)+O77</f>
        <v>1900.683</v>
      </c>
      <c r="P83" s="9">
        <f>SUM(P80:P82)+P77</f>
        <v>1894.8029999999999</v>
      </c>
      <c r="Q83" s="135"/>
      <c r="R83" s="9">
        <f>SUM(R80:R82)+R77</f>
        <v>681.77499999999998</v>
      </c>
      <c r="S83" s="9">
        <f>SUM(S80:S82)+S77</f>
        <v>788.47800000000007</v>
      </c>
      <c r="T83" s="9">
        <f>SUM(T80:T82)+T77</f>
        <v>1403.8779999999999</v>
      </c>
      <c r="U83" s="9">
        <f>SUM(U80:U82)+U77</f>
        <v>1957</v>
      </c>
      <c r="V83" s="16">
        <f>SUM(V80:V82)</f>
        <v>170</v>
      </c>
      <c r="W83" s="16">
        <f>SUM(W80:W82)</f>
        <v>243</v>
      </c>
      <c r="X83" s="9">
        <f>SUM(X80:X82)</f>
        <v>406.16899999999998</v>
      </c>
      <c r="Y83" s="95"/>
      <c r="Z83" s="9">
        <f>SUM(Z80:Z82)+Z77</f>
        <v>1948.82</v>
      </c>
      <c r="AA83" s="9">
        <f>SUM(AA80:AA82)+AA77</f>
        <v>1940.8036</v>
      </c>
      <c r="AB83" s="9"/>
      <c r="AP83" s="9"/>
      <c r="AQ83" s="9"/>
      <c r="AR83" s="9">
        <f>SUM(AR80:AR82)</f>
        <v>653.11699999999996</v>
      </c>
      <c r="AS83" s="9">
        <f>SUM(AS80:AS82)</f>
        <v>709</v>
      </c>
      <c r="AT83" s="9">
        <f>SUM(AT80:AT82)</f>
        <v>647.16899999999998</v>
      </c>
      <c r="AU83" s="9">
        <f>SUM(AU80:AU82)</f>
        <v>694.82</v>
      </c>
      <c r="AV83" s="9">
        <f>SUM(AV80:AV82)</f>
        <v>680.92359999999985</v>
      </c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</row>
    <row r="84" spans="1:69" x14ac:dyDescent="0.25">
      <c r="A84" s="1" t="s">
        <v>81</v>
      </c>
      <c r="G84" s="9"/>
      <c r="H84" s="9"/>
      <c r="I84" s="9"/>
      <c r="J84" s="9"/>
      <c r="K84" s="9"/>
      <c r="L84" s="9"/>
      <c r="M84" s="16"/>
      <c r="N84" s="111"/>
      <c r="O84" s="16"/>
      <c r="P84" s="9"/>
      <c r="Q84" s="135"/>
      <c r="R84" s="9"/>
      <c r="S84" s="9"/>
      <c r="T84" s="9"/>
      <c r="U84" s="9"/>
      <c r="V84" s="9"/>
      <c r="W84" s="9"/>
      <c r="X84" s="16"/>
      <c r="Y84" s="95"/>
      <c r="Z84" s="16"/>
      <c r="AA84" s="16"/>
      <c r="AB84" s="9"/>
      <c r="AP84" s="9"/>
      <c r="AQ84" s="9"/>
      <c r="AR84" s="16"/>
      <c r="AS84" s="9"/>
      <c r="AT84" s="9"/>
    </row>
    <row r="85" spans="1:69" x14ac:dyDescent="0.25">
      <c r="A85" t="s">
        <v>21</v>
      </c>
      <c r="G85" s="14">
        <v>83.101844</v>
      </c>
      <c r="H85" s="14">
        <v>84.518422000000001</v>
      </c>
      <c r="I85" s="14">
        <v>78.470909000000006</v>
      </c>
      <c r="J85" s="14">
        <v>80.899151000000003</v>
      </c>
      <c r="K85" s="14"/>
      <c r="L85" s="14"/>
      <c r="M85" s="177">
        <f>J85/J$88*M$88</f>
        <v>98.296817881720429</v>
      </c>
      <c r="N85" s="111">
        <v>-0.02</v>
      </c>
      <c r="O85" s="127">
        <f>J85+J85*N85</f>
        <v>79.281167980000006</v>
      </c>
      <c r="P85" s="127">
        <f>O85*(1+N85)</f>
        <v>77.6955446204</v>
      </c>
      <c r="Q85" s="135"/>
      <c r="R85" s="14">
        <v>87.492341999999994</v>
      </c>
      <c r="S85" s="14">
        <v>97.702937000000006</v>
      </c>
      <c r="T85" s="14">
        <v>86.374458000000004</v>
      </c>
      <c r="U85" s="14">
        <v>99.829149000000001</v>
      </c>
      <c r="V85" s="14">
        <v>60</v>
      </c>
      <c r="W85" s="14">
        <v>47</v>
      </c>
      <c r="X85" s="16">
        <f>U85/U$88*X$88</f>
        <v>112.829149</v>
      </c>
      <c r="Y85" s="95">
        <v>-0.02</v>
      </c>
      <c r="Z85" s="100">
        <f>U85+U85*Y85</f>
        <v>97.832566020000002</v>
      </c>
      <c r="AA85" s="100">
        <f>Z85*(1+Y85)</f>
        <v>95.875914699600003</v>
      </c>
      <c r="AB85" s="9"/>
      <c r="AP85" s="9"/>
      <c r="AQ85" s="9"/>
      <c r="AR85" s="16">
        <f>T85+I85+AQ85+AF85</f>
        <v>164.84536700000001</v>
      </c>
      <c r="AS85" s="16">
        <f>U85+J85+AG85</f>
        <v>180.72829999999999</v>
      </c>
      <c r="AT85" s="16">
        <f>X85+M85+AJ85</f>
        <v>211.12596688172044</v>
      </c>
      <c r="AU85" s="100">
        <f t="shared" ref="AU85:AV87" si="23">O85+Z85+AL85</f>
        <v>177.11373400000002</v>
      </c>
      <c r="AV85" s="100">
        <f t="shared" si="23"/>
        <v>173.57145932</v>
      </c>
    </row>
    <row r="86" spans="1:69" x14ac:dyDescent="0.25">
      <c r="A86" t="s">
        <v>6</v>
      </c>
      <c r="G86" s="14">
        <v>6.8204029999999998</v>
      </c>
      <c r="H86" s="14">
        <v>6.515269</v>
      </c>
      <c r="I86" s="14">
        <v>5.7828160000000004</v>
      </c>
      <c r="J86" s="14">
        <v>6.2081749999999998</v>
      </c>
      <c r="K86" s="14"/>
      <c r="L86" s="14"/>
      <c r="M86" s="177">
        <f>J86/J$88*M$88</f>
        <v>7.543266397849461</v>
      </c>
      <c r="N86" s="111">
        <v>-0.02</v>
      </c>
      <c r="O86" s="127">
        <f>J86+J86*N86</f>
        <v>6.0840114999999999</v>
      </c>
      <c r="P86" s="127">
        <f>O86*(1+N86)</f>
        <v>5.96233127</v>
      </c>
      <c r="Q86" s="95"/>
      <c r="R86" s="9">
        <v>0</v>
      </c>
      <c r="S86" s="9">
        <v>0</v>
      </c>
      <c r="T86" s="9">
        <v>0</v>
      </c>
      <c r="U86" s="9">
        <v>0</v>
      </c>
      <c r="V86" s="9"/>
      <c r="W86" s="9"/>
      <c r="X86" s="9">
        <f>U86/U$88*X$88</f>
        <v>0</v>
      </c>
      <c r="Y86" s="95">
        <v>-0.02</v>
      </c>
      <c r="Z86" s="9">
        <f>U86+U86*Y86</f>
        <v>0</v>
      </c>
      <c r="AA86" s="9">
        <f>Z86*(1+Y86)</f>
        <v>0</v>
      </c>
      <c r="AB86" s="9"/>
      <c r="AP86" s="9"/>
      <c r="AQ86" s="9"/>
      <c r="AR86" s="16">
        <f>T86+I86+AQ86+AF86</f>
        <v>5.7828160000000004</v>
      </c>
      <c r="AS86" s="16">
        <f>U86+J86+AG86</f>
        <v>6.2081749999999998</v>
      </c>
      <c r="AT86" s="16">
        <f>X86+M86+AJ86</f>
        <v>7.543266397849461</v>
      </c>
      <c r="AU86" s="100">
        <f t="shared" si="23"/>
        <v>6.0840114999999999</v>
      </c>
      <c r="AV86" s="100">
        <f t="shared" si="23"/>
        <v>5.96233127</v>
      </c>
    </row>
    <row r="87" spans="1:69" ht="15" x14ac:dyDescent="0.4">
      <c r="A87" t="s">
        <v>13</v>
      </c>
      <c r="F87" s="9"/>
      <c r="G87" s="34">
        <f>G88-G85-G86</f>
        <v>4.7657530000000028</v>
      </c>
      <c r="H87" s="34">
        <f>H88-H85-H86</f>
        <v>5.1713089999999973</v>
      </c>
      <c r="I87" s="34">
        <f>I88-I85-I86</f>
        <v>5.8432749999999878</v>
      </c>
      <c r="J87" s="34">
        <f>J88-J85-J86</f>
        <v>5.8926739999999969</v>
      </c>
      <c r="K87" s="44">
        <v>0</v>
      </c>
      <c r="L87" s="44">
        <v>0</v>
      </c>
      <c r="M87" s="178">
        <f>J87/J$88*M$88</f>
        <v>7.1599157204301029</v>
      </c>
      <c r="N87" s="111">
        <v>-0.02</v>
      </c>
      <c r="O87" s="101">
        <f>J87+J87*N87</f>
        <v>5.7748205199999969</v>
      </c>
      <c r="P87" s="101">
        <f>O87*(1+N87)</f>
        <v>5.6593241095999964</v>
      </c>
      <c r="Q87" s="135"/>
      <c r="R87" s="34">
        <v>0</v>
      </c>
      <c r="S87" s="34">
        <v>0</v>
      </c>
      <c r="T87" s="34">
        <v>0</v>
      </c>
      <c r="U87" s="34">
        <v>0</v>
      </c>
      <c r="V87" s="34">
        <v>0</v>
      </c>
      <c r="W87" s="34">
        <v>0</v>
      </c>
      <c r="X87" s="34">
        <f>U87/U$88*X$88</f>
        <v>0</v>
      </c>
      <c r="Y87" s="96">
        <v>-0.02</v>
      </c>
      <c r="Z87" s="44">
        <f>U87+U87*Y87</f>
        <v>0</v>
      </c>
      <c r="AA87" s="44">
        <f>Z87*(1+Y87)</f>
        <v>0</v>
      </c>
      <c r="AB87" s="9"/>
      <c r="AP87" s="9"/>
      <c r="AQ87" s="9"/>
      <c r="AR87" s="34">
        <f>T87+I87+AQ87+AF87</f>
        <v>5.8432749999999878</v>
      </c>
      <c r="AS87" s="34">
        <f>U87+J87+AG87</f>
        <v>5.8926739999999969</v>
      </c>
      <c r="AT87" s="34">
        <f>X87+M87+AJ87</f>
        <v>7.1599157204301029</v>
      </c>
      <c r="AU87" s="101">
        <f t="shared" si="23"/>
        <v>5.7748205199999969</v>
      </c>
      <c r="AV87" s="101">
        <f t="shared" si="23"/>
        <v>5.6593241095999964</v>
      </c>
    </row>
    <row r="88" spans="1:69" x14ac:dyDescent="0.25">
      <c r="G88" s="14">
        <v>94.688000000000002</v>
      </c>
      <c r="H88" s="14">
        <v>96.204999999999998</v>
      </c>
      <c r="I88" s="14">
        <v>90.096999999999994</v>
      </c>
      <c r="J88" s="14">
        <v>93</v>
      </c>
      <c r="K88" s="14">
        <v>115</v>
      </c>
      <c r="L88" s="14">
        <v>95</v>
      </c>
      <c r="M88" s="9">
        <f>J88+K88-L88</f>
        <v>113</v>
      </c>
      <c r="N88" s="111"/>
      <c r="O88" s="9">
        <f>SUM(O85:O87)</f>
        <v>91.14</v>
      </c>
      <c r="P88" s="9">
        <f>SUM(P85:P87)</f>
        <v>89.317199999999985</v>
      </c>
      <c r="Q88" s="135"/>
      <c r="R88" s="9">
        <f t="shared" ref="R88:W88" si="24">SUM(R85:R87)</f>
        <v>87.492341999999994</v>
      </c>
      <c r="S88" s="9">
        <f t="shared" si="24"/>
        <v>97.702937000000006</v>
      </c>
      <c r="T88" s="9">
        <f t="shared" si="24"/>
        <v>86.374458000000004</v>
      </c>
      <c r="U88" s="9">
        <f t="shared" si="24"/>
        <v>99.829149000000001</v>
      </c>
      <c r="V88" s="9">
        <f t="shared" si="24"/>
        <v>60</v>
      </c>
      <c r="W88" s="9">
        <f t="shared" si="24"/>
        <v>47</v>
      </c>
      <c r="X88" s="9">
        <f>U88+V88-W88</f>
        <v>112.829149</v>
      </c>
      <c r="Y88" s="95"/>
      <c r="Z88" s="9">
        <f>SUM(Z85:Z87)</f>
        <v>97.832566020000002</v>
      </c>
      <c r="AA88" s="9">
        <f>SUM(AA85:AA87)</f>
        <v>95.875914699600003</v>
      </c>
      <c r="AB88" s="9"/>
      <c r="AP88" s="9"/>
      <c r="AQ88" s="9"/>
      <c r="AR88" s="9">
        <f>SUM(AR85:AR87)</f>
        <v>176.47145799999998</v>
      </c>
      <c r="AS88" s="9">
        <f>SUM(AS85:AS87)</f>
        <v>192.829149</v>
      </c>
      <c r="AT88" s="9">
        <f>SUM(AT85:AT87)</f>
        <v>225.829149</v>
      </c>
      <c r="AU88" s="9">
        <f>SUM(AU85:AU87)</f>
        <v>188.97256602000002</v>
      </c>
      <c r="AV88" s="9">
        <f>SUM(AV85:AV87)</f>
        <v>185.19311469959999</v>
      </c>
    </row>
    <row r="89" spans="1:69" x14ac:dyDescent="0.25">
      <c r="A89" s="1" t="s">
        <v>22</v>
      </c>
      <c r="G89" s="9"/>
      <c r="H89" s="9"/>
      <c r="I89" s="9"/>
      <c r="J89" s="9"/>
      <c r="K89" s="9"/>
      <c r="L89" s="9"/>
      <c r="M89" s="16"/>
      <c r="N89" s="111"/>
      <c r="O89" s="16"/>
      <c r="P89" s="9"/>
      <c r="Q89" s="135"/>
      <c r="R89" s="9"/>
      <c r="S89" s="9"/>
      <c r="T89" s="9"/>
      <c r="U89" s="9"/>
      <c r="V89" s="9"/>
      <c r="W89" s="9"/>
      <c r="X89" s="16"/>
      <c r="Y89" s="95"/>
      <c r="Z89" s="16"/>
      <c r="AA89" s="16"/>
      <c r="AB89" s="9"/>
      <c r="AP89" s="9"/>
      <c r="AQ89" s="9"/>
      <c r="AR89" s="16"/>
      <c r="AS89" s="9"/>
      <c r="AT89" s="9"/>
      <c r="AU89" s="9"/>
      <c r="AV89" s="9"/>
    </row>
    <row r="90" spans="1:69" x14ac:dyDescent="0.25">
      <c r="A90" t="s">
        <v>21</v>
      </c>
      <c r="G90" s="14">
        <v>138.364138</v>
      </c>
      <c r="H90" s="14">
        <v>141.03558699999999</v>
      </c>
      <c r="I90" s="14">
        <v>145.43398300000001</v>
      </c>
      <c r="J90" s="14">
        <v>159.42674</v>
      </c>
      <c r="K90" s="14"/>
      <c r="L90" s="14"/>
      <c r="M90" s="177">
        <f>J90/J$93*M$93</f>
        <v>164.17010867253765</v>
      </c>
      <c r="N90" s="111"/>
      <c r="O90" s="16">
        <f>J90</f>
        <v>159.42674</v>
      </c>
      <c r="P90" s="16">
        <f>O90</f>
        <v>159.42674</v>
      </c>
      <c r="Q90" s="135"/>
      <c r="R90" s="14">
        <v>110.17282999999999</v>
      </c>
      <c r="S90" s="14">
        <v>113.99611299999999</v>
      </c>
      <c r="T90" s="14">
        <v>134.55920799999998</v>
      </c>
      <c r="U90" s="14">
        <v>137.61653800000002</v>
      </c>
      <c r="V90" s="14"/>
      <c r="W90" s="14"/>
      <c r="X90" s="16">
        <f>U90/U$93*X$93</f>
        <v>140.9030068832042</v>
      </c>
      <c r="Y90" s="95"/>
      <c r="Z90" s="100">
        <f>U90</f>
        <v>137.61653800000002</v>
      </c>
      <c r="AA90" s="100">
        <f>Z90</f>
        <v>137.61653800000002</v>
      </c>
      <c r="AB90" s="9"/>
      <c r="AP90" s="9"/>
      <c r="AQ90" s="9"/>
      <c r="AR90" s="16">
        <f>T90+I90+AQ90+AF90</f>
        <v>279.99319100000002</v>
      </c>
      <c r="AS90" s="16">
        <f>U90+J90+AG90</f>
        <v>297.04327799999999</v>
      </c>
      <c r="AT90" s="16">
        <f>X90+M90+AJ90</f>
        <v>305.07311555574188</v>
      </c>
      <c r="AU90" s="100">
        <f t="shared" ref="AU90:AV92" si="25">O90+Z90+AL90</f>
        <v>297.04327799999999</v>
      </c>
      <c r="AV90" s="100">
        <f t="shared" si="25"/>
        <v>297.04327799999999</v>
      </c>
    </row>
    <row r="91" spans="1:69" x14ac:dyDescent="0.25">
      <c r="A91" t="s">
        <v>6</v>
      </c>
      <c r="G91" s="14">
        <v>16.942751000000001</v>
      </c>
      <c r="H91" s="14">
        <v>17.454757000000001</v>
      </c>
      <c r="I91" s="14">
        <v>17.349834999999999</v>
      </c>
      <c r="J91" s="14">
        <v>17.872567</v>
      </c>
      <c r="K91" s="14"/>
      <c r="L91" s="14"/>
      <c r="M91" s="177">
        <f>J91/J$93*M$93</f>
        <v>18.404323306411523</v>
      </c>
      <c r="N91" s="154" t="s">
        <v>142</v>
      </c>
      <c r="O91" s="16">
        <f>J91</f>
        <v>17.872567</v>
      </c>
      <c r="P91" s="16">
        <f>O91</f>
        <v>17.872567</v>
      </c>
      <c r="Q91" s="135"/>
      <c r="R91" s="14">
        <v>0</v>
      </c>
      <c r="S91" s="14">
        <v>0</v>
      </c>
      <c r="T91" s="14">
        <v>0</v>
      </c>
      <c r="U91" s="14">
        <v>0</v>
      </c>
      <c r="V91" s="14"/>
      <c r="W91" s="14"/>
      <c r="X91" s="14">
        <f>U91/U$93*X$93</f>
        <v>0</v>
      </c>
      <c r="Y91" s="95" t="s">
        <v>142</v>
      </c>
      <c r="Z91" s="14">
        <f>U91</f>
        <v>0</v>
      </c>
      <c r="AA91" s="14">
        <f>Z91</f>
        <v>0</v>
      </c>
      <c r="AB91" s="9"/>
      <c r="AP91" s="9"/>
      <c r="AQ91" s="14"/>
      <c r="AR91" s="16">
        <f>T91+I91+AQ91+AF91</f>
        <v>17.349834999999999</v>
      </c>
      <c r="AS91" s="16">
        <f>U91+J91+AG91</f>
        <v>17.872567</v>
      </c>
      <c r="AT91" s="16">
        <f>X91+M91+AJ91</f>
        <v>18.404323306411523</v>
      </c>
      <c r="AU91" s="100">
        <f t="shared" si="25"/>
        <v>17.872567</v>
      </c>
      <c r="AV91" s="100">
        <f t="shared" si="25"/>
        <v>17.872567</v>
      </c>
    </row>
    <row r="92" spans="1:69" ht="15" x14ac:dyDescent="0.4">
      <c r="A92" t="s">
        <v>13</v>
      </c>
      <c r="G92" s="34">
        <f>G93-G91-G90</f>
        <v>16.060110999999978</v>
      </c>
      <c r="H92" s="34">
        <f>H93-H91-H90</f>
        <v>19.348656000000005</v>
      </c>
      <c r="I92" s="34">
        <f>I93-I91-I90</f>
        <v>17.407181999999978</v>
      </c>
      <c r="J92" s="34">
        <f>J93-J91-J90</f>
        <v>13.80969300000001</v>
      </c>
      <c r="K92" s="44">
        <v>0</v>
      </c>
      <c r="L92" s="44">
        <v>0</v>
      </c>
      <c r="M92" s="178">
        <f>J92/J$93*M$93</f>
        <v>14.220568021050823</v>
      </c>
      <c r="N92" s="95">
        <f>M92/SUM($J$92:$J$92)</f>
        <v>1.0297526542444364</v>
      </c>
      <c r="O92" s="101">
        <f>J92</f>
        <v>13.80969300000001</v>
      </c>
      <c r="P92" s="101">
        <f>O92</f>
        <v>13.80969300000001</v>
      </c>
      <c r="Q92" s="135"/>
      <c r="R92" s="44">
        <f>R93-R90-R91</f>
        <v>4.8101699999999994</v>
      </c>
      <c r="S92" s="44">
        <f>S93-S90-S91</f>
        <v>3.0168870000000112</v>
      </c>
      <c r="T92" s="44">
        <f>T93-T90-T91</f>
        <v>-7.8282079999999894</v>
      </c>
      <c r="U92" s="44">
        <f>U93-U90-U91</f>
        <v>-7.0125380000000064</v>
      </c>
      <c r="V92" s="44">
        <v>0</v>
      </c>
      <c r="W92" s="44">
        <v>0</v>
      </c>
      <c r="X92" s="44">
        <f>U92/U$93*X$93</f>
        <v>-7.1800068832041957</v>
      </c>
      <c r="Y92" s="96">
        <f>X92/SUM($J$92:$J$92)</f>
        <v>-0.51992516294201407</v>
      </c>
      <c r="Z92" s="44">
        <f>U92</f>
        <v>-7.0125380000000064</v>
      </c>
      <c r="AA92" s="44">
        <f>Z92</f>
        <v>-7.0125380000000064</v>
      </c>
      <c r="AB92" s="9"/>
      <c r="AP92" s="9"/>
      <c r="AQ92" s="14"/>
      <c r="AR92" s="34">
        <f>T92+I92+AQ92+AF92</f>
        <v>9.5789739999999881</v>
      </c>
      <c r="AS92" s="34">
        <f>U92+J92+AG92</f>
        <v>6.7971550000000036</v>
      </c>
      <c r="AT92" s="34">
        <f>X92+M92+AJ92</f>
        <v>7.0405611378466277</v>
      </c>
      <c r="AU92" s="101">
        <f t="shared" si="25"/>
        <v>6.7971550000000036</v>
      </c>
      <c r="AV92" s="101">
        <f t="shared" si="25"/>
        <v>6.7971550000000036</v>
      </c>
    </row>
    <row r="93" spans="1:69" x14ac:dyDescent="0.25">
      <c r="G93" s="14">
        <v>171.36699999999999</v>
      </c>
      <c r="H93" s="14">
        <v>177.839</v>
      </c>
      <c r="I93" s="14">
        <v>180.191</v>
      </c>
      <c r="J93" s="14">
        <v>191.10900000000001</v>
      </c>
      <c r="K93" s="14">
        <v>101.29600000000001</v>
      </c>
      <c r="L93" s="14">
        <v>95.61</v>
      </c>
      <c r="M93" s="9">
        <f>J93+K93-L93</f>
        <v>196.79500000000002</v>
      </c>
      <c r="N93" s="117"/>
      <c r="O93" s="9">
        <f>SUM(O90:O92)</f>
        <v>191.10900000000001</v>
      </c>
      <c r="P93" s="9">
        <f>SUM(P90:P92)</f>
        <v>191.10900000000001</v>
      </c>
      <c r="Q93" s="135"/>
      <c r="R93" s="9">
        <v>114.98299999999999</v>
      </c>
      <c r="S93" s="9">
        <v>117.01300000000001</v>
      </c>
      <c r="T93" s="9">
        <v>126.73099999999999</v>
      </c>
      <c r="U93" s="9">
        <v>130.60400000000001</v>
      </c>
      <c r="V93" s="14">
        <v>67.864000000000004</v>
      </c>
      <c r="W93" s="14">
        <v>64.745000000000005</v>
      </c>
      <c r="X93" s="9">
        <f>U93+V93-W93</f>
        <v>133.72300000000001</v>
      </c>
      <c r="Y93" s="95"/>
      <c r="Z93" s="9">
        <f>SUM(Z90:Z92)</f>
        <v>130.60400000000001</v>
      </c>
      <c r="AA93" s="9">
        <f>SUM(AA90:AA92)</f>
        <v>130.60400000000001</v>
      </c>
      <c r="AB93" s="9"/>
      <c r="AP93" s="9"/>
      <c r="AQ93" s="9"/>
      <c r="AR93" s="9">
        <f>SUM(AR90:AR92)</f>
        <v>306.92200000000003</v>
      </c>
      <c r="AS93" s="9">
        <f>SUM(AS90:AS92)</f>
        <v>321.71299999999997</v>
      </c>
      <c r="AT93" s="9">
        <f>SUM(AT90:AT92)</f>
        <v>330.51800000000003</v>
      </c>
      <c r="AU93" s="9">
        <f>SUM(AU90:AU92)</f>
        <v>321.71299999999997</v>
      </c>
      <c r="AV93" s="9">
        <f>SUM(AV90:AV92)</f>
        <v>321.71299999999997</v>
      </c>
    </row>
    <row r="94" spans="1:69" x14ac:dyDescent="0.25">
      <c r="A94" s="1" t="s">
        <v>82</v>
      </c>
      <c r="G94" s="9"/>
      <c r="H94" s="9"/>
      <c r="I94" s="9"/>
      <c r="J94" s="9"/>
      <c r="K94" s="9"/>
      <c r="L94" s="9"/>
      <c r="M94" s="16"/>
      <c r="N94" s="111"/>
      <c r="O94" s="16"/>
      <c r="P94" s="9"/>
      <c r="Q94" s="135"/>
      <c r="R94" s="9"/>
      <c r="S94" s="9"/>
      <c r="T94" s="9"/>
      <c r="U94" s="9"/>
      <c r="V94" s="9"/>
      <c r="W94" s="9"/>
      <c r="X94" s="16"/>
      <c r="Y94" s="95"/>
      <c r="Z94" s="16"/>
      <c r="AA94" s="16"/>
      <c r="AB94" s="9"/>
      <c r="AP94" s="9"/>
      <c r="AQ94" s="9"/>
      <c r="AR94" s="16"/>
      <c r="AS94" s="9"/>
      <c r="AT94" s="9"/>
      <c r="AU94" s="9"/>
      <c r="AV94" s="9"/>
    </row>
    <row r="95" spans="1:69" x14ac:dyDescent="0.25">
      <c r="A95" s="5" t="s">
        <v>21</v>
      </c>
      <c r="G95" s="14">
        <v>158.112437</v>
      </c>
      <c r="H95" s="14">
        <v>160.371668</v>
      </c>
      <c r="I95" s="14">
        <v>160.34575000000001</v>
      </c>
      <c r="J95" s="14">
        <v>165.04146600000001</v>
      </c>
      <c r="K95" s="14"/>
      <c r="L95" s="14"/>
      <c r="M95" s="177">
        <f>J95/J$98*M$98</f>
        <v>165.48725559170566</v>
      </c>
      <c r="N95" s="111"/>
      <c r="O95" s="127">
        <f>J95</f>
        <v>165.04146600000001</v>
      </c>
      <c r="P95" s="127">
        <f>O95</f>
        <v>165.04146600000001</v>
      </c>
      <c r="Q95" s="135"/>
      <c r="R95" s="14">
        <v>51.853053000000003</v>
      </c>
      <c r="S95" s="14">
        <v>49.910567</v>
      </c>
      <c r="T95" s="14">
        <v>53.720714000000001</v>
      </c>
      <c r="U95" s="14">
        <v>54.541198999999999</v>
      </c>
      <c r="V95" s="14"/>
      <c r="W95" s="14"/>
      <c r="X95" s="16">
        <f>U95/U$98*X$98</f>
        <v>53.824198999999993</v>
      </c>
      <c r="Y95" s="95"/>
      <c r="Z95" s="100">
        <f>U95</f>
        <v>54.541198999999999</v>
      </c>
      <c r="AA95" s="100">
        <f>Z95</f>
        <v>54.541198999999999</v>
      </c>
      <c r="AB95" s="9"/>
      <c r="AP95" s="9"/>
      <c r="AQ95" s="14"/>
      <c r="AR95" s="16">
        <f>T95+I95+AQ95+AF95</f>
        <v>214.066464</v>
      </c>
      <c r="AS95" s="16">
        <f>U95+J95+AG95</f>
        <v>219.58266500000002</v>
      </c>
      <c r="AT95" s="16">
        <f>X95+M95+AJ95</f>
        <v>219.31145459170565</v>
      </c>
      <c r="AU95" s="100">
        <f t="shared" ref="AU95:AV97" si="26">O95+Z95+AL95</f>
        <v>219.58266500000002</v>
      </c>
      <c r="AV95" s="100">
        <f t="shared" si="26"/>
        <v>219.58266500000002</v>
      </c>
    </row>
    <row r="96" spans="1:69" x14ac:dyDescent="0.25">
      <c r="A96" t="s">
        <v>6</v>
      </c>
      <c r="G96" s="14">
        <v>41.291423999999999</v>
      </c>
      <c r="H96" s="14">
        <v>43.161679999999997</v>
      </c>
      <c r="I96" s="14">
        <v>46.537624000000001</v>
      </c>
      <c r="J96" s="14">
        <v>48.302554000000001</v>
      </c>
      <c r="K96" s="14"/>
      <c r="L96" s="14"/>
      <c r="M96" s="177">
        <f>J96/J$98*M$98</f>
        <v>48.433022883656193</v>
      </c>
      <c r="N96" s="111"/>
      <c r="O96" s="127">
        <f>J96</f>
        <v>48.302554000000001</v>
      </c>
      <c r="P96" s="127">
        <f>O96</f>
        <v>48.302554000000001</v>
      </c>
      <c r="Q96" s="135"/>
      <c r="R96" s="9">
        <v>0</v>
      </c>
      <c r="S96" s="9">
        <v>0</v>
      </c>
      <c r="T96" s="9">
        <v>0</v>
      </c>
      <c r="U96" s="9">
        <v>0</v>
      </c>
      <c r="V96" s="9"/>
      <c r="W96" s="9"/>
      <c r="X96" s="9">
        <f>U96/U$98*X$98</f>
        <v>0</v>
      </c>
      <c r="Y96" s="95"/>
      <c r="Z96" s="9">
        <f>U96</f>
        <v>0</v>
      </c>
      <c r="AA96" s="9">
        <f>Z96</f>
        <v>0</v>
      </c>
      <c r="AB96" s="9"/>
      <c r="AP96" s="9"/>
      <c r="AQ96" s="9"/>
      <c r="AR96" s="16">
        <f>T96+I96+AQ96+AF96</f>
        <v>46.537624000000001</v>
      </c>
      <c r="AS96" s="16">
        <f>U96+J96+AG96</f>
        <v>48.302554000000001</v>
      </c>
      <c r="AT96" s="16">
        <f>X96+M96+AJ96</f>
        <v>48.433022883656193</v>
      </c>
      <c r="AU96" s="100">
        <f t="shared" si="26"/>
        <v>48.302554000000001</v>
      </c>
      <c r="AV96" s="100">
        <f t="shared" si="26"/>
        <v>48.302554000000001</v>
      </c>
    </row>
    <row r="97" spans="1:48" ht="15" x14ac:dyDescent="0.4">
      <c r="A97" t="s">
        <v>13</v>
      </c>
      <c r="G97" s="34">
        <f>G98-G95-G96</f>
        <v>4.2761390000000077</v>
      </c>
      <c r="H97" s="34">
        <f>H98-H95-H96</f>
        <v>4.3706519999999998</v>
      </c>
      <c r="I97" s="34">
        <f>I98-I95-I96</f>
        <v>4.4196259999999867</v>
      </c>
      <c r="J97" s="34">
        <f>J98-J95-J96</f>
        <v>4.3469799999999879</v>
      </c>
      <c r="K97" s="44">
        <v>0</v>
      </c>
      <c r="L97" s="44">
        <v>0</v>
      </c>
      <c r="M97" s="44">
        <f>J97/J$98*M$98</f>
        <v>4.3587215246381215</v>
      </c>
      <c r="N97" s="111"/>
      <c r="O97" s="44">
        <f>J97</f>
        <v>4.3469799999999879</v>
      </c>
      <c r="P97" s="44">
        <f>O97</f>
        <v>4.3469799999999879</v>
      </c>
      <c r="Q97" s="135"/>
      <c r="R97" s="34">
        <f>R98-R95-R96</f>
        <v>0</v>
      </c>
      <c r="S97" s="34">
        <f>S98-S95-S96</f>
        <v>0</v>
      </c>
      <c r="T97" s="34">
        <f>T98-T95-T96</f>
        <v>0</v>
      </c>
      <c r="U97" s="34">
        <f>U98-U95-U96</f>
        <v>0</v>
      </c>
      <c r="V97" s="44">
        <v>0</v>
      </c>
      <c r="W97" s="44">
        <v>0</v>
      </c>
      <c r="X97" s="44">
        <f>U97/U$98*X$98</f>
        <v>0</v>
      </c>
      <c r="Y97" s="96"/>
      <c r="Z97" s="44">
        <f>U97</f>
        <v>0</v>
      </c>
      <c r="AA97" s="44">
        <f>Z97</f>
        <v>0</v>
      </c>
      <c r="AB97" s="9"/>
      <c r="AP97" s="9"/>
      <c r="AQ97" s="14"/>
      <c r="AR97" s="34">
        <f>T97+I97+AQ97+AF97</f>
        <v>4.4196259999999867</v>
      </c>
      <c r="AS97" s="34">
        <f>U97+J97+AG97</f>
        <v>4.3469799999999879</v>
      </c>
      <c r="AT97" s="34">
        <f>X97+M97+AJ97</f>
        <v>4.3587215246381215</v>
      </c>
      <c r="AU97" s="101">
        <f t="shared" si="26"/>
        <v>4.3469799999999879</v>
      </c>
      <c r="AV97" s="101">
        <f t="shared" si="26"/>
        <v>4.3469799999999879</v>
      </c>
    </row>
    <row r="98" spans="1:48" x14ac:dyDescent="0.25">
      <c r="G98" s="14">
        <v>203.68</v>
      </c>
      <c r="H98" s="14">
        <v>207.904</v>
      </c>
      <c r="I98" s="14">
        <v>211.303</v>
      </c>
      <c r="J98" s="14">
        <v>217.691</v>
      </c>
      <c r="K98" s="14">
        <v>108.983</v>
      </c>
      <c r="L98" s="14">
        <v>108.395</v>
      </c>
      <c r="M98" s="9">
        <f>J98+K98-L98</f>
        <v>218.279</v>
      </c>
      <c r="N98" s="111"/>
      <c r="O98" s="9">
        <f>SUM(O95:O97)</f>
        <v>217.69099999999997</v>
      </c>
      <c r="P98" s="9">
        <f>SUM(P95:P97)</f>
        <v>217.69099999999997</v>
      </c>
      <c r="Q98" s="135"/>
      <c r="R98" s="14">
        <v>51.853053000000003</v>
      </c>
      <c r="S98" s="14">
        <v>49.910567</v>
      </c>
      <c r="T98" s="14">
        <v>53.720714000000001</v>
      </c>
      <c r="U98" s="14">
        <v>54.541198999999999</v>
      </c>
      <c r="V98" s="14">
        <v>28.757000000000001</v>
      </c>
      <c r="W98" s="14">
        <v>29.474</v>
      </c>
      <c r="X98" s="9">
        <f>U98+V98-W98</f>
        <v>53.824198999999993</v>
      </c>
      <c r="Y98" s="95"/>
      <c r="Z98" s="9">
        <f>SUM(Z95:Z97)</f>
        <v>54.541198999999999</v>
      </c>
      <c r="AA98" s="9">
        <f>SUM(AA95:AA97)</f>
        <v>54.541198999999999</v>
      </c>
      <c r="AB98" s="9"/>
      <c r="AP98" s="9"/>
      <c r="AQ98" s="9"/>
      <c r="AR98" s="16">
        <f>SUM(AR95:AR97)</f>
        <v>265.02371399999998</v>
      </c>
      <c r="AS98" s="16">
        <f>SUM(AS95:AS97)</f>
        <v>272.23219899999998</v>
      </c>
      <c r="AT98" s="16">
        <f>SUM(AT95:AT97)</f>
        <v>272.10319899999996</v>
      </c>
      <c r="AU98" s="16">
        <f>SUM(AU95:AU97)</f>
        <v>272.23219899999998</v>
      </c>
      <c r="AV98" s="16">
        <f>SUM(AV95:AV97)</f>
        <v>272.23219899999998</v>
      </c>
    </row>
    <row r="99" spans="1:48" x14ac:dyDescent="0.25">
      <c r="G99" s="9"/>
      <c r="H99" s="9"/>
      <c r="I99" s="9"/>
      <c r="J99" s="9"/>
      <c r="K99" s="9"/>
      <c r="L99" s="9"/>
      <c r="M99" s="9"/>
      <c r="N99" s="111"/>
      <c r="O99" s="9"/>
      <c r="P99" s="9"/>
      <c r="Q99" s="135"/>
      <c r="R99" s="9"/>
      <c r="S99" s="9"/>
      <c r="T99" s="9"/>
      <c r="U99" s="9"/>
      <c r="V99" s="9"/>
      <c r="W99" s="9"/>
      <c r="X99" s="16"/>
      <c r="Y99" s="95"/>
      <c r="Z99" s="16"/>
      <c r="AA99" s="16"/>
      <c r="AB99" s="9"/>
      <c r="AP99" s="9"/>
      <c r="AQ99" s="9"/>
      <c r="AR99" s="16"/>
      <c r="AS99" s="9"/>
      <c r="AT99" s="9"/>
      <c r="AU99" s="9"/>
      <c r="AV99" s="9"/>
    </row>
    <row r="100" spans="1:48" x14ac:dyDescent="0.25">
      <c r="A100" s="1" t="s">
        <v>25</v>
      </c>
      <c r="G100" s="9"/>
      <c r="H100" s="9"/>
      <c r="I100" s="9"/>
      <c r="J100" s="9"/>
      <c r="K100" s="9"/>
      <c r="L100" s="9"/>
      <c r="M100" s="16"/>
      <c r="N100" s="111"/>
      <c r="O100" s="16"/>
      <c r="P100" s="9"/>
      <c r="Q100" s="135"/>
      <c r="R100" s="9"/>
      <c r="S100" s="9"/>
      <c r="T100" s="9"/>
      <c r="U100" s="9"/>
      <c r="V100" s="9"/>
      <c r="W100" s="9"/>
      <c r="X100" s="16"/>
      <c r="Y100" s="95"/>
      <c r="Z100" s="16"/>
      <c r="AA100" s="16"/>
      <c r="AB100" s="9"/>
      <c r="AP100" s="9"/>
      <c r="AQ100" s="9"/>
      <c r="AR100" s="16"/>
      <c r="AS100" s="9"/>
      <c r="AT100" s="9"/>
      <c r="AU100" s="9"/>
      <c r="AV100" s="9"/>
    </row>
    <row r="101" spans="1:48" x14ac:dyDescent="0.25">
      <c r="A101" t="s">
        <v>118</v>
      </c>
      <c r="G101" s="9"/>
      <c r="H101" s="14">
        <v>0</v>
      </c>
      <c r="I101" s="14">
        <v>0</v>
      </c>
      <c r="J101" s="14">
        <v>0</v>
      </c>
      <c r="K101" s="14"/>
      <c r="L101" s="14"/>
      <c r="M101" s="16">
        <v>0</v>
      </c>
      <c r="N101" s="111"/>
      <c r="O101" s="14"/>
      <c r="P101" s="14"/>
      <c r="Q101" s="135"/>
      <c r="R101" s="9"/>
      <c r="S101" s="9"/>
      <c r="T101" s="9"/>
      <c r="U101" s="9"/>
      <c r="V101" s="9"/>
      <c r="W101" s="9"/>
      <c r="X101" s="16"/>
      <c r="Y101" s="95"/>
      <c r="Z101" s="16"/>
      <c r="AA101" s="16"/>
      <c r="AB101" s="9"/>
      <c r="AP101" s="9"/>
      <c r="AQ101" s="9"/>
      <c r="AR101" s="16">
        <f>I101</f>
        <v>0</v>
      </c>
      <c r="AS101" s="9">
        <f>J101</f>
        <v>0</v>
      </c>
      <c r="AT101" s="9">
        <f>M101</f>
        <v>0</v>
      </c>
      <c r="AU101" s="100">
        <f>O101+Z101</f>
        <v>0</v>
      </c>
      <c r="AV101" s="100">
        <f>P101+AA101</f>
        <v>0</v>
      </c>
    </row>
    <row r="102" spans="1:48" x14ac:dyDescent="0.25">
      <c r="A102" s="5" t="s">
        <v>76</v>
      </c>
      <c r="G102" s="9"/>
      <c r="H102" s="9"/>
      <c r="I102" s="14">
        <v>0</v>
      </c>
      <c r="J102" s="14">
        <v>0</v>
      </c>
      <c r="K102" s="14"/>
      <c r="L102" s="14"/>
      <c r="M102" s="14">
        <v>0</v>
      </c>
      <c r="N102" s="111"/>
      <c r="O102" s="14"/>
      <c r="P102" s="14"/>
      <c r="Q102" s="135"/>
      <c r="R102" s="9"/>
      <c r="S102" s="9"/>
      <c r="T102" s="9"/>
      <c r="U102" s="9"/>
      <c r="V102" s="9"/>
      <c r="W102" s="9"/>
      <c r="X102" s="16"/>
      <c r="Y102" s="95"/>
      <c r="Z102" s="16"/>
      <c r="AA102" s="16"/>
      <c r="AB102" s="9"/>
      <c r="AP102" s="9"/>
      <c r="AQ102" s="9"/>
      <c r="AR102" s="16">
        <f>I102</f>
        <v>0</v>
      </c>
      <c r="AS102" s="9">
        <f>J102</f>
        <v>0</v>
      </c>
      <c r="AT102" s="9">
        <f>M102</f>
        <v>0</v>
      </c>
      <c r="AU102" s="100">
        <f>O102+Z102</f>
        <v>0</v>
      </c>
      <c r="AV102" s="100">
        <f>P102+AA102</f>
        <v>0</v>
      </c>
    </row>
    <row r="103" spans="1:48" x14ac:dyDescent="0.25">
      <c r="G103" s="9"/>
      <c r="H103" s="9"/>
      <c r="I103" s="14"/>
      <c r="J103" s="14"/>
      <c r="K103" s="14"/>
      <c r="L103" s="14"/>
      <c r="M103" s="16"/>
      <c r="N103" s="111"/>
      <c r="O103" s="16"/>
      <c r="P103" s="9"/>
      <c r="Q103" s="135"/>
      <c r="R103" s="9"/>
      <c r="S103" s="9"/>
      <c r="T103" s="9"/>
      <c r="U103" s="9"/>
      <c r="V103" s="9"/>
      <c r="W103" s="9"/>
      <c r="X103" s="16"/>
      <c r="Y103" s="95"/>
      <c r="Z103" s="16"/>
      <c r="AA103" s="16"/>
      <c r="AB103" s="9"/>
      <c r="AP103" s="9"/>
      <c r="AQ103" s="9"/>
      <c r="AR103" s="16"/>
      <c r="AS103" s="9"/>
      <c r="AT103" s="9"/>
      <c r="AU103" s="9"/>
      <c r="AV103" s="9"/>
    </row>
    <row r="104" spans="1:48" x14ac:dyDescent="0.25">
      <c r="A104" s="1" t="s">
        <v>23</v>
      </c>
      <c r="G104" s="9"/>
      <c r="H104" s="9"/>
      <c r="I104" s="9"/>
      <c r="J104" s="9"/>
      <c r="K104" s="9"/>
      <c r="L104" s="9"/>
      <c r="M104" s="16"/>
      <c r="N104" s="111"/>
      <c r="O104" s="16"/>
      <c r="P104" s="9"/>
      <c r="Q104" s="135"/>
      <c r="R104" s="9"/>
      <c r="S104" s="9"/>
      <c r="T104" s="9"/>
      <c r="U104" s="9"/>
      <c r="V104" s="9"/>
      <c r="W104" s="9"/>
      <c r="X104" s="16"/>
      <c r="Y104" s="95"/>
      <c r="Z104" s="16"/>
      <c r="AA104" s="16"/>
      <c r="AB104" s="9"/>
      <c r="AP104" s="9"/>
      <c r="AQ104" s="9"/>
      <c r="AR104" s="16"/>
      <c r="AS104" s="9"/>
      <c r="AT104" s="9"/>
      <c r="AU104" s="9"/>
      <c r="AV104" s="9"/>
    </row>
    <row r="105" spans="1:48" x14ac:dyDescent="0.25">
      <c r="A105" t="s">
        <v>21</v>
      </c>
      <c r="F105" s="9"/>
      <c r="G105" s="9">
        <f>G25-G72-G73-G80-G85-G90-G95</f>
        <v>403.27034110144348</v>
      </c>
      <c r="H105" s="9">
        <f>H25-H72-H73-H80-H85-H90-H95</f>
        <v>396.02442113817096</v>
      </c>
      <c r="I105" s="9">
        <f>I25-I72-I73-I80-I85-I90-I95</f>
        <v>388.16799433844682</v>
      </c>
      <c r="J105" s="9">
        <f>J25-J72-J73-J80-J85-J90-J95</f>
        <v>361.78623550785289</v>
      </c>
      <c r="K105" s="9"/>
      <c r="L105" s="9"/>
      <c r="M105" s="9">
        <f>M25-M72-M73-M80-M85-M90-M95</f>
        <v>475.48191454867811</v>
      </c>
      <c r="N105" s="111"/>
      <c r="O105" s="9">
        <f>O25-O72-O73-O80-O85-O90-O95</f>
        <v>463.49968366706196</v>
      </c>
      <c r="P105" s="9">
        <f>P25-P72-P73-P80-P85-P90-P95</f>
        <v>513.6298162640968</v>
      </c>
      <c r="Q105" s="135"/>
      <c r="R105" s="9">
        <f>R25-R72-R73-R80-R85-R90-R95</f>
        <v>316.74177500000002</v>
      </c>
      <c r="S105" s="9">
        <f>S25-S72-S73-S80-S85-S90-S95</f>
        <v>281.87438299999991</v>
      </c>
      <c r="T105" s="9">
        <f>T25-T72-T73-T80-T85-T90-T95</f>
        <v>281.86262000000005</v>
      </c>
      <c r="U105" s="9">
        <f>U25-U72-U73-U80-U85-U90-U95</f>
        <v>154.05111399999996</v>
      </c>
      <c r="V105" s="9"/>
      <c r="W105" s="9"/>
      <c r="X105" s="9">
        <f>X25-X72-X73-X80-X85-X90-X95</f>
        <v>144.30664511679595</v>
      </c>
      <c r="Y105" s="95"/>
      <c r="Z105" s="9">
        <f>Z25-Z72-Z73-Z80-Z85-Z90-Z95</f>
        <v>239.41050806393059</v>
      </c>
      <c r="AA105" s="9">
        <f>AA25-AA72-AA73-AA80-AA85-AA90-AA95</f>
        <v>309.61800529361165</v>
      </c>
      <c r="AB105" s="9"/>
      <c r="AP105" s="9"/>
      <c r="AQ105" s="9"/>
      <c r="AR105" s="9">
        <f>AR25-AR72-AR73-AR80-AR85-AR90-AR95</f>
        <v>670.03061433844687</v>
      </c>
      <c r="AS105" s="9">
        <f>AS25-AS72-AS73-AS80-AS85-AS90-AS95</f>
        <v>515.83734950785333</v>
      </c>
      <c r="AT105" s="9">
        <f>AT25-AT72-AT73-AT80-AT85-AT90-AT95</f>
        <v>619.78855966547474</v>
      </c>
      <c r="AU105" s="9">
        <f>AU25-AU72-AU73-AU80-AU85-AU90-AU95</f>
        <v>702.91019173099289</v>
      </c>
      <c r="AV105" s="9">
        <f>AV25-AV72-AV73-AV80-AV85-AV90-AV95</f>
        <v>823.24782155770879</v>
      </c>
    </row>
    <row r="106" spans="1:48" x14ac:dyDescent="0.25">
      <c r="A106" t="s">
        <v>6</v>
      </c>
      <c r="G106" s="9">
        <f>G63-G74-G81-G86-G91-G96</f>
        <v>74.659894898556587</v>
      </c>
      <c r="H106" s="9">
        <f>H63-H74-H81-H86-H91-H96</f>
        <v>84.392271861829187</v>
      </c>
      <c r="I106" s="9">
        <f>I63-I74-I81-I86-I91-I96</f>
        <v>91.301037661553266</v>
      </c>
      <c r="J106" s="9">
        <f>J63-J74-J81-J86-J91-J96</f>
        <v>64.670657492147214</v>
      </c>
      <c r="K106" s="9"/>
      <c r="L106" s="9"/>
      <c r="M106" s="9">
        <f>M63-M74-M81-M86-M91-M96</f>
        <v>126.65183671744104</v>
      </c>
      <c r="N106" s="111"/>
      <c r="O106" s="9">
        <f>O63-O74-O81-O86-O91-O96</f>
        <v>74.197321922304255</v>
      </c>
      <c r="P106" s="9">
        <f>P63-P74-P81-P86-P91-P96</f>
        <v>83.856197863858213</v>
      </c>
      <c r="Q106" s="135"/>
      <c r="R106" s="9">
        <f>R63-R74-R81-R86-R91-R96</f>
        <v>0</v>
      </c>
      <c r="S106" s="9">
        <f>S63-S74-S81-S86-S91-S96</f>
        <v>0</v>
      </c>
      <c r="T106" s="9">
        <f>T63-T74-T81-T86-T91-T96</f>
        <v>0</v>
      </c>
      <c r="U106" s="9">
        <f>U63-U74-U81-U86-U91-U96</f>
        <v>0</v>
      </c>
      <c r="V106" s="9"/>
      <c r="W106" s="9"/>
      <c r="X106" s="9">
        <f>X63-X74-X81-X86-X91-X96</f>
        <v>0</v>
      </c>
      <c r="Y106" s="95"/>
      <c r="Z106" s="9">
        <f>Z63-Z74-Z81-Z86-Z91-Z96</f>
        <v>0</v>
      </c>
      <c r="AA106" s="9">
        <f>AA63-AA74-AA81-AA86-AA91-AA96</f>
        <v>0</v>
      </c>
      <c r="AB106" s="9"/>
      <c r="AP106" s="9"/>
      <c r="AQ106" s="9"/>
      <c r="AR106" s="9">
        <f>AR63-AR74-AR81-AR86-AR91-AR96</f>
        <v>91.301037661553266</v>
      </c>
      <c r="AS106" s="9">
        <f>AS63-AS74-AS81-AS86-AS91-AS96</f>
        <v>64.670657492147214</v>
      </c>
      <c r="AT106" s="9">
        <f>AT63-AT74-AT81-AT86-AT91-AT96</f>
        <v>126.65183671744104</v>
      </c>
      <c r="AU106" s="9">
        <f>AU63-AU74-AU81-AU86-AU91-AU96</f>
        <v>74.197321922304255</v>
      </c>
      <c r="AV106" s="9">
        <f>AV63-AV74-AV81-AV86-AV91-AV96</f>
        <v>83.856197863858213</v>
      </c>
    </row>
    <row r="107" spans="1:48" s="30" customFormat="1" ht="15" x14ac:dyDescent="0.4">
      <c r="A107" s="30" t="s">
        <v>13</v>
      </c>
      <c r="G107" s="34">
        <f>-G82-G87-G92-G97</f>
        <v>-25.102002999999989</v>
      </c>
      <c r="H107" s="34">
        <f>-H82-H87-H92-H97</f>
        <v>-28.890617000000002</v>
      </c>
      <c r="I107" s="34">
        <f>-I82-I87-I92-I97</f>
        <v>-27.670082999999952</v>
      </c>
      <c r="J107" s="34">
        <f>-J82-J87-J92-J97</f>
        <v>-24.049346999999994</v>
      </c>
      <c r="K107" s="34"/>
      <c r="L107" s="34"/>
      <c r="M107" s="34">
        <f>-M82-M87-M92-M97</f>
        <v>-25.739205266119047</v>
      </c>
      <c r="N107" s="111"/>
      <c r="O107" s="34">
        <f>-O82-O87-O92-O97</f>
        <v>-23.931493519999997</v>
      </c>
      <c r="P107" s="34">
        <f>-P82-P87-P92-P97</f>
        <v>-23.815997109599994</v>
      </c>
      <c r="Q107" s="134"/>
      <c r="R107" s="34">
        <f>-R82-R87-R92-R97</f>
        <v>-4.8101699999999994</v>
      </c>
      <c r="S107" s="34">
        <f>-S82-S87-S92-S97</f>
        <v>-3.0168870000000112</v>
      </c>
      <c r="T107" s="34">
        <f>-T82-T87-T92-T97</f>
        <v>7.8282079999999894</v>
      </c>
      <c r="U107" s="34">
        <f>-U82-U87-U92-U97</f>
        <v>7.0125380000000064</v>
      </c>
      <c r="V107" s="34"/>
      <c r="W107" s="34"/>
      <c r="X107" s="34">
        <f>-X82-X87-X92-X97</f>
        <v>7.1800068832041957</v>
      </c>
      <c r="Y107" s="96"/>
      <c r="Z107" s="34">
        <f>-Z82-Z87-Z92-Z97</f>
        <v>7.0125380000000064</v>
      </c>
      <c r="AA107" s="34">
        <f>-AA82-AA87-AA92-AA97</f>
        <v>7.0125380000000064</v>
      </c>
      <c r="AB107" s="2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27"/>
      <c r="AQ107" s="27"/>
      <c r="AR107" s="34">
        <f>-AR82-AR87-AR92-AR97</f>
        <v>-19.841874999999963</v>
      </c>
      <c r="AS107" s="34">
        <f>-AS82-AS87-AS92-AS97</f>
        <v>-17.036808999999987</v>
      </c>
      <c r="AT107" s="34">
        <f>-AT82-AT87-AT92-AT97</f>
        <v>-18.55919838291485</v>
      </c>
      <c r="AU107" s="34">
        <f>-AU82-AU87-AU92-AU97</f>
        <v>-16.91895551999999</v>
      </c>
      <c r="AV107" s="34">
        <f>-AV82-AV87-AV92-AV97</f>
        <v>-16.803459109599988</v>
      </c>
    </row>
    <row r="108" spans="1:48" x14ac:dyDescent="0.25">
      <c r="B108" s="1"/>
      <c r="G108" s="9">
        <f>SUM(G105:G107)</f>
        <v>452.82823300000007</v>
      </c>
      <c r="H108" s="9">
        <f>SUM(H105:H107)</f>
        <v>451.5260760000001</v>
      </c>
      <c r="I108" s="9">
        <f>SUM(I105:I107)</f>
        <v>451.79894900000011</v>
      </c>
      <c r="J108" s="9">
        <f>SUM(J105:J107)</f>
        <v>402.40754600000008</v>
      </c>
      <c r="K108" s="9"/>
      <c r="L108" s="9"/>
      <c r="M108" s="9">
        <f>SUM(M105:M107)</f>
        <v>576.3945460000001</v>
      </c>
      <c r="N108" s="111"/>
      <c r="O108" s="9">
        <f>SUM(O105:O107)</f>
        <v>513.7655120693662</v>
      </c>
      <c r="P108" s="9">
        <f>SUM(P105:P107)</f>
        <v>573.67001701835511</v>
      </c>
      <c r="Q108" s="135"/>
      <c r="R108" s="9">
        <f>SUM(R105:R107)</f>
        <v>311.93160499999999</v>
      </c>
      <c r="S108" s="9">
        <f>SUM(S105:S107)</f>
        <v>278.85749599999991</v>
      </c>
      <c r="T108" s="9">
        <f>SUM(T105:T107)</f>
        <v>289.69082800000001</v>
      </c>
      <c r="U108" s="9">
        <f>SUM(U105:U107)</f>
        <v>161.06365199999996</v>
      </c>
      <c r="V108" s="9"/>
      <c r="W108" s="9"/>
      <c r="X108" s="9">
        <f>SUM(X105:X107)</f>
        <v>151.48665200000013</v>
      </c>
      <c r="Y108" s="95"/>
      <c r="Z108" s="9">
        <f>SUM(Z105:Z107)</f>
        <v>246.4230460639306</v>
      </c>
      <c r="AA108" s="9">
        <f>SUM(AA105:AA107)</f>
        <v>316.63054329361165</v>
      </c>
      <c r="AB108" s="9"/>
      <c r="AP108" s="9"/>
      <c r="AQ108" s="9"/>
      <c r="AR108" s="9">
        <f>SUM(AR105:AR107)</f>
        <v>741.48977700000012</v>
      </c>
      <c r="AS108" s="9">
        <f>SUM(AS105:AS107)</f>
        <v>563.47119800000064</v>
      </c>
      <c r="AT108" s="9">
        <f>SUM(AT105:AT107)</f>
        <v>727.88119800000095</v>
      </c>
      <c r="AU108" s="9">
        <f>SUM(AU105:AU107)</f>
        <v>760.18855813329719</v>
      </c>
      <c r="AV108" s="9">
        <f>SUM(AV105:AV107)</f>
        <v>890.30056031196705</v>
      </c>
    </row>
    <row r="109" spans="1:48" x14ac:dyDescent="0.25">
      <c r="G109" s="9"/>
      <c r="H109" s="9"/>
      <c r="I109" s="9"/>
      <c r="J109" s="9"/>
      <c r="K109" s="9"/>
      <c r="L109" s="9"/>
      <c r="M109" s="16"/>
      <c r="N109" s="111"/>
      <c r="O109" s="16"/>
      <c r="P109" s="9"/>
      <c r="Q109" s="135"/>
      <c r="R109" s="9"/>
      <c r="S109" s="9"/>
      <c r="T109" s="9"/>
      <c r="U109" s="9"/>
      <c r="V109" s="9"/>
      <c r="W109" s="9"/>
      <c r="X109" s="16"/>
      <c r="Y109" s="95"/>
      <c r="Z109" s="16"/>
      <c r="AA109" s="16"/>
      <c r="AB109" s="9"/>
      <c r="AP109" s="9"/>
      <c r="AQ109" s="9"/>
      <c r="AR109" s="16"/>
      <c r="AS109" s="9"/>
      <c r="AT109" s="9"/>
      <c r="AU109" s="9"/>
      <c r="AV109" s="9"/>
    </row>
    <row r="110" spans="1:48" x14ac:dyDescent="0.25">
      <c r="A110" s="1" t="s">
        <v>24</v>
      </c>
      <c r="G110" s="9"/>
      <c r="H110" s="9"/>
      <c r="I110" s="9"/>
      <c r="J110" s="9"/>
      <c r="K110" s="9"/>
      <c r="L110" s="9"/>
      <c r="M110" s="16"/>
      <c r="N110" s="111"/>
      <c r="O110" s="16"/>
      <c r="P110" s="9"/>
      <c r="Q110" s="135"/>
      <c r="R110" s="9"/>
      <c r="S110" s="9"/>
      <c r="T110" s="9"/>
      <c r="U110" s="9"/>
      <c r="V110" s="9"/>
      <c r="W110" s="9"/>
      <c r="X110" s="16"/>
      <c r="Y110" s="95"/>
      <c r="Z110" s="16"/>
      <c r="AA110" s="16"/>
      <c r="AB110" s="9"/>
      <c r="AP110" s="9"/>
      <c r="AQ110" s="9"/>
      <c r="AR110" s="16"/>
      <c r="AS110" s="9"/>
      <c r="AT110" s="9"/>
      <c r="AU110" s="9"/>
      <c r="AV110" s="9"/>
    </row>
    <row r="111" spans="1:48" x14ac:dyDescent="0.25">
      <c r="A111" t="s">
        <v>21</v>
      </c>
      <c r="G111" s="9">
        <f t="shared" ref="G111:J113" si="27">G105+G90</f>
        <v>541.6344791014435</v>
      </c>
      <c r="H111" s="9">
        <f t="shared" si="27"/>
        <v>537.06000813817093</v>
      </c>
      <c r="I111" s="9">
        <f t="shared" si="27"/>
        <v>533.60197733844689</v>
      </c>
      <c r="J111" s="9">
        <f t="shared" si="27"/>
        <v>521.21297550785289</v>
      </c>
      <c r="K111" s="9"/>
      <c r="L111" s="9"/>
      <c r="M111" s="9">
        <f>M105+M90</f>
        <v>639.65202322121581</v>
      </c>
      <c r="N111" s="111"/>
      <c r="O111" s="9">
        <f t="shared" ref="O111:P113" si="28">O105+O90</f>
        <v>622.92642366706195</v>
      </c>
      <c r="P111" s="9">
        <f>P105+P90</f>
        <v>673.0565562640968</v>
      </c>
      <c r="Q111" s="135"/>
      <c r="R111" s="9">
        <f>R105+R90</f>
        <v>426.91460499999999</v>
      </c>
      <c r="S111" s="9">
        <f>S105+S90</f>
        <v>395.87049599999989</v>
      </c>
      <c r="T111" s="9">
        <f>T105+T90</f>
        <v>416.421828</v>
      </c>
      <c r="U111" s="9">
        <f>U105+U90</f>
        <v>291.66765199999998</v>
      </c>
      <c r="V111" s="9"/>
      <c r="W111" s="9"/>
      <c r="X111" s="9">
        <f>X105+X90</f>
        <v>285.20965200000012</v>
      </c>
      <c r="Y111" s="95"/>
      <c r="Z111" s="9">
        <f t="shared" ref="Z111:AA113" si="29">Z105+Z90</f>
        <v>377.02704606393058</v>
      </c>
      <c r="AA111" s="9">
        <f t="shared" si="29"/>
        <v>447.23454329361164</v>
      </c>
      <c r="AB111" s="9"/>
      <c r="AP111" s="9"/>
      <c r="AQ111" s="9"/>
      <c r="AR111" s="9">
        <f t="shared" ref="AR111:AV113" si="30">AR105+AR90</f>
        <v>950.02380533844689</v>
      </c>
      <c r="AS111" s="9">
        <f t="shared" si="30"/>
        <v>812.88062750785332</v>
      </c>
      <c r="AT111" s="9">
        <f t="shared" si="30"/>
        <v>924.86167522121661</v>
      </c>
      <c r="AU111" s="9">
        <f t="shared" si="30"/>
        <v>999.95346973099288</v>
      </c>
      <c r="AV111" s="9">
        <f t="shared" si="30"/>
        <v>1120.2910995577088</v>
      </c>
    </row>
    <row r="112" spans="1:48" x14ac:dyDescent="0.25">
      <c r="A112" t="s">
        <v>6</v>
      </c>
      <c r="G112" s="9">
        <f t="shared" si="27"/>
        <v>91.602645898556588</v>
      </c>
      <c r="H112" s="9">
        <f t="shared" si="27"/>
        <v>101.84702886182919</v>
      </c>
      <c r="I112" s="9">
        <f t="shared" si="27"/>
        <v>108.65087266155327</v>
      </c>
      <c r="J112" s="9">
        <f t="shared" si="27"/>
        <v>82.543224492147218</v>
      </c>
      <c r="K112" s="9"/>
      <c r="L112" s="9"/>
      <c r="M112" s="9">
        <f>M106+M91</f>
        <v>145.05616002385256</v>
      </c>
      <c r="N112" s="111"/>
      <c r="O112" s="9">
        <f t="shared" si="28"/>
        <v>92.069888922304258</v>
      </c>
      <c r="P112" s="9">
        <f t="shared" si="28"/>
        <v>101.72876486385822</v>
      </c>
      <c r="Q112" s="135"/>
      <c r="R112" s="9">
        <f t="shared" ref="R112:T113" si="31">R106+S91</f>
        <v>0</v>
      </c>
      <c r="S112" s="9">
        <f t="shared" si="31"/>
        <v>0</v>
      </c>
      <c r="T112" s="9">
        <f t="shared" si="31"/>
        <v>0</v>
      </c>
      <c r="U112" s="9">
        <f>U106+X91</f>
        <v>0</v>
      </c>
      <c r="V112" s="9"/>
      <c r="W112" s="9"/>
      <c r="X112" s="9">
        <f>X106+X91</f>
        <v>0</v>
      </c>
      <c r="Y112" s="95"/>
      <c r="Z112" s="9">
        <f t="shared" si="29"/>
        <v>0</v>
      </c>
      <c r="AA112" s="9">
        <f t="shared" si="29"/>
        <v>0</v>
      </c>
      <c r="AB112" s="9"/>
      <c r="AP112" s="9"/>
      <c r="AQ112" s="9"/>
      <c r="AR112" s="9">
        <f t="shared" si="30"/>
        <v>108.65087266155327</v>
      </c>
      <c r="AS112" s="9">
        <f t="shared" si="30"/>
        <v>82.543224492147218</v>
      </c>
      <c r="AT112" s="9">
        <f t="shared" si="30"/>
        <v>145.05616002385256</v>
      </c>
      <c r="AU112" s="9">
        <f t="shared" si="30"/>
        <v>92.069888922304258</v>
      </c>
      <c r="AV112" s="9">
        <f t="shared" si="30"/>
        <v>101.72876486385822</v>
      </c>
    </row>
    <row r="113" spans="1:58" ht="15" x14ac:dyDescent="0.4">
      <c r="A113" s="30" t="s">
        <v>13</v>
      </c>
      <c r="G113" s="34">
        <f t="shared" si="27"/>
        <v>-9.0418920000000114</v>
      </c>
      <c r="H113" s="34">
        <f t="shared" si="27"/>
        <v>-9.541960999999997</v>
      </c>
      <c r="I113" s="34">
        <f t="shared" si="27"/>
        <v>-10.262900999999975</v>
      </c>
      <c r="J113" s="34">
        <f t="shared" si="27"/>
        <v>-10.239653999999984</v>
      </c>
      <c r="K113" s="34"/>
      <c r="L113" s="34"/>
      <c r="M113" s="34">
        <f>M107+M92</f>
        <v>-11.518637245068224</v>
      </c>
      <c r="N113" s="111"/>
      <c r="O113" s="34">
        <f t="shared" si="28"/>
        <v>-10.121800519999987</v>
      </c>
      <c r="P113" s="34">
        <f t="shared" si="28"/>
        <v>-10.006304109599984</v>
      </c>
      <c r="Q113" s="27"/>
      <c r="R113" s="34">
        <f t="shared" si="31"/>
        <v>-1.7932829999999882</v>
      </c>
      <c r="S113" s="34">
        <f t="shared" si="31"/>
        <v>-10.845095000000001</v>
      </c>
      <c r="T113" s="34">
        <f t="shared" si="31"/>
        <v>0.81566999999998302</v>
      </c>
      <c r="U113" s="34">
        <f>U107+X92</f>
        <v>-0.16746888320418929</v>
      </c>
      <c r="V113" s="34"/>
      <c r="W113" s="34"/>
      <c r="X113" s="34">
        <f>X107+X92</f>
        <v>0</v>
      </c>
      <c r="Y113" s="96"/>
      <c r="Z113" s="34">
        <f t="shared" si="29"/>
        <v>0</v>
      </c>
      <c r="AA113" s="34">
        <f t="shared" si="29"/>
        <v>0</v>
      </c>
      <c r="AB113" s="27"/>
      <c r="AP113" s="27"/>
      <c r="AQ113" s="27"/>
      <c r="AR113" s="34">
        <f t="shared" si="30"/>
        <v>-10.262900999999975</v>
      </c>
      <c r="AS113" s="34">
        <f t="shared" si="30"/>
        <v>-10.239653999999984</v>
      </c>
      <c r="AT113" s="34">
        <f t="shared" si="30"/>
        <v>-11.518637245068224</v>
      </c>
      <c r="AU113" s="34">
        <f t="shared" si="30"/>
        <v>-10.121800519999987</v>
      </c>
      <c r="AV113" s="34">
        <f t="shared" si="30"/>
        <v>-10.006304109599984</v>
      </c>
    </row>
    <row r="114" spans="1:58" ht="13.8" thickBot="1" x14ac:dyDescent="0.3">
      <c r="G114" s="40">
        <f>SUM(G111:G113)</f>
        <v>624.19523300000014</v>
      </c>
      <c r="H114" s="40">
        <f>SUM(H111:H113)</f>
        <v>629.36507600000016</v>
      </c>
      <c r="I114" s="40">
        <f>SUM(I111:I113)</f>
        <v>631.98994900000025</v>
      </c>
      <c r="J114" s="40">
        <f>SUM(J111:J113)</f>
        <v>593.51654600000018</v>
      </c>
      <c r="K114" s="40"/>
      <c r="L114" s="40"/>
      <c r="M114" s="40">
        <f>SUM(M111:M113)</f>
        <v>773.18954600000006</v>
      </c>
      <c r="N114" s="111"/>
      <c r="O114" s="40">
        <f>SUM(O111:O113)</f>
        <v>704.87451206936623</v>
      </c>
      <c r="P114" s="40">
        <f>SUM(P111:P113)</f>
        <v>764.77901701835503</v>
      </c>
      <c r="Q114" s="39"/>
      <c r="R114" s="40">
        <f>SUM(R111:R113)</f>
        <v>425.12132200000002</v>
      </c>
      <c r="S114" s="40">
        <f>SUM(S111:S113)</f>
        <v>385.02540099999987</v>
      </c>
      <c r="T114" s="40">
        <f>SUM(T111:T113)</f>
        <v>417.23749799999996</v>
      </c>
      <c r="U114" s="40">
        <f>SUM(U111:U113)</f>
        <v>291.50018311679577</v>
      </c>
      <c r="V114" s="40"/>
      <c r="W114" s="40"/>
      <c r="X114" s="40">
        <f>SUM(X111:X113)</f>
        <v>285.20965200000012</v>
      </c>
      <c r="Y114" s="147"/>
      <c r="Z114" s="40">
        <f>SUM(Z111:Z113)</f>
        <v>377.02704606393058</v>
      </c>
      <c r="AA114" s="40">
        <f>SUM(AA111:AA113)</f>
        <v>447.23454329361164</v>
      </c>
      <c r="AB114" s="39"/>
      <c r="AP114" s="39"/>
      <c r="AQ114" s="39"/>
      <c r="AR114" s="40">
        <f>SUM(AR111:AR113)</f>
        <v>1048.411777</v>
      </c>
      <c r="AS114" s="40">
        <f>SUM(AS111:AS113)</f>
        <v>885.18419800000061</v>
      </c>
      <c r="AT114" s="40">
        <f>SUM(AT111:AT113)</f>
        <v>1058.399198000001</v>
      </c>
      <c r="AU114" s="40">
        <f>SUM(AU111:AU113)</f>
        <v>1081.9015581332972</v>
      </c>
      <c r="AV114" s="40">
        <f>SUM(AV111:AV113)</f>
        <v>1212.013560311967</v>
      </c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</row>
    <row r="115" spans="1:58" ht="13.8" thickTop="1" x14ac:dyDescent="0.25">
      <c r="G115" s="48"/>
      <c r="H115" s="48"/>
      <c r="I115" s="48"/>
      <c r="J115" s="48"/>
      <c r="K115" s="48"/>
      <c r="L115" s="48"/>
      <c r="M115" s="48"/>
      <c r="N115" s="111"/>
      <c r="O115" s="48"/>
      <c r="P115" s="39"/>
      <c r="Q115" s="39"/>
      <c r="R115" s="48"/>
      <c r="S115" s="48"/>
      <c r="T115" s="48"/>
      <c r="U115" s="48"/>
      <c r="V115" s="48"/>
      <c r="W115" s="48"/>
      <c r="X115" s="48"/>
      <c r="Y115" s="147"/>
      <c r="Z115" s="48"/>
      <c r="AA115" s="48"/>
      <c r="AB115" s="39"/>
      <c r="AP115" s="39"/>
      <c r="AQ115" s="39"/>
      <c r="AR115" s="48"/>
      <c r="AS115" s="48"/>
      <c r="AT115" s="48"/>
    </row>
    <row r="116" spans="1:58" x14ac:dyDescent="0.25">
      <c r="G116" s="9"/>
      <c r="H116" s="8">
        <f>H114/H68</f>
        <v>0.32613660628794477</v>
      </c>
      <c r="I116" s="8">
        <f>I114/I68</f>
        <v>0.26291812233908679</v>
      </c>
      <c r="J116" s="8">
        <f>J114/J68</f>
        <v>0.21114893528835404</v>
      </c>
      <c r="K116" s="8"/>
      <c r="L116" s="8"/>
      <c r="M116" s="8">
        <f>M114/M68</f>
        <v>0.22953727379868263</v>
      </c>
      <c r="N116" s="111"/>
      <c r="O116" s="8">
        <f>O114/O68</f>
        <v>0.24186017380670669</v>
      </c>
      <c r="P116" s="8">
        <f>P114/P68</f>
        <v>0.25779732321338777</v>
      </c>
      <c r="Q116" s="9"/>
      <c r="R116" s="9"/>
      <c r="S116" s="9"/>
      <c r="T116" s="9"/>
      <c r="U116" s="9"/>
      <c r="V116" s="9"/>
      <c r="W116" s="9"/>
      <c r="X116" s="16"/>
      <c r="Y116" s="95"/>
      <c r="Z116" s="16">
        <f>Z114/Z68</f>
        <v>0.15213617946296945</v>
      </c>
      <c r="AA116" s="16">
        <f>AA114/AA68</f>
        <v>0.17618374090365449</v>
      </c>
      <c r="AB116" s="9"/>
      <c r="AP116" s="9"/>
      <c r="AQ116" s="9"/>
      <c r="AR116" s="16"/>
      <c r="AS116" s="9"/>
    </row>
    <row r="117" spans="1:58" x14ac:dyDescent="0.25">
      <c r="A117" s="1" t="s">
        <v>102</v>
      </c>
      <c r="G117" s="49"/>
      <c r="H117" s="49"/>
      <c r="I117" s="49"/>
      <c r="J117" s="49"/>
      <c r="K117" s="49"/>
      <c r="L117" s="49"/>
      <c r="M117" s="49"/>
      <c r="N117" s="111"/>
      <c r="O117" s="49"/>
      <c r="P117" s="9"/>
      <c r="Q117" s="9"/>
      <c r="R117" s="49"/>
      <c r="S117" s="49"/>
      <c r="T117" s="49"/>
      <c r="U117" s="49"/>
      <c r="V117" s="49"/>
      <c r="W117" s="49"/>
      <c r="X117" s="49"/>
      <c r="Y117" s="148"/>
      <c r="Z117" s="49"/>
      <c r="AA117" s="49"/>
      <c r="AB117" s="9"/>
      <c r="AP117" s="9"/>
      <c r="AQ117" s="9"/>
      <c r="AR117" s="16"/>
      <c r="AS117" s="21"/>
      <c r="AT117" s="9"/>
      <c r="AU117" s="9"/>
    </row>
    <row r="118" spans="1:58" x14ac:dyDescent="0.25">
      <c r="A118" t="s">
        <v>21</v>
      </c>
      <c r="F118" s="9"/>
      <c r="G118" s="159">
        <f>G121*G25/G68</f>
        <v>110.41496219829581</v>
      </c>
      <c r="H118" s="160">
        <f>H121*H25/H68</f>
        <v>92.445866653770821</v>
      </c>
      <c r="I118" s="160">
        <f>I121*I25/I68</f>
        <v>91.945887960992778</v>
      </c>
      <c r="J118" s="160">
        <f>J121*J25/J68</f>
        <v>87.564366180748465</v>
      </c>
      <c r="K118" s="75"/>
      <c r="L118" s="75"/>
      <c r="M118" s="180">
        <f>J118/J$121*M$121</f>
        <v>85.008642587922381</v>
      </c>
      <c r="N118" s="111"/>
      <c r="O118" s="75">
        <f>J118</f>
        <v>87.564366180748465</v>
      </c>
      <c r="P118" s="75">
        <f>O118</f>
        <v>87.564366180748465</v>
      </c>
      <c r="Q118" s="9"/>
      <c r="R118" s="159">
        <f>R121*R25/R68</f>
        <v>82.187146999999996</v>
      </c>
      <c r="S118" s="160">
        <f>S121*S25/S68</f>
        <v>79.186999</v>
      </c>
      <c r="T118" s="160">
        <f>T121*T25/T68</f>
        <v>84.454575000000006</v>
      </c>
      <c r="U118" s="160">
        <f>U121*U25/U68</f>
        <v>89.358829</v>
      </c>
      <c r="V118" s="50"/>
      <c r="W118" s="50"/>
      <c r="X118" s="78">
        <f>U118/U$121*X$121</f>
        <v>85.422829000000007</v>
      </c>
      <c r="Y118" s="95"/>
      <c r="Z118" s="100">
        <f>U118</f>
        <v>89.358829</v>
      </c>
      <c r="AA118" s="100">
        <f>Z118</f>
        <v>89.358829</v>
      </c>
      <c r="AB118" s="9"/>
      <c r="AP118" s="9"/>
      <c r="AQ118" s="9"/>
      <c r="AR118" s="51">
        <f>T118+I118+AQ118+AF118</f>
        <v>176.4004629609928</v>
      </c>
      <c r="AS118" s="51">
        <f>U118+J118+AG118</f>
        <v>176.92319518074845</v>
      </c>
      <c r="AT118" s="9">
        <f>X118+M118+AJ118</f>
        <v>170.43147158792237</v>
      </c>
      <c r="AU118" s="100">
        <f t="shared" ref="AU118:AV120" si="32">O118+Z118+AL118</f>
        <v>176.92319518074845</v>
      </c>
      <c r="AV118" s="100">
        <f t="shared" si="32"/>
        <v>176.92319518074845</v>
      </c>
    </row>
    <row r="119" spans="1:58" x14ac:dyDescent="0.25">
      <c r="A119" t="s">
        <v>6</v>
      </c>
      <c r="F119" s="9"/>
      <c r="G119" s="159">
        <f>G121-G118</f>
        <v>32.551037801704197</v>
      </c>
      <c r="H119" s="160">
        <f>H121-H118</f>
        <v>30.104133346229176</v>
      </c>
      <c r="I119" s="160">
        <f>I121-I118</f>
        <v>23.882112039007225</v>
      </c>
      <c r="J119" s="160">
        <f>J121-J118</f>
        <v>14.673633819251535</v>
      </c>
      <c r="K119" s="75"/>
      <c r="L119" s="75"/>
      <c r="M119" s="181">
        <f>J119/J$121*M$121</f>
        <v>14.245357412077622</v>
      </c>
      <c r="N119" s="111"/>
      <c r="O119" s="50">
        <f>J119</f>
        <v>14.673633819251535</v>
      </c>
      <c r="P119" s="50">
        <f>O119</f>
        <v>14.673633819251535</v>
      </c>
      <c r="Q119" s="9"/>
      <c r="R119" s="159">
        <f>R121-R118</f>
        <v>0</v>
      </c>
      <c r="S119" s="160">
        <f>S121-S118</f>
        <v>0</v>
      </c>
      <c r="T119" s="160">
        <f>T121-T118</f>
        <v>0</v>
      </c>
      <c r="U119" s="160">
        <f>U121-U118</f>
        <v>0</v>
      </c>
      <c r="V119" s="9"/>
      <c r="W119" s="9"/>
      <c r="X119" s="9">
        <f>U119/U$121*X$121</f>
        <v>0</v>
      </c>
      <c r="Y119" s="95"/>
      <c r="Z119" s="9">
        <f>U119</f>
        <v>0</v>
      </c>
      <c r="AA119" s="9">
        <f>Z119</f>
        <v>0</v>
      </c>
      <c r="AB119" s="9"/>
      <c r="AP119" s="9"/>
      <c r="AQ119" s="9"/>
      <c r="AR119" s="51">
        <f>T119+I119+AQ119+AF119</f>
        <v>23.882112039007225</v>
      </c>
      <c r="AS119" s="51">
        <f>U119+J119+AG119</f>
        <v>14.673633819251535</v>
      </c>
      <c r="AT119" s="9">
        <f>X119+M119+AJ119</f>
        <v>14.245357412077622</v>
      </c>
      <c r="AU119" s="100">
        <f t="shared" si="32"/>
        <v>14.673633819251535</v>
      </c>
      <c r="AV119" s="100">
        <f t="shared" si="32"/>
        <v>14.673633819251535</v>
      </c>
    </row>
    <row r="120" spans="1:58" ht="15" x14ac:dyDescent="0.4">
      <c r="A120" s="30" t="s">
        <v>13</v>
      </c>
      <c r="F120" s="9"/>
      <c r="G120" s="76">
        <v>0</v>
      </c>
      <c r="H120" s="76">
        <v>0</v>
      </c>
      <c r="I120" s="76">
        <v>0</v>
      </c>
      <c r="J120" s="76">
        <v>0</v>
      </c>
      <c r="K120" s="76">
        <v>0</v>
      </c>
      <c r="L120" s="76">
        <v>0</v>
      </c>
      <c r="M120" s="182">
        <f>J120/J$121*M$121</f>
        <v>0</v>
      </c>
      <c r="N120" s="111"/>
      <c r="O120" s="77">
        <f>J120</f>
        <v>0</v>
      </c>
      <c r="P120" s="77">
        <f>O120</f>
        <v>0</v>
      </c>
      <c r="Q120" s="9"/>
      <c r="R120" s="50"/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f>U120/U$121*X$121</f>
        <v>0</v>
      </c>
      <c r="Y120" s="96"/>
      <c r="Z120" s="34">
        <f>U120</f>
        <v>0</v>
      </c>
      <c r="AA120" s="34">
        <f>Z120</f>
        <v>0</v>
      </c>
      <c r="AB120" s="9"/>
      <c r="AP120" s="9"/>
      <c r="AQ120" s="9"/>
      <c r="AR120" s="86">
        <f>T120+I120+AQ120+AF120</f>
        <v>0</v>
      </c>
      <c r="AS120" s="86">
        <f>U120+J120+AG120</f>
        <v>0</v>
      </c>
      <c r="AT120" s="34">
        <f>X120+M120+AJ120</f>
        <v>0</v>
      </c>
      <c r="AU120" s="101">
        <f t="shared" si="32"/>
        <v>0</v>
      </c>
      <c r="AV120" s="101">
        <f t="shared" si="32"/>
        <v>0</v>
      </c>
    </row>
    <row r="121" spans="1:58" x14ac:dyDescent="0.25">
      <c r="A121" s="30"/>
      <c r="F121" s="9"/>
      <c r="G121" s="161">
        <v>142.96600000000001</v>
      </c>
      <c r="H121" s="161">
        <v>122.55</v>
      </c>
      <c r="I121" s="161">
        <v>115.828</v>
      </c>
      <c r="J121" s="161">
        <v>102.238</v>
      </c>
      <c r="K121" s="75">
        <v>48.978000000000002</v>
      </c>
      <c r="L121" s="75">
        <v>51.962000000000003</v>
      </c>
      <c r="M121" s="51">
        <f>J121+K121-L121</f>
        <v>99.254000000000005</v>
      </c>
      <c r="N121" s="111"/>
      <c r="O121" s="51">
        <f>SUM(O118:O120)</f>
        <v>102.238</v>
      </c>
      <c r="P121" s="51">
        <f>SUM(P118:P120)</f>
        <v>102.238</v>
      </c>
      <c r="Q121" s="9"/>
      <c r="R121" s="162">
        <v>82.187146999999996</v>
      </c>
      <c r="S121" s="162">
        <v>79.186999</v>
      </c>
      <c r="T121" s="162">
        <v>84.454575000000006</v>
      </c>
      <c r="U121" s="162">
        <v>89.358829</v>
      </c>
      <c r="V121" s="50">
        <v>41.86</v>
      </c>
      <c r="W121" s="50">
        <v>45.795999999999999</v>
      </c>
      <c r="X121" s="78">
        <f>U121+V121-W121</f>
        <v>85.422829000000007</v>
      </c>
      <c r="Y121" s="149"/>
      <c r="Z121" s="78">
        <f>SUM(Z118:Z120)</f>
        <v>89.358829</v>
      </c>
      <c r="AA121" s="78">
        <f>SUM(AA118:AA120)</f>
        <v>89.358829</v>
      </c>
      <c r="AB121" s="9"/>
      <c r="AP121" s="9"/>
      <c r="AQ121" s="9"/>
      <c r="AR121" s="16">
        <f>SUM(AR118:AR120)</f>
        <v>200.28257500000001</v>
      </c>
      <c r="AS121" s="16">
        <f>SUM(AS118:AS120)</f>
        <v>191.59682899999999</v>
      </c>
      <c r="AT121" s="16">
        <f>SUM(AT118:AT120)</f>
        <v>184.676829</v>
      </c>
      <c r="AU121" s="16">
        <f>SUM(AU118:AU120)</f>
        <v>191.59682899999999</v>
      </c>
      <c r="AV121" s="16">
        <f>SUM(AV118:AV120)</f>
        <v>191.59682899999999</v>
      </c>
    </row>
    <row r="122" spans="1:58" x14ac:dyDescent="0.25">
      <c r="A122" s="1"/>
      <c r="F122" s="9"/>
      <c r="G122" s="49"/>
      <c r="H122" s="79"/>
      <c r="I122" s="79"/>
      <c r="J122" s="79"/>
      <c r="K122" s="79"/>
      <c r="L122" s="79"/>
      <c r="M122" s="49"/>
      <c r="N122" s="111"/>
      <c r="O122" s="49"/>
      <c r="P122" s="9"/>
      <c r="Q122" s="9"/>
      <c r="R122" s="49"/>
      <c r="S122" s="49"/>
      <c r="T122" s="49"/>
      <c r="U122" s="49"/>
      <c r="V122" s="49"/>
      <c r="W122" s="49"/>
      <c r="X122" s="49"/>
      <c r="Y122" s="148"/>
      <c r="Z122" s="49"/>
      <c r="AA122" s="49"/>
      <c r="AB122" s="9"/>
      <c r="AP122" s="9"/>
      <c r="AQ122" s="9"/>
      <c r="AR122" s="21"/>
      <c r="AS122" s="21"/>
      <c r="AT122" s="9"/>
      <c r="AU122" s="9"/>
      <c r="AV122" s="9"/>
    </row>
    <row r="123" spans="1:58" x14ac:dyDescent="0.25">
      <c r="A123" s="1" t="s">
        <v>103</v>
      </c>
      <c r="F123" s="9"/>
      <c r="G123" s="49"/>
      <c r="H123" s="79"/>
      <c r="I123" s="79"/>
      <c r="J123" s="79"/>
      <c r="K123" s="79"/>
      <c r="L123" s="79"/>
      <c r="M123" s="49"/>
      <c r="N123" s="111"/>
      <c r="O123" s="49"/>
      <c r="P123" s="9"/>
      <c r="Q123" s="9"/>
      <c r="R123" s="49"/>
      <c r="S123" s="49"/>
      <c r="T123" s="49"/>
      <c r="U123" s="49"/>
      <c r="V123" s="49"/>
      <c r="W123" s="49"/>
      <c r="X123" s="49"/>
      <c r="Y123" s="148"/>
      <c r="Z123" s="49"/>
      <c r="AA123" s="49"/>
      <c r="AB123" s="9"/>
      <c r="AP123" s="9"/>
      <c r="AQ123" s="9"/>
      <c r="AR123" s="16"/>
      <c r="AS123" s="21"/>
      <c r="AT123" s="9"/>
      <c r="AU123" s="9"/>
      <c r="AV123" s="9"/>
    </row>
    <row r="124" spans="1:58" x14ac:dyDescent="0.25">
      <c r="A124" t="s">
        <v>21</v>
      </c>
      <c r="F124" s="9"/>
      <c r="G124" s="50"/>
      <c r="H124" s="75"/>
      <c r="I124" s="75"/>
      <c r="J124" s="75"/>
      <c r="K124" s="75"/>
      <c r="L124" s="75"/>
      <c r="M124" s="159">
        <v>0</v>
      </c>
      <c r="N124" s="111">
        <v>0.02</v>
      </c>
      <c r="O124" s="127">
        <f>M124*(1+$N$124)</f>
        <v>0</v>
      </c>
      <c r="P124" s="127">
        <f>O124*(1+$N$124)</f>
        <v>0</v>
      </c>
      <c r="Q124" s="9"/>
      <c r="R124" s="50">
        <v>0.17200000000000004</v>
      </c>
      <c r="S124" s="50">
        <v>3.101</v>
      </c>
      <c r="T124" s="50">
        <v>4.6239999999999997</v>
      </c>
      <c r="U124" s="50">
        <v>3.3</v>
      </c>
      <c r="V124" s="50"/>
      <c r="W124" s="50"/>
      <c r="X124" s="78">
        <f>U124+2.168-1.714</f>
        <v>3.754</v>
      </c>
      <c r="Y124" s="95">
        <v>0.02</v>
      </c>
      <c r="Z124" s="100">
        <f>X124*(1+$N$124)</f>
        <v>3.8290800000000003</v>
      </c>
      <c r="AA124" s="100">
        <f>Z124*(1+$N$124)</f>
        <v>3.9056616000000002</v>
      </c>
      <c r="AB124" s="9"/>
      <c r="AP124" s="9"/>
      <c r="AQ124" s="9"/>
      <c r="AR124" s="51">
        <f>T124+I124+AQ124+AF124</f>
        <v>4.6239999999999997</v>
      </c>
      <c r="AS124" s="51">
        <f>U124+J124+AG124</f>
        <v>3.3</v>
      </c>
      <c r="AT124" s="9">
        <f>X124+M124+AJ124</f>
        <v>3.754</v>
      </c>
      <c r="AU124" s="100">
        <f t="shared" ref="AU124:AV126" si="33">O124+Z124+AL124</f>
        <v>3.8290800000000003</v>
      </c>
      <c r="AV124" s="100">
        <f t="shared" si="33"/>
        <v>3.9056616000000002</v>
      </c>
    </row>
    <row r="125" spans="1:58" x14ac:dyDescent="0.25">
      <c r="A125" t="s">
        <v>6</v>
      </c>
      <c r="F125" s="9"/>
      <c r="G125" s="80"/>
      <c r="H125" s="75"/>
      <c r="I125" s="75"/>
      <c r="J125" s="75"/>
      <c r="K125" s="75"/>
      <c r="L125" s="75"/>
      <c r="M125" s="75">
        <v>0</v>
      </c>
      <c r="N125" s="111"/>
      <c r="O125" s="127">
        <f>J125*(1+$N$124)</f>
        <v>0</v>
      </c>
      <c r="P125" s="127">
        <f>O125*(1+$N$124)</f>
        <v>0</v>
      </c>
      <c r="Q125" s="9"/>
      <c r="R125" s="49"/>
      <c r="S125" s="81">
        <f>D125</f>
        <v>0</v>
      </c>
      <c r="T125" s="81">
        <f>E125</f>
        <v>0</v>
      </c>
      <c r="U125" s="81">
        <f>F125</f>
        <v>0</v>
      </c>
      <c r="V125" s="81"/>
      <c r="W125" s="81"/>
      <c r="X125" s="81">
        <f>G125</f>
        <v>0</v>
      </c>
      <c r="Y125" s="150"/>
      <c r="Z125" s="51">
        <f>U125*(1+$N$124)</f>
        <v>0</v>
      </c>
      <c r="AA125" s="51">
        <f>Z125*(1+$N$124)</f>
        <v>0</v>
      </c>
      <c r="AB125" s="9"/>
      <c r="AP125" s="9"/>
      <c r="AQ125" s="9"/>
      <c r="AR125" s="79">
        <f>T125+I125+AQ125+AF125</f>
        <v>0</v>
      </c>
      <c r="AS125" s="51">
        <f>U125+J125+AG125</f>
        <v>0</v>
      </c>
      <c r="AT125" s="79">
        <f>X125+M125+AJ125</f>
        <v>0</v>
      </c>
      <c r="AU125" s="100">
        <f t="shared" si="33"/>
        <v>0</v>
      </c>
      <c r="AV125" s="100">
        <f t="shared" si="33"/>
        <v>0</v>
      </c>
    </row>
    <row r="126" spans="1:58" ht="16.8" x14ac:dyDescent="0.55000000000000004">
      <c r="A126" t="s">
        <v>13</v>
      </c>
      <c r="F126" s="9"/>
      <c r="G126" s="170">
        <v>14.548000000000002</v>
      </c>
      <c r="H126" s="76">
        <v>-11.699</v>
      </c>
      <c r="I126" s="76">
        <v>-6.1559999999999997</v>
      </c>
      <c r="J126" s="76">
        <v>-1.2909999999999999</v>
      </c>
      <c r="K126" s="76">
        <v>0</v>
      </c>
      <c r="L126" s="76">
        <v>0</v>
      </c>
      <c r="M126" s="166">
        <v>0</v>
      </c>
      <c r="N126" s="111"/>
      <c r="O126" s="101">
        <f>J126*(1+$N$124)</f>
        <v>-1.3168199999999999</v>
      </c>
      <c r="P126" s="101">
        <f>O126*(1+$N$124)</f>
        <v>-1.3431563999999998</v>
      </c>
      <c r="Q126" s="9"/>
      <c r="R126" s="170">
        <f>R127-R124-R125</f>
        <v>0</v>
      </c>
      <c r="S126" s="169">
        <f>S127-S124-S125</f>
        <v>0</v>
      </c>
      <c r="T126" s="169">
        <f>T127-T124-T125</f>
        <v>0</v>
      </c>
      <c r="U126" s="169">
        <f>U127-U124-U125</f>
        <v>0</v>
      </c>
      <c r="V126" s="92"/>
      <c r="W126" s="92"/>
      <c r="X126" s="92">
        <f>G126</f>
        <v>14.548000000000002</v>
      </c>
      <c r="Y126" s="151"/>
      <c r="Z126" s="86">
        <f>U126*(1+$N$124)</f>
        <v>0</v>
      </c>
      <c r="AA126" s="86">
        <f>Z126*(1+$N$124)</f>
        <v>0</v>
      </c>
      <c r="AB126" s="9"/>
      <c r="AP126" s="9"/>
      <c r="AQ126" s="9"/>
      <c r="AR126" s="86">
        <f>T126+I126+AQ126+AF126</f>
        <v>-6.1559999999999997</v>
      </c>
      <c r="AS126" s="86">
        <f>U126+J126+AG126</f>
        <v>-1.2909999999999999</v>
      </c>
      <c r="AT126" s="34">
        <f>X126+M126+AJ126</f>
        <v>14.548000000000002</v>
      </c>
      <c r="AU126" s="101">
        <f t="shared" si="33"/>
        <v>-1.3168199999999999</v>
      </c>
      <c r="AV126" s="101">
        <f t="shared" si="33"/>
        <v>-1.3431563999999998</v>
      </c>
    </row>
    <row r="127" spans="1:58" x14ac:dyDescent="0.25">
      <c r="A127" s="1"/>
      <c r="F127" s="9"/>
      <c r="G127" s="78">
        <f>SUM(G124:G126)</f>
        <v>14.548000000000002</v>
      </c>
      <c r="H127" s="78">
        <f>SUM(H124:H126)</f>
        <v>-11.699</v>
      </c>
      <c r="I127" s="78">
        <f>SUM(I124:I126)</f>
        <v>-6.1559999999999997</v>
      </c>
      <c r="J127" s="78">
        <f>SUM(J124:J126)</f>
        <v>-1.2909999999999999</v>
      </c>
      <c r="K127" s="75">
        <v>-0.624</v>
      </c>
      <c r="L127" s="75">
        <v>-2.859</v>
      </c>
      <c r="M127" s="51">
        <f>SUM(M124:M126)</f>
        <v>0</v>
      </c>
      <c r="N127" s="111"/>
      <c r="O127" s="51">
        <f>SUM(O124:O126)</f>
        <v>-1.3168199999999999</v>
      </c>
      <c r="P127" s="51">
        <f>SUM(P124:P126)</f>
        <v>-1.3431563999999998</v>
      </c>
      <c r="Q127" s="9"/>
      <c r="R127" s="78">
        <f>1.113-0.941</f>
        <v>0.17200000000000004</v>
      </c>
      <c r="S127" s="78">
        <v>3.101</v>
      </c>
      <c r="T127" s="78">
        <v>4.6239999999999997</v>
      </c>
      <c r="U127" s="78">
        <v>3.3</v>
      </c>
      <c r="V127" s="50"/>
      <c r="W127" s="50"/>
      <c r="X127" s="50">
        <f>SUM(X124:X126)</f>
        <v>18.302000000000003</v>
      </c>
      <c r="Y127" s="149"/>
      <c r="Z127" s="78">
        <f>SUM(Z124:Z126)</f>
        <v>3.8290800000000003</v>
      </c>
      <c r="AA127" s="78">
        <f>SUM(AA124:AA126)</f>
        <v>3.9056616000000002</v>
      </c>
      <c r="AB127" s="9"/>
      <c r="AP127" s="9"/>
      <c r="AQ127" s="9"/>
      <c r="AR127" s="51">
        <f>SUM(AR124:AR126)</f>
        <v>-1.532</v>
      </c>
      <c r="AS127" s="51">
        <f>SUM(AS124:AS126)</f>
        <v>2.0089999999999999</v>
      </c>
      <c r="AT127" s="51">
        <f>SUM(AT124:AT126)</f>
        <v>18.302000000000003</v>
      </c>
      <c r="AU127" s="51">
        <f>SUM(AU124:AU126)</f>
        <v>2.5122600000000004</v>
      </c>
      <c r="AV127" s="51">
        <f>SUM(AV124:AV126)</f>
        <v>2.5625052000000004</v>
      </c>
    </row>
    <row r="128" spans="1:58" x14ac:dyDescent="0.25">
      <c r="A128" s="1"/>
      <c r="F128" s="9"/>
      <c r="G128" s="49"/>
      <c r="H128" s="75"/>
      <c r="I128" s="75"/>
      <c r="J128" s="75"/>
      <c r="K128" s="75"/>
      <c r="L128" s="75"/>
      <c r="M128" s="51"/>
      <c r="N128" s="111"/>
      <c r="O128" s="51"/>
      <c r="P128" s="51"/>
      <c r="Q128" s="9"/>
      <c r="R128" s="49"/>
      <c r="S128" s="50"/>
      <c r="T128" s="50"/>
      <c r="U128" s="50"/>
      <c r="V128" s="50"/>
      <c r="W128" s="50"/>
      <c r="X128" s="50"/>
      <c r="Y128" s="149"/>
      <c r="Z128" s="78"/>
      <c r="AA128" s="78"/>
      <c r="AB128" s="9"/>
      <c r="AP128" s="9"/>
      <c r="AQ128" s="9"/>
      <c r="AR128" s="75"/>
      <c r="AS128" s="75"/>
      <c r="AT128" s="16"/>
      <c r="AU128" s="9"/>
      <c r="AV128" s="9"/>
    </row>
    <row r="129" spans="1:48" x14ac:dyDescent="0.25">
      <c r="A129" s="1" t="s">
        <v>145</v>
      </c>
      <c r="F129" s="9"/>
      <c r="G129" s="49"/>
      <c r="H129" s="75"/>
      <c r="I129" s="75"/>
      <c r="J129" s="75"/>
      <c r="K129" s="75"/>
      <c r="L129" s="75"/>
      <c r="M129" s="51"/>
      <c r="N129" s="111"/>
      <c r="O129" s="51"/>
      <c r="P129" s="51"/>
      <c r="Q129" s="9"/>
      <c r="R129" s="49"/>
      <c r="S129" s="50"/>
      <c r="T129" s="50"/>
      <c r="U129" s="50"/>
      <c r="V129" s="50"/>
      <c r="W129" s="50"/>
      <c r="X129" s="50"/>
      <c r="Y129" s="149"/>
      <c r="Z129" s="78"/>
      <c r="AA129" s="78"/>
      <c r="AB129" s="9"/>
      <c r="AP129" s="9"/>
      <c r="AQ129" s="9"/>
      <c r="AR129" s="75"/>
      <c r="AS129" s="75"/>
      <c r="AT129" s="16"/>
      <c r="AU129" s="9"/>
      <c r="AV129" s="9"/>
    </row>
    <row r="130" spans="1:48" x14ac:dyDescent="0.25">
      <c r="A130" t="s">
        <v>21</v>
      </c>
      <c r="F130" s="9"/>
      <c r="G130" s="51">
        <f t="shared" ref="G130:J132" si="34">G105-G118+G124</f>
        <v>292.85537890314765</v>
      </c>
      <c r="H130" s="51">
        <f t="shared" si="34"/>
        <v>303.57855448440012</v>
      </c>
      <c r="I130" s="51">
        <f t="shared" si="34"/>
        <v>296.22210637745405</v>
      </c>
      <c r="J130" s="51">
        <f t="shared" si="34"/>
        <v>274.2218693271044</v>
      </c>
      <c r="K130" s="51"/>
      <c r="L130" s="51"/>
      <c r="M130" s="51">
        <f>M105-M118+M124</f>
        <v>390.47327196075571</v>
      </c>
      <c r="N130" s="111"/>
      <c r="O130" s="51">
        <f t="shared" ref="O130:P132" si="35">O105-O118+O124</f>
        <v>375.93531748631347</v>
      </c>
      <c r="P130" s="51">
        <f t="shared" si="35"/>
        <v>426.06545008334831</v>
      </c>
      <c r="Q130" s="9"/>
      <c r="R130" s="78">
        <f t="shared" ref="R130:U132" si="36">R105-R118+R124</f>
        <v>234.72662800000003</v>
      </c>
      <c r="S130" s="78">
        <f t="shared" si="36"/>
        <v>205.78838399999989</v>
      </c>
      <c r="T130" s="78">
        <f t="shared" si="36"/>
        <v>202.03204500000004</v>
      </c>
      <c r="U130" s="78">
        <f t="shared" si="36"/>
        <v>67.992284999999953</v>
      </c>
      <c r="V130" s="78"/>
      <c r="W130" s="78"/>
      <c r="X130" s="78">
        <f>X105-X118+X124</f>
        <v>62.637816116795939</v>
      </c>
      <c r="Y130" s="149"/>
      <c r="Z130" s="78">
        <f t="shared" ref="Z130:AA132" si="37">Z105-Z118+Z124</f>
        <v>153.88075906393058</v>
      </c>
      <c r="AA130" s="78">
        <f t="shared" si="37"/>
        <v>224.16483789361163</v>
      </c>
      <c r="AB130" s="9"/>
      <c r="AP130" s="9"/>
      <c r="AQ130" s="9"/>
      <c r="AR130" s="51">
        <f>T130+I130+AQ130+AF130</f>
        <v>498.25415137745409</v>
      </c>
      <c r="AS130" s="51">
        <f>U130+J130+AG130</f>
        <v>342.21415432710432</v>
      </c>
      <c r="AT130" s="9">
        <f>X130+M130+AJ130</f>
        <v>453.11108807755164</v>
      </c>
      <c r="AU130" s="100">
        <f t="shared" ref="AU130:AV132" si="38">O130+Z130+AL130</f>
        <v>529.81607655024402</v>
      </c>
      <c r="AV130" s="100">
        <f t="shared" si="38"/>
        <v>650.23028797695997</v>
      </c>
    </row>
    <row r="131" spans="1:48" x14ac:dyDescent="0.25">
      <c r="A131" t="s">
        <v>6</v>
      </c>
      <c r="F131" s="9"/>
      <c r="G131" s="51">
        <f t="shared" si="34"/>
        <v>42.10885709685239</v>
      </c>
      <c r="H131" s="51">
        <f t="shared" si="34"/>
        <v>54.288138515600011</v>
      </c>
      <c r="I131" s="51">
        <f t="shared" si="34"/>
        <v>67.418925622546041</v>
      </c>
      <c r="J131" s="51">
        <f t="shared" si="34"/>
        <v>49.997023672895679</v>
      </c>
      <c r="K131" s="51"/>
      <c r="L131" s="51"/>
      <c r="M131" s="51">
        <f>M106-M119+M125</f>
        <v>112.40647930536342</v>
      </c>
      <c r="N131" s="111"/>
      <c r="O131" s="51">
        <f t="shared" si="35"/>
        <v>59.52368810305272</v>
      </c>
      <c r="P131" s="51">
        <f t="shared" si="35"/>
        <v>69.182564044606679</v>
      </c>
      <c r="Q131" s="9"/>
      <c r="R131" s="78">
        <f t="shared" si="36"/>
        <v>0</v>
      </c>
      <c r="S131" s="51">
        <f t="shared" si="36"/>
        <v>0</v>
      </c>
      <c r="T131" s="51">
        <f t="shared" si="36"/>
        <v>0</v>
      </c>
      <c r="U131" s="51">
        <f t="shared" si="36"/>
        <v>0</v>
      </c>
      <c r="V131" s="79"/>
      <c r="W131" s="79"/>
      <c r="X131" s="79">
        <v>0</v>
      </c>
      <c r="Y131" s="149"/>
      <c r="Z131" s="79">
        <f t="shared" si="37"/>
        <v>0</v>
      </c>
      <c r="AA131" s="79">
        <f t="shared" si="37"/>
        <v>0</v>
      </c>
      <c r="AB131" s="9"/>
      <c r="AP131" s="9"/>
      <c r="AQ131" s="9"/>
      <c r="AR131" s="51">
        <f>T131+I131+AQ131+AF131</f>
        <v>67.418925622546041</v>
      </c>
      <c r="AS131" s="51">
        <f>U131+J131+AG131</f>
        <v>49.997023672895679</v>
      </c>
      <c r="AT131" s="9">
        <f>X131+M131+AJ131</f>
        <v>112.40647930536342</v>
      </c>
      <c r="AU131" s="100">
        <f t="shared" si="38"/>
        <v>59.52368810305272</v>
      </c>
      <c r="AV131" s="100">
        <f t="shared" si="38"/>
        <v>69.182564044606679</v>
      </c>
    </row>
    <row r="132" spans="1:48" ht="16.8" x14ac:dyDescent="0.55000000000000004">
      <c r="A132" s="30" t="s">
        <v>13</v>
      </c>
      <c r="F132" s="9"/>
      <c r="G132" s="86">
        <f t="shared" si="34"/>
        <v>-10.554002999999987</v>
      </c>
      <c r="H132" s="86">
        <f t="shared" si="34"/>
        <v>-40.589617000000004</v>
      </c>
      <c r="I132" s="86">
        <f t="shared" si="34"/>
        <v>-33.826082999999954</v>
      </c>
      <c r="J132" s="86">
        <f t="shared" si="34"/>
        <v>-25.340346999999994</v>
      </c>
      <c r="K132" s="86"/>
      <c r="L132" s="86"/>
      <c r="M132" s="86">
        <f>M107-M120+M126</f>
        <v>-25.739205266119047</v>
      </c>
      <c r="N132" s="111"/>
      <c r="O132" s="86">
        <f t="shared" si="35"/>
        <v>-25.248313519999996</v>
      </c>
      <c r="P132" s="86">
        <f t="shared" si="35"/>
        <v>-25.159153509599996</v>
      </c>
      <c r="Q132" s="9"/>
      <c r="R132" s="168">
        <f t="shared" si="36"/>
        <v>-4.8101699999999994</v>
      </c>
      <c r="S132" s="86">
        <f t="shared" si="36"/>
        <v>-3.0168870000000112</v>
      </c>
      <c r="T132" s="86">
        <f t="shared" si="36"/>
        <v>7.8282079999999894</v>
      </c>
      <c r="U132" s="86">
        <f t="shared" si="36"/>
        <v>7.0125380000000064</v>
      </c>
      <c r="V132" s="122"/>
      <c r="W132" s="122"/>
      <c r="X132" s="122">
        <v>0</v>
      </c>
      <c r="Y132" s="149"/>
      <c r="Z132" s="122">
        <f t="shared" si="37"/>
        <v>7.0125380000000064</v>
      </c>
      <c r="AA132" s="122">
        <f t="shared" si="37"/>
        <v>7.0125380000000064</v>
      </c>
      <c r="AB132" s="9"/>
      <c r="AP132" s="9"/>
      <c r="AQ132" s="9"/>
      <c r="AR132" s="86">
        <f>T132+I132+AQ132+AF132</f>
        <v>-25.997874999999965</v>
      </c>
      <c r="AS132" s="86">
        <f>U132+J132+AG132</f>
        <v>-18.327808999999988</v>
      </c>
      <c r="AT132" s="34">
        <f>X132+M132+AJ132</f>
        <v>-25.739205266119047</v>
      </c>
      <c r="AU132" s="101">
        <f t="shared" si="38"/>
        <v>-18.23577551999999</v>
      </c>
      <c r="AV132" s="101">
        <f t="shared" si="38"/>
        <v>-18.146615509599989</v>
      </c>
    </row>
    <row r="133" spans="1:48" x14ac:dyDescent="0.25">
      <c r="A133" s="1"/>
      <c r="F133" s="9"/>
      <c r="G133" s="51">
        <f>SUM(G130:G132)</f>
        <v>324.41023300000006</v>
      </c>
      <c r="H133" s="51">
        <f>SUM(H130:H132)</f>
        <v>317.27707600000008</v>
      </c>
      <c r="I133" s="51">
        <f>SUM(I130:I132)</f>
        <v>329.81494900000018</v>
      </c>
      <c r="J133" s="51">
        <f>SUM(J130:J132)</f>
        <v>298.87854600000009</v>
      </c>
      <c r="K133" s="51"/>
      <c r="L133" s="51"/>
      <c r="M133" s="51">
        <f>SUM(M130:M132)</f>
        <v>477.14054600000009</v>
      </c>
      <c r="N133" s="111"/>
      <c r="O133" s="51">
        <f>SUM(O130:O132)</f>
        <v>410.21069206936619</v>
      </c>
      <c r="P133" s="51">
        <f>SUM(P130:P132)</f>
        <v>470.088860618355</v>
      </c>
      <c r="Q133" s="9"/>
      <c r="R133" s="78">
        <f>SUM(R130:R132)</f>
        <v>229.91645800000003</v>
      </c>
      <c r="S133" s="78">
        <f>SUM(S130:S132)</f>
        <v>202.7714969999999</v>
      </c>
      <c r="T133" s="78">
        <f>SUM(T130:T132)</f>
        <v>209.86025300000003</v>
      </c>
      <c r="U133" s="78">
        <f>SUM(U130:U132)</f>
        <v>75.004822999999959</v>
      </c>
      <c r="V133" s="78"/>
      <c r="W133" s="78"/>
      <c r="X133" s="78">
        <f>SUM(X130:X132)</f>
        <v>62.637816116795939</v>
      </c>
      <c r="Y133" s="149"/>
      <c r="Z133" s="78">
        <f>SUM(Z130:Z132)</f>
        <v>160.89329706393059</v>
      </c>
      <c r="AA133" s="78">
        <f>SUM(AA130:AA132)</f>
        <v>231.17737589361164</v>
      </c>
      <c r="AB133" s="9"/>
      <c r="AP133" s="9"/>
      <c r="AQ133" s="9"/>
      <c r="AR133" s="16">
        <f>AR108-AR121+AR127</f>
        <v>539.67520200000001</v>
      </c>
      <c r="AS133" s="16">
        <f>AS108-AS121+AS127</f>
        <v>373.8833690000007</v>
      </c>
      <c r="AT133" s="16">
        <f>AT108-AT121+AT127</f>
        <v>561.50636900000097</v>
      </c>
      <c r="AU133" s="16">
        <f>AU108-AU121+AU127</f>
        <v>571.1039891332972</v>
      </c>
      <c r="AV133" s="16">
        <f>AV108-AV121+AV127</f>
        <v>701.26623651196712</v>
      </c>
    </row>
    <row r="134" spans="1:48" x14ac:dyDescent="0.25">
      <c r="A134" s="1"/>
      <c r="F134" s="9"/>
      <c r="G134" s="49"/>
      <c r="H134" s="75"/>
      <c r="I134" s="75"/>
      <c r="J134" s="75"/>
      <c r="K134" s="75"/>
      <c r="L134" s="75"/>
      <c r="M134" s="51"/>
      <c r="N134" s="111"/>
      <c r="O134" s="51"/>
      <c r="P134" s="51"/>
      <c r="Q134" s="9"/>
      <c r="R134" s="49"/>
      <c r="S134" s="50"/>
      <c r="T134" s="50"/>
      <c r="U134" s="50"/>
      <c r="V134" s="50"/>
      <c r="W134" s="50"/>
      <c r="X134" s="50"/>
      <c r="Y134" s="149"/>
      <c r="Z134" s="78"/>
      <c r="AA134" s="78"/>
      <c r="AB134" s="9"/>
      <c r="AP134" s="9"/>
      <c r="AQ134" s="9"/>
      <c r="AR134" s="75"/>
      <c r="AS134" s="75"/>
      <c r="AT134" s="16"/>
      <c r="AU134" s="9"/>
      <c r="AV134" s="9"/>
    </row>
    <row r="135" spans="1:48" x14ac:dyDescent="0.25">
      <c r="A135" s="1" t="s">
        <v>105</v>
      </c>
      <c r="F135" s="9"/>
      <c r="G135" s="9"/>
      <c r="H135" s="49"/>
      <c r="I135" s="49"/>
      <c r="J135" s="49"/>
      <c r="K135" s="49"/>
      <c r="L135" s="49"/>
      <c r="M135" s="49"/>
      <c r="N135" s="112"/>
      <c r="O135" s="49"/>
      <c r="P135" s="9"/>
      <c r="Q135" s="9"/>
      <c r="R135" s="49"/>
      <c r="S135" s="49"/>
      <c r="T135" s="49"/>
      <c r="U135" s="49"/>
      <c r="V135" s="49"/>
      <c r="W135" s="49"/>
      <c r="X135" s="49"/>
      <c r="Y135" s="148"/>
      <c r="Z135" s="50"/>
      <c r="AA135" s="50"/>
      <c r="AB135" s="9"/>
      <c r="AP135" s="9"/>
      <c r="AQ135" s="9"/>
      <c r="AR135" s="16"/>
      <c r="AS135" s="16"/>
      <c r="AT135" s="9"/>
      <c r="AU135" s="9"/>
      <c r="AV135" s="9"/>
    </row>
    <row r="136" spans="1:48" x14ac:dyDescent="0.25">
      <c r="A136" t="s">
        <v>21</v>
      </c>
      <c r="F136" s="9"/>
      <c r="G136" s="50">
        <v>120.17117500000001</v>
      </c>
      <c r="H136" s="14">
        <v>125.01680099999999</v>
      </c>
      <c r="I136" s="14">
        <v>145.97148400000003</v>
      </c>
      <c r="J136" s="14">
        <v>119.88301600000001</v>
      </c>
      <c r="K136" s="14"/>
      <c r="L136" s="14"/>
      <c r="M136" s="177">
        <f>J136/J$139*M$139</f>
        <v>146.38915625616809</v>
      </c>
      <c r="N136" s="146">
        <f>J136/J130</f>
        <v>0.43717525627760223</v>
      </c>
      <c r="O136" s="16">
        <f>O130*N136</f>
        <v>164.34961876588085</v>
      </c>
      <c r="P136" s="16">
        <f>P130*N136</f>
        <v>186.26527233121973</v>
      </c>
      <c r="Q136" s="9"/>
      <c r="R136" s="14">
        <v>84.102000000000004</v>
      </c>
      <c r="S136" s="14">
        <v>77.191000000000003</v>
      </c>
      <c r="T136" s="14">
        <v>77.38</v>
      </c>
      <c r="U136" s="14">
        <v>23.146999999999998</v>
      </c>
      <c r="V136" s="14"/>
      <c r="W136" s="14"/>
      <c r="X136" s="16">
        <f>U136+17.144-14.968</f>
        <v>25.322999999999997</v>
      </c>
      <c r="Y136" s="95">
        <f>U136/U130</f>
        <v>0.34043568325435769</v>
      </c>
      <c r="Z136" s="16">
        <f>Z130*Y136</f>
        <v>52.386501351628404</v>
      </c>
      <c r="AA136" s="16">
        <f>AA130*Y136</f>
        <v>76.313709749914011</v>
      </c>
      <c r="AB136" s="9"/>
      <c r="AP136" s="9"/>
      <c r="AQ136" s="9"/>
      <c r="AR136" s="16">
        <f>T136+I136+AQ136+AF136</f>
        <v>223.35148400000003</v>
      </c>
      <c r="AS136" s="16">
        <f>U136+J136+AG136</f>
        <v>143.03001600000002</v>
      </c>
      <c r="AT136" s="9">
        <f>X136+M136+AJ136</f>
        <v>171.7121562561681</v>
      </c>
      <c r="AU136" s="100">
        <f t="shared" ref="AU136:AV138" si="39">O136+Z136+AL136</f>
        <v>216.73612011750924</v>
      </c>
      <c r="AV136" s="100">
        <f t="shared" si="39"/>
        <v>262.57898208113374</v>
      </c>
    </row>
    <row r="137" spans="1:48" x14ac:dyDescent="0.25">
      <c r="A137" t="s">
        <v>6</v>
      </c>
      <c r="F137" s="9"/>
      <c r="G137" s="50">
        <v>7.9571120000000004</v>
      </c>
      <c r="H137" s="14">
        <v>9.6748109999999983</v>
      </c>
      <c r="I137" s="14">
        <v>15.924778999999987</v>
      </c>
      <c r="J137" s="14">
        <v>13.562353999999999</v>
      </c>
      <c r="K137" s="14"/>
      <c r="L137" s="14"/>
      <c r="M137" s="183">
        <f>J137/J$139*M$139</f>
        <v>16.560991082402083</v>
      </c>
      <c r="N137" s="146">
        <f>J137/J131</f>
        <v>0.27126322736192005</v>
      </c>
      <c r="O137" s="16">
        <f>O131*N137</f>
        <v>16.146587739318406</v>
      </c>
      <c r="P137" s="16">
        <f>P131*N137</f>
        <v>18.766685599912737</v>
      </c>
      <c r="Q137" s="9"/>
      <c r="R137" s="14">
        <v>0</v>
      </c>
      <c r="S137" s="81">
        <f>D137</f>
        <v>0</v>
      </c>
      <c r="T137" s="81">
        <f>E137</f>
        <v>0</v>
      </c>
      <c r="U137" s="81">
        <f>F137</f>
        <v>0</v>
      </c>
      <c r="V137" s="81"/>
      <c r="W137" s="81"/>
      <c r="X137" s="81"/>
      <c r="Y137" s="150">
        <v>0</v>
      </c>
      <c r="Z137" s="81">
        <f>Z131*Y137</f>
        <v>0</v>
      </c>
      <c r="AA137" s="81">
        <f>AA131*Y137</f>
        <v>0</v>
      </c>
      <c r="AB137" s="9"/>
      <c r="AP137" s="9"/>
      <c r="AQ137" s="9"/>
      <c r="AR137" s="16">
        <f>T137+I137+AQ137+AF137</f>
        <v>15.924778999999987</v>
      </c>
      <c r="AS137" s="16">
        <f>U137+J137+AG137</f>
        <v>13.562353999999999</v>
      </c>
      <c r="AT137" s="9">
        <f>X137+M137+AJ137</f>
        <v>16.560991082402083</v>
      </c>
      <c r="AU137" s="100">
        <f t="shared" si="39"/>
        <v>16.146587739318406</v>
      </c>
      <c r="AV137" s="100">
        <f t="shared" si="39"/>
        <v>18.766685599912737</v>
      </c>
    </row>
    <row r="138" spans="1:48" ht="16.8" x14ac:dyDescent="0.55000000000000004">
      <c r="A138" s="30" t="s">
        <v>13</v>
      </c>
      <c r="F138" s="9"/>
      <c r="G138" s="168">
        <f>G139-G136-G137</f>
        <v>3.670713000000001</v>
      </c>
      <c r="H138" s="34">
        <f>H139-H136-H137</f>
        <v>1.244388000000022</v>
      </c>
      <c r="I138" s="34">
        <f>I139-I136-I137</f>
        <v>-23.135263000000023</v>
      </c>
      <c r="J138" s="34">
        <f>J139-J136-J137</f>
        <v>-5.1233700000000084</v>
      </c>
      <c r="K138" s="44">
        <v>0</v>
      </c>
      <c r="L138" s="44">
        <v>0</v>
      </c>
      <c r="M138" s="178">
        <f>J138/J$139*M$139</f>
        <v>-6.2561473385701705</v>
      </c>
      <c r="N138" s="146">
        <f>J138/J132</f>
        <v>0.20218231423587094</v>
      </c>
      <c r="O138" s="34">
        <f>O132*N138</f>
        <v>-5.1047624580264275</v>
      </c>
      <c r="P138" s="34">
        <f>P132*N138</f>
        <v>-5.0867358807864615</v>
      </c>
      <c r="Q138" s="9"/>
      <c r="R138" s="44">
        <f>R139-R136-R137</f>
        <v>0</v>
      </c>
      <c r="S138" s="169">
        <f>S139-S136-S137</f>
        <v>0</v>
      </c>
      <c r="T138" s="169">
        <f>T139-T136-T137</f>
        <v>0</v>
      </c>
      <c r="U138" s="169">
        <f>U139-U136-U137</f>
        <v>0</v>
      </c>
      <c r="V138" s="92">
        <v>0</v>
      </c>
      <c r="W138" s="92">
        <v>0</v>
      </c>
      <c r="X138" s="92">
        <f>G139</f>
        <v>131.79900000000001</v>
      </c>
      <c r="Y138" s="151">
        <f>U138/U132</f>
        <v>0</v>
      </c>
      <c r="Z138" s="92">
        <f>Z132*Y138</f>
        <v>0</v>
      </c>
      <c r="AA138" s="92">
        <f>AA132*Y138</f>
        <v>0</v>
      </c>
      <c r="AB138" s="9"/>
      <c r="AP138" s="9"/>
      <c r="AQ138" s="9"/>
      <c r="AR138" s="34">
        <f>T138+I138+AQ138+AF138</f>
        <v>-23.135263000000023</v>
      </c>
      <c r="AS138" s="34">
        <f>U138+J138+AG138</f>
        <v>-5.1233700000000084</v>
      </c>
      <c r="AT138" s="34">
        <f>X138+M138+AJ138</f>
        <v>125.54285266142983</v>
      </c>
      <c r="AU138" s="101">
        <f t="shared" si="39"/>
        <v>-5.1047624580264275</v>
      </c>
      <c r="AV138" s="101">
        <f t="shared" si="39"/>
        <v>-5.0867358807864615</v>
      </c>
    </row>
    <row r="139" spans="1:48" x14ac:dyDescent="0.25">
      <c r="A139" s="30"/>
      <c r="F139" s="9"/>
      <c r="G139" s="50">
        <v>131.79900000000001</v>
      </c>
      <c r="H139" s="14">
        <v>135.93600000000001</v>
      </c>
      <c r="I139" s="14">
        <v>138.761</v>
      </c>
      <c r="J139" s="14">
        <v>128.322</v>
      </c>
      <c r="K139" s="179">
        <v>74.119</v>
      </c>
      <c r="L139" s="179">
        <v>45.747</v>
      </c>
      <c r="M139" s="16">
        <f>J139+K139-L139</f>
        <v>156.69400000000002</v>
      </c>
      <c r="N139" s="109"/>
      <c r="O139" s="16">
        <f>(O108-O121+O127)*0.38</f>
        <v>155.88006298635915</v>
      </c>
      <c r="P139" s="9">
        <f>(P108-P121+P127)*0.38</f>
        <v>178.63376703497494</v>
      </c>
      <c r="Q139" s="9"/>
      <c r="R139" s="14">
        <v>84.102000000000004</v>
      </c>
      <c r="S139" s="14">
        <v>77.191000000000003</v>
      </c>
      <c r="T139" s="14">
        <v>77.38</v>
      </c>
      <c r="U139" s="14">
        <v>23.146999999999998</v>
      </c>
      <c r="V139" s="14">
        <v>40.183</v>
      </c>
      <c r="W139" s="14">
        <v>5.0430000000000001</v>
      </c>
      <c r="X139" s="16">
        <f>SUM(X136:X138)</f>
        <v>157.12200000000001</v>
      </c>
      <c r="Y139" s="95"/>
      <c r="Z139" s="16">
        <f>(Z108-Z121+Z127)*0.38</f>
        <v>61.139452884293625</v>
      </c>
      <c r="AA139" s="16">
        <f>(AA108-AA121+AA127)*0.38</f>
        <v>87.847402839572425</v>
      </c>
      <c r="AB139" s="9"/>
      <c r="AP139" s="9"/>
      <c r="AQ139" s="9"/>
      <c r="AR139" s="16">
        <f>SUM(AR136:AR138)</f>
        <v>216.14100000000002</v>
      </c>
      <c r="AS139" s="16">
        <f>SUM(AS136:AS138)</f>
        <v>151.46899999999999</v>
      </c>
      <c r="AT139" s="16">
        <f>SUM(AT136:AT138)</f>
        <v>313.81600000000003</v>
      </c>
      <c r="AU139" s="16">
        <f>SUM(AU136:AU138)</f>
        <v>227.77794539880125</v>
      </c>
      <c r="AV139" s="16">
        <f>SUM(AV136:AV138)</f>
        <v>276.25893180026003</v>
      </c>
    </row>
    <row r="140" spans="1:48" ht="15" x14ac:dyDescent="0.4">
      <c r="A140" s="30"/>
      <c r="F140" s="9"/>
      <c r="G140" s="44"/>
      <c r="H140" s="44"/>
      <c r="I140" s="44"/>
      <c r="J140" s="44"/>
      <c r="K140" s="44"/>
      <c r="L140" s="44"/>
      <c r="M140" s="49"/>
      <c r="N140" s="111"/>
      <c r="O140" s="106"/>
      <c r="P140" s="9"/>
      <c r="Q140" s="9"/>
      <c r="R140" s="44"/>
      <c r="S140" s="44"/>
      <c r="T140" s="44"/>
      <c r="U140" s="44"/>
      <c r="V140" s="44"/>
      <c r="W140" s="44"/>
      <c r="X140" s="49"/>
      <c r="Y140" s="148"/>
      <c r="Z140" s="49"/>
      <c r="AA140" s="49"/>
      <c r="AB140" s="9"/>
      <c r="AP140" s="9"/>
      <c r="AQ140" s="9"/>
      <c r="AR140" s="16"/>
      <c r="AS140" s="16"/>
      <c r="AT140" s="9"/>
      <c r="AU140" s="9"/>
      <c r="AV140" s="9"/>
    </row>
    <row r="141" spans="1:48" x14ac:dyDescent="0.25">
      <c r="A141" s="1" t="s">
        <v>106</v>
      </c>
      <c r="F141" s="9"/>
      <c r="G141" s="9"/>
      <c r="H141" s="9"/>
      <c r="I141" s="9"/>
      <c r="J141" s="9"/>
      <c r="K141" s="9"/>
      <c r="L141" s="9"/>
      <c r="M141" s="16"/>
      <c r="N141" s="110"/>
      <c r="O141" s="16"/>
      <c r="P141" s="16"/>
      <c r="Q141" s="9"/>
      <c r="R141" s="9"/>
      <c r="S141" s="9"/>
      <c r="T141" s="9"/>
      <c r="U141" s="9"/>
      <c r="V141" s="9"/>
      <c r="W141" s="9"/>
      <c r="X141" s="16"/>
      <c r="Y141" s="95"/>
      <c r="Z141" s="16"/>
      <c r="AA141" s="16"/>
      <c r="AB141" s="9"/>
      <c r="AP141" s="9"/>
      <c r="AQ141" s="9"/>
      <c r="AR141" s="16"/>
      <c r="AS141" s="21"/>
      <c r="AT141" s="9"/>
      <c r="AU141" s="9"/>
      <c r="AV141" s="9"/>
    </row>
    <row r="142" spans="1:48" x14ac:dyDescent="0.25">
      <c r="A142" t="s">
        <v>21</v>
      </c>
      <c r="F142" s="9"/>
      <c r="G142" s="16">
        <f t="shared" ref="G142:J144" si="40">G130-G136</f>
        <v>172.68420390314765</v>
      </c>
      <c r="H142" s="16">
        <f t="shared" si="40"/>
        <v>178.56175348440013</v>
      </c>
      <c r="I142" s="16">
        <f t="shared" si="40"/>
        <v>150.25062237745402</v>
      </c>
      <c r="J142" s="16">
        <f t="shared" si="40"/>
        <v>154.3388533271044</v>
      </c>
      <c r="K142" s="14"/>
      <c r="L142" s="14"/>
      <c r="M142" s="9">
        <f>M130-M136</f>
        <v>244.08411570458762</v>
      </c>
      <c r="N142" s="110"/>
      <c r="O142" s="9">
        <f t="shared" ref="O142:P144" si="41">O130-O136</f>
        <v>211.58569872043262</v>
      </c>
      <c r="P142" s="9">
        <f t="shared" si="41"/>
        <v>239.80017775212858</v>
      </c>
      <c r="Q142" s="9"/>
      <c r="R142" s="16">
        <f t="shared" ref="R142:U144" si="42">R130-R136</f>
        <v>150.62462800000003</v>
      </c>
      <c r="S142" s="16">
        <f t="shared" si="42"/>
        <v>128.59738399999989</v>
      </c>
      <c r="T142" s="16">
        <f t="shared" si="42"/>
        <v>124.65204500000004</v>
      </c>
      <c r="U142" s="16">
        <f t="shared" si="42"/>
        <v>44.845284999999954</v>
      </c>
      <c r="V142" s="16"/>
      <c r="W142" s="16"/>
      <c r="X142" s="16">
        <f>X130-X136</f>
        <v>37.314816116795939</v>
      </c>
      <c r="Y142" s="95"/>
      <c r="Z142" s="16">
        <f t="shared" ref="Z142:AA144" si="43">Z130-Z136</f>
        <v>101.49425771230219</v>
      </c>
      <c r="AA142" s="16">
        <f t="shared" si="43"/>
        <v>147.85112814369762</v>
      </c>
      <c r="AB142" s="9"/>
      <c r="AP142" s="9"/>
      <c r="AQ142" s="9"/>
      <c r="AR142" s="16">
        <f t="shared" ref="AR142:AV144" si="44">AR130-AR136</f>
        <v>274.90266737745407</v>
      </c>
      <c r="AS142" s="16">
        <f t="shared" si="44"/>
        <v>199.18413832710431</v>
      </c>
      <c r="AT142" s="16">
        <f t="shared" si="44"/>
        <v>281.39893182138354</v>
      </c>
      <c r="AU142" s="16">
        <f t="shared" si="44"/>
        <v>313.07995643273478</v>
      </c>
      <c r="AV142" s="16">
        <f t="shared" si="44"/>
        <v>387.65130589582623</v>
      </c>
    </row>
    <row r="143" spans="1:48" x14ac:dyDescent="0.25">
      <c r="A143" t="s">
        <v>6</v>
      </c>
      <c r="F143" s="9"/>
      <c r="G143" s="16">
        <f t="shared" si="40"/>
        <v>34.151745096852387</v>
      </c>
      <c r="H143" s="16">
        <f t="shared" si="40"/>
        <v>44.613327515600012</v>
      </c>
      <c r="I143" s="16">
        <f t="shared" si="40"/>
        <v>51.494146622546054</v>
      </c>
      <c r="J143" s="16">
        <f t="shared" si="40"/>
        <v>36.43466967289568</v>
      </c>
      <c r="K143" s="14"/>
      <c r="L143" s="14"/>
      <c r="M143" s="9">
        <f>M131-M137</f>
        <v>95.845488222961336</v>
      </c>
      <c r="N143" s="110"/>
      <c r="O143" s="9">
        <f t="shared" si="41"/>
        <v>43.377100363734314</v>
      </c>
      <c r="P143" s="9">
        <f t="shared" si="41"/>
        <v>50.415878444693945</v>
      </c>
      <c r="Q143" s="9"/>
      <c r="R143" s="14">
        <f t="shared" si="42"/>
        <v>0</v>
      </c>
      <c r="S143" s="16">
        <f t="shared" si="42"/>
        <v>0</v>
      </c>
      <c r="T143" s="16">
        <f t="shared" si="42"/>
        <v>0</v>
      </c>
      <c r="U143" s="16">
        <f t="shared" si="42"/>
        <v>0</v>
      </c>
      <c r="V143" s="16"/>
      <c r="W143" s="16"/>
      <c r="X143" s="16">
        <f>X131-X137</f>
        <v>0</v>
      </c>
      <c r="Y143" s="95"/>
      <c r="Z143" s="16">
        <f t="shared" si="43"/>
        <v>0</v>
      </c>
      <c r="AA143" s="16">
        <f t="shared" si="43"/>
        <v>0</v>
      </c>
      <c r="AB143" s="9"/>
      <c r="AP143" s="9"/>
      <c r="AQ143" s="9"/>
      <c r="AR143" s="16">
        <f t="shared" si="44"/>
        <v>51.494146622546054</v>
      </c>
      <c r="AS143" s="16">
        <f t="shared" si="44"/>
        <v>36.43466967289568</v>
      </c>
      <c r="AT143" s="16">
        <f t="shared" si="44"/>
        <v>95.845488222961336</v>
      </c>
      <c r="AU143" s="16">
        <f t="shared" si="44"/>
        <v>43.377100363734314</v>
      </c>
      <c r="AV143" s="16">
        <f t="shared" si="44"/>
        <v>50.415878444693945</v>
      </c>
    </row>
    <row r="144" spans="1:48" ht="16.8" x14ac:dyDescent="0.55000000000000004">
      <c r="A144" s="30" t="s">
        <v>13</v>
      </c>
      <c r="F144" s="9"/>
      <c r="G144" s="34">
        <f t="shared" si="40"/>
        <v>-14.224715999999988</v>
      </c>
      <c r="H144" s="34">
        <f t="shared" si="40"/>
        <v>-41.834005000000026</v>
      </c>
      <c r="I144" s="34">
        <f t="shared" si="40"/>
        <v>-10.690819999999931</v>
      </c>
      <c r="J144" s="34">
        <f t="shared" si="40"/>
        <v>-20.216976999999986</v>
      </c>
      <c r="K144" s="44"/>
      <c r="L144" s="44"/>
      <c r="M144" s="34">
        <f>M132-M138</f>
        <v>-19.483057927548877</v>
      </c>
      <c r="N144" s="113"/>
      <c r="O144" s="34">
        <f t="shared" si="41"/>
        <v>-20.143551061973568</v>
      </c>
      <c r="P144" s="9">
        <f t="shared" si="41"/>
        <v>-20.072417628813533</v>
      </c>
      <c r="Q144" s="9"/>
      <c r="R144" s="28">
        <f t="shared" si="42"/>
        <v>-4.8101699999999994</v>
      </c>
      <c r="S144" s="34">
        <f t="shared" si="42"/>
        <v>-3.0168870000000112</v>
      </c>
      <c r="T144" s="34">
        <f t="shared" si="42"/>
        <v>7.8282079999999894</v>
      </c>
      <c r="U144" s="34">
        <f t="shared" si="42"/>
        <v>7.0125380000000064</v>
      </c>
      <c r="V144" s="34"/>
      <c r="W144" s="34"/>
      <c r="X144" s="34">
        <f>X132-X138</f>
        <v>-131.79900000000001</v>
      </c>
      <c r="Y144" s="143"/>
      <c r="Z144" s="34">
        <f t="shared" si="43"/>
        <v>7.0125380000000064</v>
      </c>
      <c r="AA144" s="34">
        <f t="shared" si="43"/>
        <v>7.0125380000000064</v>
      </c>
      <c r="AB144" s="9"/>
      <c r="AP144" s="9"/>
      <c r="AQ144" s="9"/>
      <c r="AR144" s="34">
        <f t="shared" si="44"/>
        <v>-2.8626119999999418</v>
      </c>
      <c r="AS144" s="34">
        <f t="shared" si="44"/>
        <v>-13.204438999999979</v>
      </c>
      <c r="AT144" s="34">
        <f t="shared" si="44"/>
        <v>-151.28205792754889</v>
      </c>
      <c r="AU144" s="34">
        <f t="shared" si="44"/>
        <v>-13.131013061973562</v>
      </c>
      <c r="AV144" s="34">
        <f t="shared" si="44"/>
        <v>-13.059879628813528</v>
      </c>
    </row>
    <row r="145" spans="1:48" x14ac:dyDescent="0.25">
      <c r="F145" s="9"/>
      <c r="G145" s="27">
        <f>SUM(G142:G144)</f>
        <v>192.61123300000003</v>
      </c>
      <c r="H145" s="27">
        <f>SUM(H142:H144)</f>
        <v>181.34107600000013</v>
      </c>
      <c r="I145" s="27">
        <f>SUM(I142:I144)</f>
        <v>191.05394900000016</v>
      </c>
      <c r="J145" s="27">
        <f>SUM(J142:J144)</f>
        <v>170.55654600000008</v>
      </c>
      <c r="K145" s="27"/>
      <c r="L145" s="27"/>
      <c r="M145" s="27">
        <f>SUM(M142:M144)</f>
        <v>320.44654600000007</v>
      </c>
      <c r="N145" s="114"/>
      <c r="O145" s="27">
        <f>SUM(O142:O144)</f>
        <v>234.81924802219336</v>
      </c>
      <c r="P145" s="9">
        <f>SUM(P142:P144)</f>
        <v>270.14363856800901</v>
      </c>
      <c r="Q145" s="9"/>
      <c r="R145" s="74">
        <f>SUM(R142:R144)</f>
        <v>145.81445800000003</v>
      </c>
      <c r="S145" s="26">
        <f>SUM(S142:S144)</f>
        <v>125.58049699999988</v>
      </c>
      <c r="T145" s="26">
        <f>SUM(T142:T144)</f>
        <v>132.48025300000003</v>
      </c>
      <c r="U145" s="26">
        <f>SUM(U142:U144)</f>
        <v>51.857822999999961</v>
      </c>
      <c r="V145" s="26"/>
      <c r="W145" s="26"/>
      <c r="X145" s="26">
        <f>SUM(X142:X144)</f>
        <v>-94.484183883204068</v>
      </c>
      <c r="Y145" s="147"/>
      <c r="Z145" s="26">
        <f>SUM(Z142:Z144)</f>
        <v>108.50679571230219</v>
      </c>
      <c r="AA145" s="26">
        <f>SUM(AA142:AA144)</f>
        <v>154.86366614369763</v>
      </c>
      <c r="AB145" s="9"/>
      <c r="AP145" s="9"/>
      <c r="AQ145" s="9"/>
      <c r="AR145" s="26">
        <f>SUM(AR142:AR144)</f>
        <v>323.53420200000016</v>
      </c>
      <c r="AS145" s="26">
        <f>SUM(AS142:AS144)</f>
        <v>222.41436900000002</v>
      </c>
      <c r="AT145" s="26">
        <f>SUM(AT142:AT144)</f>
        <v>225.96236211679602</v>
      </c>
      <c r="AU145" s="26">
        <f>SUM(AU142:AU144)</f>
        <v>343.32604373449556</v>
      </c>
      <c r="AV145" s="26">
        <f>SUM(AV142:AV144)</f>
        <v>425.00730471170664</v>
      </c>
    </row>
    <row r="146" spans="1:48" x14ac:dyDescent="0.25">
      <c r="F146" s="9"/>
      <c r="G146" s="74"/>
      <c r="H146" s="74"/>
      <c r="I146" s="74"/>
      <c r="J146" s="74"/>
      <c r="K146" s="74"/>
      <c r="L146" s="74"/>
      <c r="M146" s="26"/>
      <c r="N146" s="114"/>
      <c r="O146" s="26"/>
      <c r="P146" s="9"/>
      <c r="Q146" s="9"/>
      <c r="R146" s="26"/>
      <c r="S146" s="26"/>
      <c r="T146" s="26"/>
      <c r="U146" s="26"/>
      <c r="V146" s="26"/>
      <c r="W146" s="26"/>
      <c r="X146" s="26"/>
      <c r="Y146" s="147"/>
      <c r="Z146" s="26"/>
      <c r="AA146" s="26"/>
      <c r="AB146" s="9"/>
      <c r="AP146" s="9"/>
      <c r="AQ146" s="9"/>
      <c r="AR146" s="14"/>
      <c r="AS146" s="75"/>
      <c r="AT146" s="16"/>
      <c r="AU146" s="14"/>
      <c r="AV146" s="14"/>
    </row>
    <row r="147" spans="1:48" x14ac:dyDescent="0.25">
      <c r="F147" s="9"/>
      <c r="G147" s="14"/>
      <c r="H147" s="14"/>
      <c r="I147" s="14"/>
      <c r="J147" s="14"/>
      <c r="K147" s="14"/>
      <c r="L147" s="14"/>
      <c r="M147" s="16"/>
      <c r="N147" s="110"/>
      <c r="O147" s="16"/>
      <c r="P147" s="9"/>
      <c r="Q147" s="9"/>
      <c r="R147" s="14"/>
      <c r="S147" s="14"/>
      <c r="T147" s="14"/>
      <c r="U147" s="14"/>
      <c r="V147" s="14"/>
      <c r="W147" s="14"/>
      <c r="X147" s="16"/>
      <c r="Y147" s="95"/>
      <c r="Z147" s="16"/>
      <c r="AA147" s="16"/>
      <c r="AB147" s="9"/>
      <c r="AP147" s="9"/>
      <c r="AQ147" s="9"/>
      <c r="AR147" s="16"/>
      <c r="AS147" s="21"/>
      <c r="AT147" s="9"/>
      <c r="AU147" s="9"/>
      <c r="AV147" s="9"/>
    </row>
    <row r="148" spans="1:48" x14ac:dyDescent="0.25">
      <c r="A148" s="1" t="s">
        <v>110</v>
      </c>
      <c r="F148" s="9"/>
      <c r="G148" s="14"/>
      <c r="H148" s="14"/>
      <c r="I148" s="14"/>
      <c r="J148" s="14"/>
      <c r="K148" s="14"/>
      <c r="L148" s="14"/>
      <c r="M148" s="16"/>
      <c r="N148" s="110"/>
      <c r="O148" s="16"/>
      <c r="P148" s="9"/>
      <c r="Q148" s="9"/>
      <c r="R148" s="14"/>
      <c r="S148" s="14"/>
      <c r="T148" s="14"/>
      <c r="U148" s="14"/>
      <c r="V148" s="14"/>
      <c r="W148" s="14"/>
      <c r="X148" s="16"/>
      <c r="Y148" s="95"/>
      <c r="Z148" s="16"/>
      <c r="AA148" s="16"/>
      <c r="AB148" s="9"/>
      <c r="AP148" s="9"/>
      <c r="AQ148" s="9"/>
      <c r="AR148" s="16"/>
      <c r="AS148" s="21"/>
      <c r="AT148" s="9"/>
      <c r="AU148" s="9"/>
      <c r="AV148" s="9"/>
    </row>
    <row r="149" spans="1:48" x14ac:dyDescent="0.25">
      <c r="A149" s="5" t="s">
        <v>108</v>
      </c>
      <c r="F149" s="9"/>
      <c r="G149" s="14">
        <v>0</v>
      </c>
      <c r="H149" s="14">
        <v>0</v>
      </c>
      <c r="I149" s="14">
        <v>0</v>
      </c>
      <c r="J149" s="14">
        <v>0</v>
      </c>
      <c r="K149" s="14"/>
      <c r="L149" s="14"/>
      <c r="M149" s="14">
        <v>0</v>
      </c>
      <c r="N149" s="110"/>
      <c r="O149" s="14">
        <v>0</v>
      </c>
      <c r="P149" s="14">
        <v>0</v>
      </c>
      <c r="Q149" s="9"/>
      <c r="R149" s="14">
        <v>0</v>
      </c>
      <c r="S149" s="14">
        <v>0</v>
      </c>
      <c r="T149" s="14">
        <v>0</v>
      </c>
      <c r="U149" s="14">
        <v>0</v>
      </c>
      <c r="V149" s="14"/>
      <c r="W149" s="14"/>
      <c r="X149" s="14">
        <v>0</v>
      </c>
      <c r="Y149" s="95"/>
      <c r="Z149" s="14">
        <v>0</v>
      </c>
      <c r="AA149" s="14">
        <v>0</v>
      </c>
      <c r="AB149" s="9"/>
      <c r="AP149" s="9"/>
      <c r="AQ149" s="9"/>
      <c r="AR149" s="14">
        <v>0</v>
      </c>
      <c r="AS149" s="14">
        <v>0</v>
      </c>
      <c r="AT149" s="9">
        <f>M149+X149</f>
        <v>0</v>
      </c>
      <c r="AU149" s="139">
        <f t="shared" ref="AU149:AV154" si="45">O149+Z149</f>
        <v>0</v>
      </c>
      <c r="AV149" s="100">
        <f t="shared" si="45"/>
        <v>0</v>
      </c>
    </row>
    <row r="150" spans="1:48" x14ac:dyDescent="0.25">
      <c r="A150" s="5" t="s">
        <v>109</v>
      </c>
      <c r="F150" s="9"/>
      <c r="G150" s="14">
        <v>0</v>
      </c>
      <c r="H150" s="14">
        <v>0</v>
      </c>
      <c r="I150" s="14">
        <v>0</v>
      </c>
      <c r="J150" s="14">
        <v>0</v>
      </c>
      <c r="K150" s="14"/>
      <c r="L150" s="14"/>
      <c r="M150" s="14">
        <v>0</v>
      </c>
      <c r="N150" s="110"/>
      <c r="O150" s="14">
        <v>0</v>
      </c>
      <c r="P150" s="14">
        <v>0</v>
      </c>
      <c r="Q150" s="9"/>
      <c r="R150" s="14">
        <v>0</v>
      </c>
      <c r="S150" s="14">
        <v>0</v>
      </c>
      <c r="T150" s="14">
        <v>0</v>
      </c>
      <c r="U150" s="14">
        <v>0</v>
      </c>
      <c r="V150" s="14"/>
      <c r="W150" s="14"/>
      <c r="X150" s="16">
        <f>U150</f>
        <v>0</v>
      </c>
      <c r="Y150" s="95"/>
      <c r="Z150" s="14">
        <v>0</v>
      </c>
      <c r="AA150" s="14">
        <v>0</v>
      </c>
      <c r="AB150" s="9"/>
      <c r="AP150" s="9"/>
      <c r="AQ150" s="9"/>
      <c r="AR150" s="14">
        <v>0</v>
      </c>
      <c r="AS150" s="16">
        <f>U150+J150</f>
        <v>0</v>
      </c>
      <c r="AT150" s="9">
        <f>M150+X150</f>
        <v>0</v>
      </c>
      <c r="AU150" s="139">
        <f t="shared" si="45"/>
        <v>0</v>
      </c>
      <c r="AV150" s="100">
        <f t="shared" si="45"/>
        <v>0</v>
      </c>
    </row>
    <row r="151" spans="1:48" x14ac:dyDescent="0.25">
      <c r="A151" s="5" t="s">
        <v>111</v>
      </c>
      <c r="F151" s="9"/>
      <c r="G151" s="14">
        <v>0</v>
      </c>
      <c r="H151" s="14">
        <v>0</v>
      </c>
      <c r="I151" s="14">
        <v>0</v>
      </c>
      <c r="J151" s="14">
        <v>0</v>
      </c>
      <c r="K151" s="14"/>
      <c r="L151" s="14"/>
      <c r="M151" s="14">
        <v>0</v>
      </c>
      <c r="N151" s="110"/>
      <c r="O151" s="14">
        <v>0</v>
      </c>
      <c r="P151" s="14">
        <v>0</v>
      </c>
      <c r="Q151" s="9"/>
      <c r="R151" s="14">
        <v>0</v>
      </c>
      <c r="S151" s="14">
        <v>0</v>
      </c>
      <c r="T151" s="14">
        <v>0</v>
      </c>
      <c r="U151" s="14">
        <v>0</v>
      </c>
      <c r="V151" s="14"/>
      <c r="W151" s="14"/>
      <c r="X151" s="14">
        <v>0</v>
      </c>
      <c r="Y151" s="95"/>
      <c r="Z151" s="14">
        <v>0</v>
      </c>
      <c r="AA151" s="14">
        <v>0</v>
      </c>
      <c r="AB151" s="9"/>
      <c r="AP151" s="9"/>
      <c r="AQ151" s="9"/>
      <c r="AR151" s="14"/>
      <c r="AS151" s="14"/>
      <c r="AT151" s="14"/>
      <c r="AU151" s="139">
        <f t="shared" si="45"/>
        <v>0</v>
      </c>
      <c r="AV151" s="100">
        <f t="shared" si="45"/>
        <v>0</v>
      </c>
    </row>
    <row r="152" spans="1:48" x14ac:dyDescent="0.25">
      <c r="A152" s="5" t="s">
        <v>112</v>
      </c>
      <c r="F152" s="9"/>
      <c r="G152" s="14">
        <v>0</v>
      </c>
      <c r="H152" s="14">
        <v>0</v>
      </c>
      <c r="I152" s="14">
        <v>0</v>
      </c>
      <c r="J152" s="14">
        <v>0</v>
      </c>
      <c r="K152" s="14"/>
      <c r="L152" s="14"/>
      <c r="M152" s="14">
        <v>0</v>
      </c>
      <c r="N152" s="110"/>
      <c r="O152" s="14">
        <v>0</v>
      </c>
      <c r="P152" s="14">
        <v>0</v>
      </c>
      <c r="Q152" s="9"/>
      <c r="R152" s="14">
        <v>0</v>
      </c>
      <c r="S152" s="14">
        <v>0</v>
      </c>
      <c r="T152" s="14">
        <v>0</v>
      </c>
      <c r="U152" s="14">
        <v>0</v>
      </c>
      <c r="V152" s="14"/>
      <c r="W152" s="14"/>
      <c r="X152" s="14">
        <v>0</v>
      </c>
      <c r="Y152" s="95"/>
      <c r="Z152" s="14">
        <v>0</v>
      </c>
      <c r="AA152" s="14">
        <v>0</v>
      </c>
      <c r="AB152" s="9"/>
      <c r="AP152" s="9"/>
      <c r="AQ152" s="9"/>
      <c r="AR152" s="14">
        <v>0</v>
      </c>
      <c r="AS152" s="14"/>
      <c r="AT152" s="14"/>
      <c r="AU152" s="139">
        <f t="shared" si="45"/>
        <v>0</v>
      </c>
      <c r="AV152" s="100">
        <f t="shared" si="45"/>
        <v>0</v>
      </c>
    </row>
    <row r="153" spans="1:48" ht="16.8" x14ac:dyDescent="0.55000000000000004">
      <c r="A153" s="5" t="s">
        <v>107</v>
      </c>
      <c r="F153" s="9"/>
      <c r="G153" s="44">
        <v>0</v>
      </c>
      <c r="H153" s="44">
        <v>0</v>
      </c>
      <c r="I153" s="44">
        <v>0</v>
      </c>
      <c r="J153" s="44">
        <v>0</v>
      </c>
      <c r="K153" s="44"/>
      <c r="L153" s="44"/>
      <c r="M153" s="44">
        <v>0</v>
      </c>
      <c r="N153" s="113"/>
      <c r="O153" s="44">
        <v>0</v>
      </c>
      <c r="P153" s="44">
        <v>0</v>
      </c>
      <c r="Q153" s="9"/>
      <c r="R153" s="44">
        <v>0</v>
      </c>
      <c r="S153" s="44">
        <v>0</v>
      </c>
      <c r="T153" s="44">
        <v>0</v>
      </c>
      <c r="U153" s="44">
        <v>0</v>
      </c>
      <c r="V153" s="44"/>
      <c r="W153" s="44"/>
      <c r="X153" s="44">
        <v>0</v>
      </c>
      <c r="Y153" s="96"/>
      <c r="Z153" s="44">
        <v>0</v>
      </c>
      <c r="AA153" s="44">
        <v>0</v>
      </c>
      <c r="AB153" s="9"/>
      <c r="AP153" s="9"/>
      <c r="AQ153" s="9"/>
      <c r="AR153" s="44">
        <v>0</v>
      </c>
      <c r="AS153" s="44">
        <v>0</v>
      </c>
      <c r="AT153" s="44">
        <v>0</v>
      </c>
      <c r="AU153" s="140">
        <f t="shared" si="45"/>
        <v>0</v>
      </c>
      <c r="AV153" s="101">
        <f t="shared" si="45"/>
        <v>0</v>
      </c>
    </row>
    <row r="154" spans="1:48" ht="15" x14ac:dyDescent="0.4">
      <c r="F154" s="9"/>
      <c r="G154" s="16">
        <f>SUM(G149:G153)</f>
        <v>0</v>
      </c>
      <c r="H154" s="16">
        <f>SUM(H149:H153)</f>
        <v>0</v>
      </c>
      <c r="I154" s="16">
        <f>SUM(I149:I153)</f>
        <v>0</v>
      </c>
      <c r="J154" s="16">
        <f>SUM(J149:J153)</f>
        <v>0</v>
      </c>
      <c r="K154" s="16"/>
      <c r="L154" s="16"/>
      <c r="M154" s="16">
        <f>SUM(M149:M153)</f>
        <v>0</v>
      </c>
      <c r="N154" s="110"/>
      <c r="O154" s="16">
        <f>SUM(O149:O153)</f>
        <v>0</v>
      </c>
      <c r="P154" s="16">
        <f>SUM(P149:P153)</f>
        <v>0</v>
      </c>
      <c r="Q154" s="9"/>
      <c r="R154" s="16">
        <f>SUM(R149:R153)</f>
        <v>0</v>
      </c>
      <c r="S154" s="16">
        <f>SUM(S149:S153)</f>
        <v>0</v>
      </c>
      <c r="T154" s="16">
        <f>SUM(T149:T153)</f>
        <v>0</v>
      </c>
      <c r="U154" s="16">
        <f>SUM(U149:U153)</f>
        <v>0</v>
      </c>
      <c r="V154" s="16"/>
      <c r="W154" s="16"/>
      <c r="X154" s="16">
        <f>SUM(X149:X153)</f>
        <v>0</v>
      </c>
      <c r="Y154" s="95"/>
      <c r="Z154" s="14">
        <f>SUM(Z149:Z153)</f>
        <v>0</v>
      </c>
      <c r="AA154" s="44">
        <f>SUM(AA149:AA153)</f>
        <v>0</v>
      </c>
      <c r="AB154" s="9"/>
      <c r="AP154" s="9"/>
      <c r="AQ154" s="9"/>
      <c r="AR154" s="16">
        <f>SUM(AR149:AR153)</f>
        <v>0</v>
      </c>
      <c r="AS154" s="16">
        <f>SUM(AS149:AS153)</f>
        <v>0</v>
      </c>
      <c r="AT154" s="16">
        <f>SUM(AT149:AT153)</f>
        <v>0</v>
      </c>
      <c r="AU154" s="141">
        <f t="shared" si="45"/>
        <v>0</v>
      </c>
      <c r="AV154" s="127">
        <f t="shared" si="45"/>
        <v>0</v>
      </c>
    </row>
    <row r="155" spans="1:48" x14ac:dyDescent="0.25">
      <c r="F155" s="9"/>
      <c r="G155" s="16"/>
      <c r="H155" s="16"/>
      <c r="I155" s="16"/>
      <c r="J155" s="16"/>
      <c r="K155" s="16"/>
      <c r="L155" s="16"/>
      <c r="M155" s="16"/>
      <c r="N155" s="110"/>
      <c r="O155" s="16"/>
      <c r="P155" s="9"/>
      <c r="Q155" s="9"/>
      <c r="R155" s="16"/>
      <c r="S155" s="16"/>
      <c r="T155" s="16"/>
      <c r="U155" s="16"/>
      <c r="V155" s="16"/>
      <c r="W155" s="16"/>
      <c r="X155" s="16"/>
      <c r="Y155" s="95"/>
      <c r="Z155" s="16"/>
      <c r="AA155" s="16"/>
      <c r="AB155" s="9"/>
      <c r="AP155" s="9"/>
      <c r="AQ155" s="9"/>
      <c r="AR155" s="16"/>
      <c r="AS155" s="16"/>
      <c r="AT155" s="9"/>
      <c r="AU155" s="9"/>
      <c r="AV155" s="9"/>
    </row>
    <row r="156" spans="1:48" x14ac:dyDescent="0.25">
      <c r="A156" s="1" t="s">
        <v>113</v>
      </c>
      <c r="F156" s="9"/>
      <c r="G156" s="14">
        <v>10.643000000000001</v>
      </c>
      <c r="H156" s="14">
        <v>10.643000000000001</v>
      </c>
      <c r="I156" s="14">
        <v>0.86799999999999999</v>
      </c>
      <c r="J156" s="14">
        <v>0.85799999999999998</v>
      </c>
      <c r="K156" s="14"/>
      <c r="L156" s="14"/>
      <c r="M156" s="163">
        <f>J156+1.089-1.123</f>
        <v>0.82400000000000007</v>
      </c>
      <c r="N156" s="110"/>
      <c r="O156" s="14">
        <v>4.5679999999999996</v>
      </c>
      <c r="P156" s="14">
        <v>4.5679999999999996</v>
      </c>
      <c r="Q156" s="9"/>
      <c r="R156" s="16">
        <v>13.18</v>
      </c>
      <c r="S156" s="14">
        <v>12.537000000000001</v>
      </c>
      <c r="T156" s="14">
        <v>11.701000000000001</v>
      </c>
      <c r="U156" s="14">
        <v>5.6589999999999998</v>
      </c>
      <c r="V156" s="14"/>
      <c r="W156" s="14"/>
      <c r="X156" s="16">
        <f>U156+0.564-0.564</f>
        <v>5.6589999999999998</v>
      </c>
      <c r="Y156" s="95"/>
      <c r="Z156" s="14">
        <v>4.5679999999999996</v>
      </c>
      <c r="AA156" s="14">
        <v>4.5679999999999996</v>
      </c>
      <c r="AB156" s="9"/>
      <c r="AP156" s="9"/>
      <c r="AQ156" s="9"/>
      <c r="AR156" s="16">
        <f>T156+I156+AQ156+AF156</f>
        <v>12.569000000000001</v>
      </c>
      <c r="AS156" s="16">
        <f>U156+J156+AG156</f>
        <v>6.5169999999999995</v>
      </c>
      <c r="AT156" s="9">
        <f>X156+M156+AJ156</f>
        <v>6.4829999999999997</v>
      </c>
      <c r="AU156" s="100">
        <f>O156+Z156+AL156</f>
        <v>9.1359999999999992</v>
      </c>
      <c r="AV156" s="100">
        <f>P156+AA156+AM156</f>
        <v>9.1359999999999992</v>
      </c>
    </row>
    <row r="157" spans="1:48" x14ac:dyDescent="0.25">
      <c r="A157" s="1" t="s">
        <v>172</v>
      </c>
      <c r="F157" s="9"/>
      <c r="G157" s="14"/>
      <c r="H157" s="14">
        <v>18.390999999999998</v>
      </c>
      <c r="I157" s="14"/>
      <c r="J157" s="14"/>
      <c r="K157" s="14"/>
      <c r="L157" s="14"/>
      <c r="M157" s="163"/>
      <c r="N157" s="110"/>
      <c r="O157" s="14"/>
      <c r="P157" s="14"/>
      <c r="Q157" s="9"/>
      <c r="R157" s="16"/>
      <c r="S157" s="14"/>
      <c r="T157" s="14"/>
      <c r="U157" s="14"/>
      <c r="V157" s="14"/>
      <c r="W157" s="14"/>
      <c r="X157" s="16"/>
      <c r="Y157" s="95"/>
      <c r="Z157" s="14"/>
      <c r="AA157" s="14"/>
      <c r="AB157" s="9"/>
      <c r="AP157" s="9"/>
      <c r="AQ157" s="9"/>
      <c r="AR157" s="16"/>
      <c r="AS157" s="16"/>
      <c r="AT157" s="9"/>
      <c r="AU157" s="100"/>
      <c r="AV157" s="100"/>
    </row>
    <row r="158" spans="1:48" x14ac:dyDescent="0.25">
      <c r="F158" s="9"/>
      <c r="G158" s="16"/>
      <c r="H158" s="16"/>
      <c r="I158" s="16"/>
      <c r="J158" s="16"/>
      <c r="K158" s="16"/>
      <c r="L158" s="16"/>
      <c r="M158" s="16"/>
      <c r="N158" s="114"/>
      <c r="O158" s="16"/>
      <c r="P158" s="9"/>
      <c r="Q158" s="9"/>
      <c r="R158" s="16"/>
      <c r="S158" s="16"/>
      <c r="T158" s="16"/>
      <c r="U158" s="16"/>
      <c r="V158" s="16"/>
      <c r="W158" s="16"/>
      <c r="X158" s="16"/>
      <c r="Y158" s="95"/>
      <c r="Z158" s="16"/>
      <c r="AA158" s="16"/>
      <c r="AB158" s="9"/>
      <c r="AP158" s="9"/>
      <c r="AQ158" s="9"/>
      <c r="AR158" s="16"/>
      <c r="AS158" s="16"/>
      <c r="AT158" s="9"/>
      <c r="AU158" s="9"/>
      <c r="AV158" s="9"/>
    </row>
    <row r="159" spans="1:48" x14ac:dyDescent="0.25">
      <c r="A159" s="1" t="s">
        <v>173</v>
      </c>
      <c r="F159" s="9"/>
      <c r="G159" s="9"/>
      <c r="H159" s="9"/>
      <c r="I159" s="9"/>
      <c r="J159" s="9"/>
      <c r="K159" s="9"/>
      <c r="L159" s="9"/>
      <c r="M159" s="16"/>
      <c r="N159" s="114"/>
      <c r="O159" s="16"/>
      <c r="P159" s="9"/>
      <c r="Q159" s="9"/>
      <c r="R159" s="9"/>
      <c r="S159" s="9"/>
      <c r="T159" s="9"/>
      <c r="U159" s="9"/>
      <c r="V159" s="9"/>
      <c r="W159" s="9"/>
      <c r="X159" s="16"/>
      <c r="Y159" s="95"/>
      <c r="Z159" s="16"/>
      <c r="AA159" s="16"/>
      <c r="AB159" s="9"/>
      <c r="AP159" s="9"/>
      <c r="AQ159" s="9"/>
      <c r="AR159" s="16"/>
      <c r="AS159" s="77"/>
      <c r="AT159" s="9"/>
      <c r="AU159" s="9"/>
      <c r="AV159" s="9"/>
    </row>
    <row r="160" spans="1:48" x14ac:dyDescent="0.25">
      <c r="A160" t="s">
        <v>21</v>
      </c>
      <c r="F160" s="9"/>
      <c r="G160" s="16">
        <f t="shared" ref="G160:J162" si="46">G142</f>
        <v>172.68420390314765</v>
      </c>
      <c r="H160" s="16">
        <f t="shared" si="46"/>
        <v>178.56175348440013</v>
      </c>
      <c r="I160" s="16">
        <f t="shared" si="46"/>
        <v>150.25062237745402</v>
      </c>
      <c r="J160" s="16">
        <f t="shared" si="46"/>
        <v>154.3388533271044</v>
      </c>
      <c r="K160" s="14"/>
      <c r="L160" s="14"/>
      <c r="M160" s="163">
        <f>J160+17.613-21.421</f>
        <v>150.53085332710441</v>
      </c>
      <c r="N160" s="27"/>
      <c r="O160" s="9">
        <f>O130-O136-O156</f>
        <v>207.01769872043261</v>
      </c>
      <c r="P160" s="9">
        <f>P130-P136-P156</f>
        <v>235.23217775212856</v>
      </c>
      <c r="Q160" s="9"/>
      <c r="R160" s="16">
        <f t="shared" ref="R160:U162" si="47">R142</f>
        <v>150.62462800000003</v>
      </c>
      <c r="S160" s="16">
        <f t="shared" si="47"/>
        <v>128.59738399999989</v>
      </c>
      <c r="T160" s="16">
        <f t="shared" si="47"/>
        <v>124.65204500000004</v>
      </c>
      <c r="U160" s="16">
        <f t="shared" si="47"/>
        <v>44.845284999999954</v>
      </c>
      <c r="V160" s="14"/>
      <c r="W160" s="14"/>
      <c r="X160" s="9">
        <f>U160+29.064-24.485</f>
        <v>49.424284999999955</v>
      </c>
      <c r="Y160" s="95"/>
      <c r="Z160" s="14">
        <f>Z130-Z136-Z156</f>
        <v>96.926257712302188</v>
      </c>
      <c r="AA160" s="14">
        <f>AA130-AA136-AA156</f>
        <v>143.28312814369761</v>
      </c>
      <c r="AB160" s="9"/>
      <c r="AP160" s="9"/>
      <c r="AQ160" s="9"/>
      <c r="AR160" s="16">
        <f>T160+I160+AQ160+AF160</f>
        <v>274.90266737745407</v>
      </c>
      <c r="AS160" s="9">
        <f>U160+J160+AG160</f>
        <v>199.18413832710436</v>
      </c>
      <c r="AT160" s="9">
        <f>X160+M160+AJ160</f>
        <v>199.95513832710435</v>
      </c>
      <c r="AU160" s="139">
        <f t="shared" ref="AU160:AV163" si="48">O160+Z160+AL160</f>
        <v>303.94395643273481</v>
      </c>
      <c r="AV160" s="100">
        <f t="shared" si="48"/>
        <v>378.51530589582615</v>
      </c>
    </row>
    <row r="161" spans="1:78" x14ac:dyDescent="0.25">
      <c r="A161" t="s">
        <v>6</v>
      </c>
      <c r="F161" s="9"/>
      <c r="G161" s="16">
        <f t="shared" si="46"/>
        <v>34.151745096852387</v>
      </c>
      <c r="H161" s="16">
        <f t="shared" si="46"/>
        <v>44.613327515600012</v>
      </c>
      <c r="I161" s="16">
        <f t="shared" si="46"/>
        <v>51.494146622546054</v>
      </c>
      <c r="J161" s="16">
        <f t="shared" si="46"/>
        <v>36.43466967289568</v>
      </c>
      <c r="K161" s="14"/>
      <c r="L161" s="14"/>
      <c r="M161" s="163">
        <f>J161+0.214-0.855</f>
        <v>35.793669672895682</v>
      </c>
      <c r="N161" s="123"/>
      <c r="O161" s="9">
        <f>O131-O137</f>
        <v>43.377100363734314</v>
      </c>
      <c r="P161" s="9">
        <f>P131-P137</f>
        <v>50.415878444693945</v>
      </c>
      <c r="Q161" s="9"/>
      <c r="R161" s="16">
        <f t="shared" si="47"/>
        <v>0</v>
      </c>
      <c r="S161" s="16">
        <f t="shared" si="47"/>
        <v>0</v>
      </c>
      <c r="T161" s="16">
        <f t="shared" si="47"/>
        <v>0</v>
      </c>
      <c r="U161" s="16">
        <f t="shared" si="47"/>
        <v>0</v>
      </c>
      <c r="V161" s="9"/>
      <c r="W161" s="9"/>
      <c r="X161" s="9"/>
      <c r="Y161" s="95"/>
      <c r="Z161" s="9">
        <f>Z131-Z137</f>
        <v>0</v>
      </c>
      <c r="AA161" s="9">
        <f>AA131-AA137</f>
        <v>0</v>
      </c>
      <c r="AB161" s="9"/>
      <c r="AP161" s="9"/>
      <c r="AQ161" s="9"/>
      <c r="AR161" s="16">
        <f>T161+I161+AQ161+AF161</f>
        <v>51.494146622546054</v>
      </c>
      <c r="AS161" s="9">
        <f>U161+J161+AG161</f>
        <v>36.43466967289568</v>
      </c>
      <c r="AT161" s="9">
        <f>X161+M161+AJ161</f>
        <v>35.793669672895682</v>
      </c>
      <c r="AU161" s="139">
        <f t="shared" si="48"/>
        <v>43.377100363734314</v>
      </c>
      <c r="AV161" s="100">
        <f t="shared" si="48"/>
        <v>50.415878444693945</v>
      </c>
    </row>
    <row r="162" spans="1:78" ht="15" x14ac:dyDescent="0.4">
      <c r="A162" s="30" t="s">
        <v>13</v>
      </c>
      <c r="F162" s="9"/>
      <c r="G162" s="34">
        <f t="shared" si="46"/>
        <v>-14.224715999999988</v>
      </c>
      <c r="H162" s="34">
        <f t="shared" si="46"/>
        <v>-41.834005000000026</v>
      </c>
      <c r="I162" s="34">
        <f t="shared" si="46"/>
        <v>-10.690819999999931</v>
      </c>
      <c r="J162" s="34">
        <f t="shared" si="46"/>
        <v>-20.216976999999986</v>
      </c>
      <c r="K162" s="44"/>
      <c r="L162" s="44"/>
      <c r="M162" s="164">
        <f>J162+1.676+0.715</f>
        <v>-17.825976999999988</v>
      </c>
      <c r="N162" s="29"/>
      <c r="O162" s="34">
        <f>O132-O138</f>
        <v>-20.143551061973568</v>
      </c>
      <c r="P162" s="34">
        <f>P132-P138</f>
        <v>-20.072417628813533</v>
      </c>
      <c r="Q162" s="34"/>
      <c r="R162" s="34">
        <f t="shared" si="47"/>
        <v>-4.8101699999999994</v>
      </c>
      <c r="S162" s="34">
        <f t="shared" si="47"/>
        <v>-3.0168870000000112</v>
      </c>
      <c r="T162" s="34">
        <f t="shared" si="47"/>
        <v>7.8282079999999894</v>
      </c>
      <c r="U162" s="34">
        <f t="shared" si="47"/>
        <v>7.0125380000000064</v>
      </c>
      <c r="V162" s="34"/>
      <c r="W162" s="34"/>
      <c r="X162" s="34"/>
      <c r="Y162" s="96"/>
      <c r="Z162" s="34">
        <f>Z132-Z138</f>
        <v>7.0125380000000064</v>
      </c>
      <c r="AA162" s="34">
        <f>AA132-AA138</f>
        <v>7.0125380000000064</v>
      </c>
      <c r="AB162" s="34"/>
      <c r="AP162" s="34"/>
      <c r="AQ162" s="34"/>
      <c r="AR162" s="16">
        <f>T162+I162+AQ162+AF162</f>
        <v>-2.8626119999999418</v>
      </c>
      <c r="AS162" s="34">
        <f>U162+J162+AG162</f>
        <v>-13.204438999999979</v>
      </c>
      <c r="AT162" s="9">
        <f>X162+M162+AJ162</f>
        <v>-17.825976999999988</v>
      </c>
      <c r="AU162" s="140">
        <f t="shared" si="48"/>
        <v>-13.131013061973562</v>
      </c>
      <c r="AV162" s="101">
        <f t="shared" si="48"/>
        <v>-13.059879628813526</v>
      </c>
    </row>
    <row r="163" spans="1:78" ht="13.8" thickBot="1" x14ac:dyDescent="0.3">
      <c r="G163" s="40">
        <f>G145-G156-G157</f>
        <v>181.96823300000003</v>
      </c>
      <c r="H163" s="40">
        <f>H145-H156-H157</f>
        <v>152.30707600000014</v>
      </c>
      <c r="I163" s="40">
        <f>I145-I156-I157</f>
        <v>190.18594900000016</v>
      </c>
      <c r="J163" s="40">
        <f>J145-J156-J157</f>
        <v>169.69854600000008</v>
      </c>
      <c r="K163" s="40"/>
      <c r="L163" s="40"/>
      <c r="M163" s="40">
        <f>SUM(M160:M162)</f>
        <v>168.49854600000009</v>
      </c>
      <c r="N163" s="85"/>
      <c r="O163" s="40">
        <f>SUM(O160:O162)</f>
        <v>230.25124802219335</v>
      </c>
      <c r="P163" s="40">
        <f>SUM(P160:P162)</f>
        <v>265.57563856800897</v>
      </c>
      <c r="Q163" s="48"/>
      <c r="R163" s="40">
        <f>R145-R156-R157</f>
        <v>132.63445800000002</v>
      </c>
      <c r="S163" s="40">
        <f>S145-S156-S157</f>
        <v>113.04349699999987</v>
      </c>
      <c r="T163" s="40">
        <f>T145-T156-T157</f>
        <v>120.77925300000004</v>
      </c>
      <c r="U163" s="40">
        <f>U145-U156-U157</f>
        <v>46.198822999999962</v>
      </c>
      <c r="V163" s="40"/>
      <c r="W163" s="40"/>
      <c r="X163" s="40">
        <f>X108-X121+X127-X139+X154-X156</f>
        <v>-78.415176999999886</v>
      </c>
      <c r="Y163" s="147"/>
      <c r="Z163" s="40">
        <f>SUM(Z160:Z162)</f>
        <v>103.93879571230219</v>
      </c>
      <c r="AA163" s="40">
        <f>SUM(AA160:AA162)</f>
        <v>150.29566614369762</v>
      </c>
      <c r="AB163" s="48"/>
      <c r="AP163" s="48"/>
      <c r="AQ163" s="48"/>
      <c r="AR163" s="40">
        <f>T163+I163+AQ163+AF163</f>
        <v>310.9652020000002</v>
      </c>
      <c r="AS163" s="40">
        <f>U163+J163+AG163</f>
        <v>215.89736900000003</v>
      </c>
      <c r="AT163" s="40">
        <f>X163+M163+AJ163</f>
        <v>90.083369000000204</v>
      </c>
      <c r="AU163" s="40">
        <f t="shared" si="48"/>
        <v>334.19004373449553</v>
      </c>
      <c r="AV163" s="40">
        <f t="shared" si="48"/>
        <v>415.87130471170656</v>
      </c>
      <c r="AW163" s="39"/>
      <c r="AX163" s="39"/>
    </row>
    <row r="164" spans="1:78" ht="13.8" thickTop="1" x14ac:dyDescent="0.25">
      <c r="A164" t="s">
        <v>114</v>
      </c>
      <c r="G164" s="27"/>
      <c r="H164" s="9"/>
      <c r="I164" s="9"/>
      <c r="J164" s="9"/>
      <c r="K164" s="9"/>
      <c r="L164" s="9"/>
      <c r="M164" s="26"/>
      <c r="N164" s="114"/>
      <c r="O164" s="26"/>
      <c r="P164" s="27"/>
      <c r="Q164" s="27"/>
      <c r="R164" s="27"/>
      <c r="S164" s="16"/>
      <c r="T164" s="16"/>
      <c r="U164" s="16"/>
      <c r="V164" s="16"/>
      <c r="W164" s="16"/>
      <c r="X164" s="16"/>
      <c r="Y164" s="14"/>
      <c r="Z164" s="16"/>
      <c r="AA164" s="16"/>
      <c r="AB164" s="27"/>
      <c r="AP164" s="27"/>
      <c r="AQ164" s="27"/>
      <c r="AR164" s="16"/>
      <c r="AS164" s="16"/>
      <c r="AT164" s="16"/>
      <c r="AU164" s="16"/>
      <c r="AV164" s="16"/>
    </row>
    <row r="165" spans="1:78" x14ac:dyDescent="0.25">
      <c r="G165" s="27"/>
      <c r="H165" s="9"/>
      <c r="I165" s="9"/>
      <c r="J165" s="9"/>
      <c r="K165" s="9"/>
      <c r="L165" s="9"/>
      <c r="M165" s="26"/>
      <c r="N165" s="114"/>
      <c r="O165" s="26"/>
      <c r="P165" s="27"/>
      <c r="Q165" s="27"/>
      <c r="R165" s="27"/>
      <c r="S165" s="16"/>
      <c r="T165" s="16"/>
      <c r="U165" s="16"/>
      <c r="V165" s="16"/>
      <c r="W165" s="16"/>
      <c r="X165" s="16"/>
      <c r="Y165" s="14"/>
      <c r="Z165" s="16"/>
      <c r="AA165" s="16"/>
      <c r="AB165" s="27"/>
      <c r="AP165" s="27"/>
      <c r="AQ165" s="27"/>
      <c r="AR165" s="16"/>
      <c r="AS165" s="16"/>
      <c r="AT165" s="16"/>
    </row>
    <row r="166" spans="1:78" x14ac:dyDescent="0.25">
      <c r="A166" t="s">
        <v>144</v>
      </c>
      <c r="F166" s="9"/>
      <c r="G166" s="27"/>
      <c r="H166" s="9"/>
      <c r="I166" s="9"/>
      <c r="J166" s="75">
        <v>158.80000000000001</v>
      </c>
      <c r="K166" s="75"/>
      <c r="L166" s="75"/>
      <c r="M166" s="165"/>
      <c r="N166" s="138"/>
      <c r="O166" s="75">
        <v>158.80000000000001</v>
      </c>
      <c r="P166" s="75">
        <v>158.80000000000001</v>
      </c>
      <c r="Q166" s="27"/>
      <c r="R166" s="27"/>
      <c r="S166" s="16"/>
      <c r="T166" s="16"/>
      <c r="U166" s="75">
        <v>158.80000000000001</v>
      </c>
      <c r="V166" s="16"/>
      <c r="W166" s="16"/>
      <c r="X166" s="75">
        <v>158.80000000000001</v>
      </c>
      <c r="Y166" s="14"/>
      <c r="Z166" s="75">
        <v>158.80000000000001</v>
      </c>
      <c r="AA166" s="75">
        <v>158.80000000000001</v>
      </c>
      <c r="AB166" s="27"/>
      <c r="AP166" s="27"/>
      <c r="AQ166" s="27"/>
      <c r="AR166" s="14">
        <v>158.80000000000001</v>
      </c>
      <c r="AS166" s="14">
        <v>158.80000000000001</v>
      </c>
      <c r="AT166" s="14">
        <v>158.80000000000001</v>
      </c>
      <c r="AU166" s="14">
        <v>158.80000000000001</v>
      </c>
      <c r="AV166" s="14">
        <v>158.80000000000001</v>
      </c>
    </row>
    <row r="167" spans="1:78" x14ac:dyDescent="0.25">
      <c r="G167" s="27"/>
      <c r="H167" s="9"/>
      <c r="I167" s="9"/>
      <c r="J167" s="75"/>
      <c r="K167" s="75"/>
      <c r="L167" s="75"/>
      <c r="M167" s="165"/>
      <c r="N167" s="138"/>
      <c r="O167" s="75"/>
      <c r="P167" s="75"/>
      <c r="Q167" s="27"/>
      <c r="R167" s="27"/>
      <c r="S167" s="16"/>
      <c r="T167" s="16"/>
      <c r="U167" s="75"/>
      <c r="V167" s="14"/>
      <c r="W167" s="14"/>
      <c r="X167" s="75"/>
      <c r="Y167" s="14"/>
      <c r="Z167" s="75"/>
      <c r="AA167" s="75"/>
      <c r="AB167" s="27"/>
      <c r="AP167" s="27"/>
      <c r="AQ167" s="27"/>
      <c r="AR167" s="16"/>
      <c r="AS167" s="16"/>
      <c r="AT167" s="16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1:78" x14ac:dyDescent="0.25">
      <c r="A168" s="1" t="s">
        <v>115</v>
      </c>
      <c r="G168" s="87"/>
      <c r="H168" s="11"/>
      <c r="I168" s="11"/>
      <c r="J168" s="53">
        <f>J163/J166</f>
        <v>1.0686306423173808</v>
      </c>
      <c r="K168" s="53"/>
      <c r="L168" s="53"/>
      <c r="M168" s="11"/>
      <c r="N168" s="130"/>
      <c r="O168" s="53">
        <f>O163/O166</f>
        <v>1.4499448867896305</v>
      </c>
      <c r="P168" s="53">
        <f>P163/P166</f>
        <v>1.6723906710831797</v>
      </c>
      <c r="Q168" s="87"/>
      <c r="R168" s="87"/>
      <c r="S168" s="33"/>
      <c r="T168" s="33"/>
      <c r="U168" s="53">
        <f>U163/U166</f>
        <v>0.29092457808564204</v>
      </c>
      <c r="V168" s="11"/>
      <c r="W168" s="11"/>
      <c r="X168" s="53">
        <f>X163/X166</f>
        <v>-0.49379834382871463</v>
      </c>
      <c r="Y168" s="98"/>
      <c r="Z168" s="53">
        <f>Z163/Z166</f>
        <v>0.65452642136210448</v>
      </c>
      <c r="AA168" s="53">
        <f>AA163/AA166</f>
        <v>0.94644626035074064</v>
      </c>
      <c r="AB168" s="87"/>
      <c r="AP168" s="87"/>
      <c r="AQ168" s="87"/>
      <c r="AR168" s="33">
        <f>AR163/AR166</f>
        <v>1.9582191561712858</v>
      </c>
      <c r="AS168" s="33">
        <f>AS163/AS166</f>
        <v>1.3595552204030228</v>
      </c>
      <c r="AT168" s="33">
        <f>AT163/AT166</f>
        <v>0.56727562342569393</v>
      </c>
      <c r="AU168" s="33">
        <f>AU163/AU166</f>
        <v>2.104471308151735</v>
      </c>
      <c r="AV168" s="33">
        <f>AV163/AV166</f>
        <v>2.6188369314339202</v>
      </c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</row>
    <row r="169" spans="1:78" x14ac:dyDescent="0.25">
      <c r="A169" t="s">
        <v>143</v>
      </c>
      <c r="G169" s="11"/>
      <c r="H169" s="98"/>
      <c r="I169" s="98"/>
      <c r="J169" s="131">
        <v>0.77</v>
      </c>
      <c r="K169" s="131"/>
      <c r="L169" s="131"/>
      <c r="M169" s="167"/>
      <c r="N169" s="132"/>
      <c r="O169" s="131">
        <v>0.77</v>
      </c>
      <c r="P169" s="131">
        <v>0.77</v>
      </c>
      <c r="Q169" s="98"/>
      <c r="R169" s="98"/>
      <c r="S169" s="98"/>
      <c r="T169" s="98"/>
      <c r="U169" s="131">
        <v>0.77</v>
      </c>
      <c r="V169" s="98"/>
      <c r="W169" s="98"/>
      <c r="X169" s="131">
        <v>0.77</v>
      </c>
      <c r="Y169" s="98"/>
      <c r="Z169" s="131">
        <v>0.77</v>
      </c>
      <c r="AA169" s="131">
        <v>0.77</v>
      </c>
      <c r="AB169" s="98"/>
      <c r="AP169" s="98"/>
      <c r="AQ169" s="98"/>
      <c r="AR169" s="98"/>
      <c r="AS169" s="98"/>
      <c r="AT169" s="98"/>
      <c r="AU169" s="98"/>
      <c r="AV169" s="98"/>
      <c r="AW169" s="98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</row>
    <row r="170" spans="1:78" x14ac:dyDescent="0.25">
      <c r="G170" s="11"/>
      <c r="H170" s="98"/>
      <c r="I170" s="98"/>
      <c r="J170" s="131"/>
      <c r="K170" s="131"/>
      <c r="L170" s="131"/>
      <c r="M170" s="98"/>
      <c r="N170" s="132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P170" s="98"/>
      <c r="AQ170" s="98"/>
      <c r="AR170" s="98"/>
      <c r="AS170" s="98"/>
      <c r="AT170" s="98"/>
      <c r="AU170" s="98"/>
      <c r="AV170" s="98"/>
      <c r="AW170" s="98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</row>
    <row r="171" spans="1:78" x14ac:dyDescent="0.25">
      <c r="A171" s="1"/>
      <c r="G171" s="135"/>
      <c r="H171" s="135"/>
      <c r="I171" s="135"/>
      <c r="J171" s="135"/>
      <c r="K171" s="135"/>
      <c r="L171" s="135"/>
      <c r="M171" s="135"/>
      <c r="N171" s="135"/>
      <c r="O171" s="135"/>
      <c r="P171" s="135"/>
      <c r="Q171" s="98"/>
      <c r="R171" s="98"/>
      <c r="S171" s="135"/>
      <c r="T171" s="135"/>
      <c r="U171" s="135"/>
      <c r="V171" s="135"/>
      <c r="W171" s="135"/>
      <c r="X171" s="135"/>
      <c r="Y171" s="98"/>
      <c r="Z171" s="11"/>
      <c r="AA171" s="135"/>
      <c r="AB171" s="98"/>
      <c r="AP171" s="98"/>
      <c r="AQ171" s="98"/>
      <c r="AR171" s="135"/>
      <c r="AS171" s="135"/>
      <c r="AT171" s="135"/>
      <c r="AU171" s="135"/>
      <c r="AV171" s="135"/>
      <c r="AW171" s="98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</row>
    <row r="172" spans="1:78" x14ac:dyDescent="0.25">
      <c r="G172" s="11"/>
      <c r="H172" s="98"/>
      <c r="I172" s="98"/>
      <c r="J172" s="131"/>
      <c r="K172" s="131"/>
      <c r="L172" s="131"/>
      <c r="M172" s="98"/>
      <c r="N172" s="132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P172" s="98"/>
      <c r="AQ172" s="98"/>
      <c r="AR172" s="98"/>
      <c r="AS172" s="98"/>
      <c r="AT172" s="98"/>
      <c r="AU172" s="98"/>
      <c r="AV172" s="98"/>
      <c r="AW172" s="98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</row>
    <row r="173" spans="1:78" x14ac:dyDescent="0.25">
      <c r="B173" s="1" t="s">
        <v>37</v>
      </c>
      <c r="I173" s="19"/>
      <c r="N173" s="110"/>
      <c r="Y173" s="102"/>
    </row>
    <row r="174" spans="1:78" x14ac:dyDescent="0.25">
      <c r="N174" s="110"/>
      <c r="Y174" s="102"/>
    </row>
    <row r="175" spans="1:78" x14ac:dyDescent="0.25">
      <c r="A175" s="1" t="s">
        <v>26</v>
      </c>
      <c r="G175" s="9"/>
      <c r="I175" s="12">
        <v>1997</v>
      </c>
      <c r="J175" s="12">
        <v>1998</v>
      </c>
      <c r="K175" s="12"/>
      <c r="L175" s="12"/>
      <c r="M175" s="12"/>
      <c r="N175" s="115"/>
      <c r="O175" s="12"/>
      <c r="P175" s="9"/>
      <c r="Q175" s="9"/>
      <c r="R175" s="9"/>
      <c r="T175" s="12">
        <v>1997</v>
      </c>
      <c r="U175" s="12">
        <v>1998</v>
      </c>
      <c r="V175" s="12"/>
      <c r="W175" s="12"/>
      <c r="X175" s="12"/>
      <c r="Y175" s="103"/>
      <c r="Z175" s="12"/>
      <c r="AA175" s="12"/>
      <c r="AQ175" s="9"/>
      <c r="AR175" s="12">
        <v>1997</v>
      </c>
      <c r="AS175" s="12">
        <v>1998</v>
      </c>
    </row>
    <row r="176" spans="1:78" x14ac:dyDescent="0.25">
      <c r="A176" t="s">
        <v>27</v>
      </c>
      <c r="G176" s="9"/>
      <c r="I176" s="9">
        <v>0</v>
      </c>
      <c r="J176" s="14">
        <f>265.924+9.815</f>
        <v>275.73899999999998</v>
      </c>
      <c r="K176" s="9"/>
      <c r="L176" s="9"/>
      <c r="M176" s="16"/>
      <c r="N176" s="110"/>
      <c r="O176" s="16"/>
      <c r="P176" s="9"/>
      <c r="Q176" s="9"/>
      <c r="R176" s="9"/>
      <c r="T176" s="9">
        <v>0</v>
      </c>
      <c r="U176" s="14">
        <f>157.6+43.867</f>
        <v>201.46699999999998</v>
      </c>
      <c r="V176" s="9"/>
      <c r="W176" s="9"/>
      <c r="X176" s="16"/>
      <c r="Y176" s="14"/>
      <c r="Z176" s="16"/>
      <c r="AA176" s="16"/>
      <c r="AB176" s="9"/>
      <c r="AP176" s="9"/>
      <c r="AQ176" s="9"/>
      <c r="AR176" s="16">
        <v>0</v>
      </c>
      <c r="AS176" s="14">
        <f>'Corp I-S&amp;B-S'!C61</f>
        <v>363.78</v>
      </c>
      <c r="AT176" s="9"/>
    </row>
    <row r="177" spans="1:46" x14ac:dyDescent="0.25">
      <c r="A177" t="s">
        <v>179</v>
      </c>
      <c r="G177" s="9"/>
      <c r="I177" s="9">
        <v>0</v>
      </c>
      <c r="J177" s="14">
        <v>130</v>
      </c>
      <c r="K177" s="9"/>
      <c r="L177" s="9"/>
      <c r="M177" s="16"/>
      <c r="N177" s="110"/>
      <c r="O177" s="16"/>
      <c r="P177" s="9"/>
      <c r="Q177" s="9"/>
      <c r="R177" s="9"/>
      <c r="T177" s="9">
        <v>0</v>
      </c>
      <c r="U177" s="14">
        <v>6</v>
      </c>
      <c r="V177" s="9"/>
      <c r="W177" s="9"/>
      <c r="X177" s="16"/>
      <c r="Y177" s="14"/>
      <c r="Z177" s="16"/>
      <c r="AA177" s="16"/>
      <c r="AB177" s="9"/>
      <c r="AP177" s="9"/>
      <c r="AQ177" s="9"/>
      <c r="AR177" s="9">
        <v>0</v>
      </c>
      <c r="AS177" s="14">
        <f>'Corp I-S&amp;B-S'!C63</f>
        <v>31.821999999999999</v>
      </c>
      <c r="AT177" s="9"/>
    </row>
    <row r="178" spans="1:46" x14ac:dyDescent="0.25">
      <c r="A178" t="s">
        <v>32</v>
      </c>
      <c r="G178" s="9"/>
      <c r="I178" s="10">
        <v>0</v>
      </c>
      <c r="J178" s="188">
        <v>1219.778</v>
      </c>
      <c r="K178" s="27"/>
      <c r="L178" s="27"/>
      <c r="M178" s="26"/>
      <c r="N178" s="114"/>
      <c r="O178" s="26"/>
      <c r="P178" s="9"/>
      <c r="Q178" s="9"/>
      <c r="R178" s="9"/>
      <c r="T178" s="10">
        <v>0</v>
      </c>
      <c r="U178" s="188">
        <v>1025.6590000000001</v>
      </c>
      <c r="V178" s="27"/>
      <c r="W178" s="27"/>
      <c r="X178" s="26"/>
      <c r="Y178" s="74"/>
      <c r="Z178" s="26"/>
      <c r="AA178" s="26"/>
      <c r="AB178" s="9"/>
      <c r="AP178" s="9"/>
      <c r="AQ178" s="9"/>
      <c r="AR178" s="17">
        <v>0</v>
      </c>
      <c r="AS178" s="188">
        <f>'Corp I-S&amp;B-S'!C60</f>
        <v>2723.4830000000002</v>
      </c>
      <c r="AT178" s="9"/>
    </row>
    <row r="179" spans="1:46" x14ac:dyDescent="0.25">
      <c r="B179" t="s">
        <v>28</v>
      </c>
      <c r="G179" s="9"/>
      <c r="I179" s="9">
        <f>SUM(I176:I178)</f>
        <v>0</v>
      </c>
      <c r="J179" s="9">
        <f>SUM(J176:J178)</f>
        <v>1625.5170000000001</v>
      </c>
      <c r="K179" s="9"/>
      <c r="L179" s="9"/>
      <c r="M179" s="16"/>
      <c r="N179" s="110"/>
      <c r="O179" s="16"/>
      <c r="P179" s="9"/>
      <c r="Q179" s="9"/>
      <c r="R179" s="9"/>
      <c r="T179" s="9">
        <f>SUM(T176:T178)</f>
        <v>0</v>
      </c>
      <c r="U179" s="9">
        <f>SUM(U176:U178)</f>
        <v>1233.1260000000002</v>
      </c>
      <c r="V179" s="9"/>
      <c r="W179" s="9"/>
      <c r="X179" s="16"/>
      <c r="Y179" s="14"/>
      <c r="Z179" s="16"/>
      <c r="AA179" s="16"/>
      <c r="AB179" s="9"/>
      <c r="AP179" s="9"/>
      <c r="AQ179" s="9"/>
      <c r="AR179" s="9">
        <f>SUM(AR176:AR178)</f>
        <v>0</v>
      </c>
      <c r="AS179" s="9">
        <f>SUM(AS176:AS178)</f>
        <v>3119.085</v>
      </c>
      <c r="AT179" s="9"/>
    </row>
    <row r="180" spans="1:46" x14ac:dyDescent="0.25">
      <c r="F180" t="s">
        <v>238</v>
      </c>
      <c r="G180" s="9"/>
      <c r="I180" s="9"/>
      <c r="J180" s="9"/>
      <c r="K180" s="9"/>
      <c r="L180" s="9"/>
      <c r="M180" s="16"/>
      <c r="N180" s="110"/>
      <c r="O180" s="16"/>
      <c r="P180" s="9"/>
      <c r="Q180" s="9"/>
      <c r="R180" s="9"/>
      <c r="T180" s="9"/>
      <c r="U180" s="9"/>
      <c r="V180" s="9"/>
      <c r="W180" s="9"/>
      <c r="X180" s="16"/>
      <c r="Y180" s="14"/>
      <c r="Z180" s="16"/>
      <c r="AA180" s="16"/>
      <c r="AB180" s="9"/>
      <c r="AP180" s="9"/>
      <c r="AQ180" s="9"/>
      <c r="AR180" s="16"/>
      <c r="AS180" s="9"/>
      <c r="AT180" s="9"/>
    </row>
    <row r="181" spans="1:46" x14ac:dyDescent="0.25">
      <c r="A181" t="s">
        <v>29</v>
      </c>
      <c r="G181" s="9"/>
      <c r="I181" s="9">
        <v>0</v>
      </c>
      <c r="J181" s="14">
        <v>0</v>
      </c>
      <c r="K181" s="9"/>
      <c r="L181" s="9"/>
      <c r="M181" s="16"/>
      <c r="N181" s="110"/>
      <c r="O181" s="16"/>
      <c r="P181" s="9"/>
      <c r="Q181" s="9"/>
      <c r="R181" s="9"/>
      <c r="T181" s="9">
        <v>0</v>
      </c>
      <c r="U181" s="14">
        <v>0</v>
      </c>
      <c r="V181" s="9"/>
      <c r="W181" s="9"/>
      <c r="X181" s="16"/>
      <c r="Y181" s="14"/>
      <c r="Z181" s="16"/>
      <c r="AA181" s="16"/>
      <c r="AB181" s="9"/>
      <c r="AP181" s="9"/>
      <c r="AQ181" s="9"/>
      <c r="AR181" s="16">
        <v>0</v>
      </c>
      <c r="AS181" s="9">
        <f>AG181+U181+J181</f>
        <v>0</v>
      </c>
      <c r="AT181" s="9"/>
    </row>
    <row r="182" spans="1:46" x14ac:dyDescent="0.25">
      <c r="A182" t="s">
        <v>30</v>
      </c>
      <c r="G182" s="9"/>
      <c r="I182" s="10">
        <v>0</v>
      </c>
      <c r="J182" s="188">
        <v>20.716999999999999</v>
      </c>
      <c r="K182" s="27"/>
      <c r="L182" s="27"/>
      <c r="M182" s="26"/>
      <c r="N182" s="114"/>
      <c r="O182" s="26"/>
      <c r="P182" s="9"/>
      <c r="Q182" s="9"/>
      <c r="R182" s="9"/>
      <c r="T182" s="10">
        <v>0</v>
      </c>
      <c r="U182" s="188">
        <v>71.923000000000002</v>
      </c>
      <c r="V182" s="27"/>
      <c r="W182" s="27"/>
      <c r="X182" s="26"/>
      <c r="Y182" s="74"/>
      <c r="Z182" s="26"/>
      <c r="AA182" s="26"/>
      <c r="AB182" s="9"/>
      <c r="AP182" s="9"/>
      <c r="AQ182" s="9"/>
      <c r="AR182" s="17">
        <v>0</v>
      </c>
      <c r="AS182" s="188">
        <f>'Corp I-S&amp;B-S'!C66</f>
        <v>0</v>
      </c>
      <c r="AT182" s="9"/>
    </row>
    <row r="183" spans="1:46" x14ac:dyDescent="0.25">
      <c r="G183" s="9"/>
      <c r="I183" s="9">
        <f>SUM(I181:I182)</f>
        <v>0</v>
      </c>
      <c r="J183" s="9">
        <f>SUM(J181:J182)</f>
        <v>20.716999999999999</v>
      </c>
      <c r="K183" s="9"/>
      <c r="L183" s="9"/>
      <c r="M183" s="16"/>
      <c r="N183" s="110"/>
      <c r="O183" s="16"/>
      <c r="P183" s="9"/>
      <c r="Q183" s="9"/>
      <c r="R183" s="9"/>
      <c r="T183" s="9">
        <f>SUM(T181:T182)</f>
        <v>0</v>
      </c>
      <c r="U183" s="9">
        <f>SUM(U181:U182)</f>
        <v>71.923000000000002</v>
      </c>
      <c r="V183" s="9"/>
      <c r="W183" s="9"/>
      <c r="X183" s="16"/>
      <c r="Y183" s="14"/>
      <c r="Z183" s="16"/>
      <c r="AA183" s="16"/>
      <c r="AB183" s="9"/>
      <c r="AP183" s="9"/>
      <c r="AQ183" s="9"/>
      <c r="AR183" s="9">
        <f>SUM(AR181:AR182)</f>
        <v>0</v>
      </c>
      <c r="AS183" s="9">
        <f>SUM(AS181:AS182)</f>
        <v>0</v>
      </c>
      <c r="AT183" s="9"/>
    </row>
    <row r="184" spans="1:46" x14ac:dyDescent="0.25">
      <c r="G184" s="9"/>
      <c r="I184" s="9"/>
      <c r="J184" s="9"/>
      <c r="K184" s="9"/>
      <c r="L184" s="9"/>
      <c r="M184" s="16"/>
      <c r="N184" s="110"/>
      <c r="O184" s="16"/>
      <c r="P184" s="9"/>
      <c r="Q184" s="9"/>
      <c r="R184" s="9"/>
      <c r="T184" s="9"/>
      <c r="U184" s="9"/>
      <c r="V184" s="9"/>
      <c r="W184" s="9"/>
      <c r="X184" s="16"/>
      <c r="Y184" s="14"/>
      <c r="Z184" s="16"/>
      <c r="AA184" s="16"/>
      <c r="AB184" s="9"/>
      <c r="AP184" s="9"/>
      <c r="AQ184" s="9"/>
      <c r="AR184" s="16"/>
      <c r="AS184" s="9"/>
      <c r="AT184" s="9"/>
    </row>
    <row r="185" spans="1:46" x14ac:dyDescent="0.25">
      <c r="B185" t="s">
        <v>31</v>
      </c>
      <c r="G185" s="9"/>
      <c r="I185" s="9"/>
      <c r="J185" s="9">
        <f>J183+J179</f>
        <v>1646.2340000000002</v>
      </c>
      <c r="K185" s="9"/>
      <c r="L185" s="9"/>
      <c r="M185" s="16"/>
      <c r="N185" s="110"/>
      <c r="O185" s="16"/>
      <c r="P185" s="9"/>
      <c r="Q185" s="9"/>
      <c r="R185" s="9"/>
      <c r="T185" s="9"/>
      <c r="U185" s="9">
        <f>U183+U179</f>
        <v>1305.0490000000002</v>
      </c>
      <c r="V185" s="9"/>
      <c r="W185" s="9"/>
      <c r="X185" s="16"/>
      <c r="Y185" s="14"/>
      <c r="Z185" s="16"/>
      <c r="AA185" s="16"/>
      <c r="AB185" s="9"/>
      <c r="AP185" s="9"/>
      <c r="AQ185" s="9"/>
      <c r="AR185" s="16"/>
      <c r="AS185" s="9">
        <f>AS183+AS179</f>
        <v>3119.085</v>
      </c>
      <c r="AT185" s="9"/>
    </row>
    <row r="186" spans="1:46" x14ac:dyDescent="0.25">
      <c r="G186" s="9"/>
      <c r="I186" s="9"/>
      <c r="J186" s="9"/>
      <c r="K186" s="9"/>
      <c r="L186" s="9"/>
      <c r="M186" s="16"/>
      <c r="N186" s="110"/>
      <c r="O186" s="16"/>
      <c r="P186" s="9"/>
      <c r="Q186" s="9"/>
      <c r="R186" s="9"/>
      <c r="T186" s="9"/>
      <c r="U186" s="9"/>
      <c r="V186" s="9"/>
      <c r="W186" s="9"/>
      <c r="X186" s="16"/>
      <c r="Y186" s="14"/>
      <c r="Z186" s="16"/>
      <c r="AA186" s="16"/>
      <c r="AB186" s="9"/>
      <c r="AP186" s="9"/>
      <c r="AQ186" s="9"/>
      <c r="AR186" s="16"/>
      <c r="AS186" s="9"/>
      <c r="AT186" s="9"/>
    </row>
    <row r="187" spans="1:46" x14ac:dyDescent="0.25">
      <c r="A187" t="s">
        <v>34</v>
      </c>
      <c r="G187" s="9"/>
      <c r="I187" s="9"/>
      <c r="J187" s="188">
        <v>26.989000000000001</v>
      </c>
      <c r="K187" s="27"/>
      <c r="L187" s="27"/>
      <c r="M187" s="26"/>
      <c r="N187" s="114"/>
      <c r="O187" s="26"/>
      <c r="P187" s="9"/>
      <c r="Q187" s="9"/>
      <c r="R187" s="9"/>
      <c r="T187" s="9"/>
      <c r="U187" s="188">
        <v>18.788</v>
      </c>
      <c r="V187" s="27"/>
      <c r="W187" s="27"/>
      <c r="X187" s="26"/>
      <c r="Y187" s="74"/>
      <c r="Z187" s="26"/>
      <c r="AA187" s="26"/>
      <c r="AB187" s="9"/>
      <c r="AP187" s="9"/>
      <c r="AQ187" s="9"/>
      <c r="AR187" s="16"/>
      <c r="AS187" s="188">
        <f>'Corp I-S&amp;B-S'!C68</f>
        <v>57.485999999999997</v>
      </c>
      <c r="AT187" s="9"/>
    </row>
    <row r="188" spans="1:46" x14ac:dyDescent="0.25">
      <c r="B188" t="s">
        <v>35</v>
      </c>
      <c r="G188" s="9"/>
      <c r="I188" s="9"/>
      <c r="J188" s="9">
        <f>J185-J187</f>
        <v>1619.2450000000001</v>
      </c>
      <c r="K188" s="9"/>
      <c r="L188" s="9"/>
      <c r="M188" s="16"/>
      <c r="N188" s="110"/>
      <c r="O188" s="16"/>
      <c r="P188" s="9"/>
      <c r="Q188" s="9"/>
      <c r="R188" s="9"/>
      <c r="T188" s="9"/>
      <c r="U188" s="9">
        <f>U185-U187</f>
        <v>1286.2610000000002</v>
      </c>
      <c r="V188" s="9"/>
      <c r="W188" s="9"/>
      <c r="X188" s="16"/>
      <c r="Y188" s="14"/>
      <c r="Z188" s="16"/>
      <c r="AA188" s="16"/>
      <c r="AB188" s="9"/>
      <c r="AP188" s="9"/>
      <c r="AQ188" s="9"/>
      <c r="AR188" s="16"/>
      <c r="AS188" s="9">
        <f>'Corp I-S&amp;B-S'!C71</f>
        <v>3549.5990000000002</v>
      </c>
      <c r="AT188" s="9"/>
    </row>
    <row r="189" spans="1:46" x14ac:dyDescent="0.25">
      <c r="G189" s="9"/>
      <c r="I189" s="9"/>
      <c r="J189" s="9"/>
      <c r="K189" s="9"/>
      <c r="L189" s="9"/>
      <c r="M189" s="16"/>
      <c r="N189" s="110"/>
      <c r="O189" s="16"/>
      <c r="P189" s="9"/>
      <c r="Q189" s="9"/>
      <c r="R189" s="9"/>
      <c r="S189" s="9"/>
      <c r="T189" s="9"/>
      <c r="U189" s="9"/>
      <c r="V189" s="9"/>
      <c r="W189" s="9"/>
      <c r="X189" s="16"/>
      <c r="Y189" s="14"/>
      <c r="Z189" s="16"/>
      <c r="AA189" s="16"/>
      <c r="AB189" s="9"/>
      <c r="AP189" s="9"/>
      <c r="AQ189" s="9"/>
      <c r="AR189" s="16"/>
      <c r="AS189" s="9"/>
      <c r="AT189" s="9"/>
    </row>
    <row r="190" spans="1:46" x14ac:dyDescent="0.25">
      <c r="A190" s="1" t="s">
        <v>36</v>
      </c>
      <c r="G190" s="9"/>
      <c r="I190" s="9"/>
      <c r="J190" s="19">
        <f>J191*J194</f>
        <v>3890.6000000000004</v>
      </c>
      <c r="K190" s="9"/>
      <c r="L190" s="9"/>
      <c r="M190" s="16"/>
      <c r="N190" s="110"/>
      <c r="O190" s="16"/>
      <c r="P190" s="9"/>
      <c r="Q190" s="9"/>
      <c r="R190" s="9"/>
      <c r="S190" s="9"/>
      <c r="T190" s="9"/>
      <c r="U190" s="19">
        <f>U191*U194</f>
        <v>3890.6000000000004</v>
      </c>
      <c r="V190" s="9"/>
      <c r="W190" s="9"/>
      <c r="X190" s="16"/>
      <c r="Y190" s="14"/>
      <c r="Z190" s="16"/>
      <c r="AA190" s="16"/>
      <c r="AB190" s="9"/>
      <c r="AP190" s="9"/>
      <c r="AQ190" s="9"/>
      <c r="AR190" s="16"/>
      <c r="AS190" s="19">
        <f>AS191*AS194</f>
        <v>4565.5</v>
      </c>
    </row>
    <row r="191" spans="1:46" x14ac:dyDescent="0.25">
      <c r="A191" t="s">
        <v>38</v>
      </c>
      <c r="G191" s="9"/>
      <c r="I191" s="9"/>
      <c r="J191" s="98">
        <v>158.80000000000001</v>
      </c>
      <c r="K191" s="9"/>
      <c r="L191" s="9"/>
      <c r="M191" s="16"/>
      <c r="N191" s="110"/>
      <c r="O191" s="16"/>
      <c r="P191" s="9"/>
      <c r="Q191" s="9"/>
      <c r="R191" s="9"/>
      <c r="S191" s="9"/>
      <c r="T191" s="9"/>
      <c r="U191" s="98">
        <v>158.80000000000001</v>
      </c>
      <c r="V191" s="9"/>
      <c r="W191" s="9"/>
      <c r="X191" s="16"/>
      <c r="Y191" s="14"/>
      <c r="Z191" s="16"/>
      <c r="AA191" s="16"/>
      <c r="AB191" s="9"/>
      <c r="AP191" s="9"/>
      <c r="AQ191" s="9"/>
      <c r="AR191" s="16"/>
      <c r="AS191" s="98">
        <v>158.80000000000001</v>
      </c>
    </row>
    <row r="192" spans="1:46" x14ac:dyDescent="0.25">
      <c r="A192" t="s">
        <v>39</v>
      </c>
      <c r="G192" s="9"/>
      <c r="I192" s="9"/>
      <c r="J192" s="11"/>
      <c r="K192" s="9"/>
      <c r="L192" s="9"/>
      <c r="M192" s="16"/>
      <c r="N192" s="110"/>
      <c r="O192" s="16"/>
      <c r="P192" s="9"/>
      <c r="Q192" s="9"/>
      <c r="R192" s="9"/>
      <c r="S192" s="9"/>
      <c r="T192" s="9"/>
      <c r="U192" s="11"/>
      <c r="V192" s="9"/>
      <c r="W192" s="9"/>
      <c r="X192" s="16"/>
      <c r="Y192" s="14"/>
      <c r="Z192" s="16"/>
      <c r="AA192" s="16"/>
      <c r="AB192" s="9"/>
      <c r="AP192" s="9"/>
      <c r="AQ192" s="9"/>
      <c r="AR192" s="16"/>
      <c r="AS192" s="11"/>
    </row>
    <row r="193" spans="1:45" x14ac:dyDescent="0.25">
      <c r="G193" s="9"/>
      <c r="I193" s="9"/>
      <c r="J193" s="11"/>
      <c r="K193" s="9"/>
      <c r="L193" s="9"/>
      <c r="M193" s="16"/>
      <c r="N193" s="110"/>
      <c r="O193" s="16"/>
      <c r="P193" s="9"/>
      <c r="Q193" s="9"/>
      <c r="R193" s="9"/>
      <c r="S193" s="9"/>
      <c r="T193" s="9"/>
      <c r="U193" s="11"/>
      <c r="V193" s="9"/>
      <c r="W193" s="9"/>
      <c r="X193" s="16"/>
      <c r="Y193" s="14"/>
      <c r="Z193" s="16"/>
      <c r="AA193" s="16"/>
      <c r="AB193" s="9"/>
      <c r="AP193" s="9"/>
      <c r="AQ193" s="9"/>
      <c r="AR193" s="16"/>
      <c r="AS193" s="11"/>
    </row>
    <row r="194" spans="1:45" x14ac:dyDescent="0.25">
      <c r="A194" t="s">
        <v>40</v>
      </c>
      <c r="G194" s="9"/>
      <c r="I194" s="9"/>
      <c r="J194" s="98">
        <v>24.5</v>
      </c>
      <c r="K194" s="9"/>
      <c r="L194" s="9"/>
      <c r="M194" s="16"/>
      <c r="N194" s="110"/>
      <c r="O194" s="16"/>
      <c r="P194" s="9"/>
      <c r="Q194" s="9"/>
      <c r="R194" s="9"/>
      <c r="S194" s="9"/>
      <c r="T194" s="9"/>
      <c r="U194" s="98">
        <f>J194</f>
        <v>24.5</v>
      </c>
      <c r="V194" s="9"/>
      <c r="W194" s="9"/>
      <c r="X194" s="16"/>
      <c r="Y194" s="14"/>
      <c r="Z194" s="16"/>
      <c r="AA194" s="16"/>
      <c r="AB194" s="9"/>
      <c r="AP194" s="9"/>
      <c r="AQ194" s="9"/>
      <c r="AR194" s="16"/>
      <c r="AS194" s="98">
        <v>28.75</v>
      </c>
    </row>
    <row r="195" spans="1:45" x14ac:dyDescent="0.25">
      <c r="A195" t="s">
        <v>41</v>
      </c>
      <c r="G195" s="9"/>
      <c r="I195" s="9"/>
      <c r="J195" s="11"/>
      <c r="K195" s="9"/>
      <c r="L195" s="9"/>
      <c r="M195" s="16"/>
      <c r="N195" s="105"/>
      <c r="O195" s="16"/>
      <c r="P195" s="9"/>
      <c r="Q195" s="9"/>
      <c r="R195" s="9"/>
      <c r="S195" s="9"/>
      <c r="T195" s="9"/>
      <c r="U195" s="11"/>
      <c r="V195" s="9"/>
      <c r="W195" s="9"/>
      <c r="X195" s="16"/>
      <c r="Y195" s="14"/>
      <c r="Z195" s="16"/>
      <c r="AA195" s="16"/>
      <c r="AB195" s="9"/>
      <c r="AP195" s="9"/>
      <c r="AQ195" s="9"/>
      <c r="AR195" s="16"/>
      <c r="AS195" s="11"/>
    </row>
    <row r="196" spans="1:45" x14ac:dyDescent="0.25">
      <c r="J196" s="11"/>
      <c r="N196" s="116"/>
      <c r="U196" s="11"/>
      <c r="Y196" s="102"/>
      <c r="AS196" s="11"/>
    </row>
    <row r="197" spans="1:45" x14ac:dyDescent="0.25">
      <c r="A197" t="s">
        <v>42</v>
      </c>
      <c r="J197" s="72">
        <f>J190+J188</f>
        <v>5509.8450000000003</v>
      </c>
      <c r="N197" s="116"/>
      <c r="U197" s="72">
        <f>U190+U188</f>
        <v>5176.8610000000008</v>
      </c>
      <c r="Y197" s="102"/>
      <c r="AS197" s="72">
        <f>AS190+AS188</f>
        <v>8115.0990000000002</v>
      </c>
    </row>
    <row r="198" spans="1:45" x14ac:dyDescent="0.25">
      <c r="A198" t="s">
        <v>63</v>
      </c>
      <c r="N198" s="1"/>
      <c r="Y198" s="102"/>
    </row>
    <row r="199" spans="1:45" x14ac:dyDescent="0.25">
      <c r="Y199" s="102"/>
    </row>
    <row r="200" spans="1:45" x14ac:dyDescent="0.25">
      <c r="F200" t="s">
        <v>150</v>
      </c>
      <c r="Y200" s="102"/>
    </row>
    <row r="201" spans="1:45" x14ac:dyDescent="0.25">
      <c r="F201" t="s">
        <v>151</v>
      </c>
      <c r="Y201" s="102"/>
    </row>
    <row r="202" spans="1:45" x14ac:dyDescent="0.25">
      <c r="Y202" s="102"/>
    </row>
    <row r="203" spans="1:45" x14ac:dyDescent="0.25">
      <c r="Y203" s="102"/>
    </row>
    <row r="204" spans="1:45" x14ac:dyDescent="0.25">
      <c r="Y204" s="102"/>
    </row>
    <row r="205" spans="1:45" x14ac:dyDescent="0.25">
      <c r="Y205" s="102"/>
    </row>
    <row r="206" spans="1:45" x14ac:dyDescent="0.25">
      <c r="Y206" s="102"/>
    </row>
    <row r="207" spans="1:45" x14ac:dyDescent="0.25">
      <c r="G207" s="9"/>
      <c r="H207" s="9"/>
      <c r="I207" s="9"/>
      <c r="J207" s="9"/>
      <c r="K207" s="9"/>
      <c r="L207" s="9"/>
      <c r="M207" s="16"/>
      <c r="N207" s="16"/>
      <c r="O207" s="16"/>
      <c r="P207" s="9"/>
      <c r="Q207" s="9"/>
      <c r="R207" s="9"/>
      <c r="S207" s="9"/>
      <c r="T207" s="9"/>
      <c r="U207" s="9"/>
      <c r="V207" s="9"/>
      <c r="W207" s="9"/>
      <c r="X207" s="16"/>
      <c r="Y207" s="14"/>
      <c r="Z207" s="16"/>
      <c r="AA207" s="16"/>
      <c r="AB207" s="9"/>
      <c r="AP207" s="9"/>
      <c r="AQ207" s="9"/>
      <c r="AR207" s="16"/>
      <c r="AS207" s="9"/>
    </row>
    <row r="208" spans="1:45" x14ac:dyDescent="0.25">
      <c r="G208" s="9"/>
      <c r="H208" s="9"/>
      <c r="I208" s="9"/>
      <c r="J208" s="9"/>
      <c r="K208" s="9"/>
      <c r="L208" s="9"/>
      <c r="M208" s="16"/>
      <c r="N208" s="16"/>
      <c r="O208" s="16"/>
      <c r="P208" s="9"/>
      <c r="Q208" s="9"/>
      <c r="R208" s="9"/>
      <c r="S208" s="9"/>
      <c r="T208" s="9"/>
      <c r="U208" s="9"/>
      <c r="V208" s="9"/>
      <c r="W208" s="9"/>
      <c r="X208" s="16"/>
      <c r="Y208" s="14"/>
      <c r="Z208" s="16"/>
      <c r="AA208" s="16"/>
      <c r="AB208" s="9"/>
      <c r="AP208" s="9"/>
      <c r="AQ208" s="9"/>
      <c r="AR208" s="16"/>
      <c r="AS208" s="9"/>
    </row>
    <row r="209" spans="7:45" x14ac:dyDescent="0.25">
      <c r="G209" s="9"/>
      <c r="H209" s="9"/>
      <c r="I209" s="9"/>
      <c r="J209" s="9"/>
      <c r="K209" s="9"/>
      <c r="L209" s="9"/>
      <c r="M209" s="16"/>
      <c r="N209" s="16"/>
      <c r="O209" s="16"/>
      <c r="P209" s="9"/>
      <c r="Q209" s="9"/>
      <c r="R209" s="9"/>
      <c r="S209" s="9"/>
      <c r="T209" s="9"/>
      <c r="U209" s="9"/>
      <c r="V209" s="9"/>
      <c r="W209" s="9"/>
      <c r="X209" s="16"/>
      <c r="Y209" s="14"/>
      <c r="Z209" s="16"/>
      <c r="AA209" s="16"/>
      <c r="AB209" s="9"/>
      <c r="AP209" s="9"/>
      <c r="AQ209" s="9"/>
      <c r="AR209" s="16"/>
      <c r="AS209" s="9"/>
    </row>
    <row r="210" spans="7:45" x14ac:dyDescent="0.25">
      <c r="G210" s="9"/>
      <c r="H210" s="9"/>
      <c r="I210" s="9"/>
      <c r="J210" s="9"/>
      <c r="K210" s="9"/>
      <c r="L210" s="9"/>
      <c r="M210" s="16"/>
      <c r="N210" s="16"/>
      <c r="O210" s="16"/>
      <c r="P210" s="9"/>
      <c r="Q210" s="9"/>
      <c r="R210" s="9"/>
      <c r="S210" s="9"/>
      <c r="T210" s="9"/>
      <c r="U210" s="9"/>
      <c r="V210" s="9"/>
      <c r="W210" s="9"/>
      <c r="X210" s="16"/>
      <c r="Y210" s="14"/>
      <c r="Z210" s="16"/>
      <c r="AA210" s="16"/>
      <c r="AB210" s="9"/>
      <c r="AP210" s="9"/>
      <c r="AQ210" s="9"/>
      <c r="AR210" s="16"/>
      <c r="AS210" s="9"/>
    </row>
    <row r="211" spans="7:45" x14ac:dyDescent="0.25">
      <c r="G211" s="9"/>
      <c r="H211" s="9"/>
      <c r="I211" s="9"/>
      <c r="J211" s="9"/>
      <c r="K211" s="9"/>
      <c r="L211" s="9"/>
      <c r="M211" s="16"/>
      <c r="N211" s="16"/>
      <c r="O211" s="16"/>
      <c r="P211" s="9"/>
      <c r="Q211" s="9"/>
      <c r="R211" s="9"/>
      <c r="S211" s="9"/>
      <c r="T211" s="9"/>
      <c r="U211" s="9"/>
      <c r="V211" s="9"/>
      <c r="W211" s="9"/>
      <c r="X211" s="16"/>
      <c r="Y211" s="14"/>
      <c r="Z211" s="16"/>
      <c r="AA211" s="16"/>
      <c r="AB211" s="9"/>
      <c r="AP211" s="9"/>
      <c r="AQ211" s="9"/>
      <c r="AR211" s="16"/>
      <c r="AS211" s="9"/>
    </row>
    <row r="212" spans="7:45" x14ac:dyDescent="0.25">
      <c r="G212" s="9"/>
      <c r="H212" s="9"/>
      <c r="I212" s="9"/>
      <c r="J212" s="9"/>
      <c r="K212" s="9"/>
      <c r="L212" s="9"/>
      <c r="M212" s="16"/>
      <c r="N212" s="16"/>
      <c r="O212" s="16"/>
      <c r="P212" s="9"/>
      <c r="Q212" s="9"/>
      <c r="R212" s="9"/>
      <c r="S212" s="9"/>
      <c r="T212" s="9"/>
      <c r="U212" s="9"/>
      <c r="V212" s="9"/>
      <c r="W212" s="9"/>
      <c r="X212" s="16"/>
      <c r="Y212" s="14"/>
      <c r="Z212" s="16"/>
      <c r="AA212" s="16"/>
      <c r="AB212" s="9"/>
      <c r="AP212" s="9"/>
      <c r="AQ212" s="9"/>
      <c r="AR212" s="16"/>
      <c r="AS212" s="9"/>
    </row>
    <row r="213" spans="7:45" x14ac:dyDescent="0.25">
      <c r="G213" s="9"/>
      <c r="H213" s="9"/>
      <c r="I213" s="9"/>
      <c r="J213" s="9"/>
      <c r="K213" s="9"/>
      <c r="L213" s="9"/>
      <c r="M213" s="16"/>
      <c r="N213" s="16"/>
      <c r="O213" s="16"/>
      <c r="P213" s="9"/>
      <c r="Q213" s="9"/>
      <c r="R213" s="9"/>
      <c r="S213" s="9"/>
      <c r="T213" s="9"/>
      <c r="U213" s="9"/>
      <c r="V213" s="9"/>
      <c r="W213" s="9"/>
      <c r="X213" s="16"/>
      <c r="Y213" s="14"/>
      <c r="Z213" s="16"/>
      <c r="AA213" s="16"/>
      <c r="AB213" s="9"/>
      <c r="AP213" s="9"/>
      <c r="AQ213" s="9"/>
      <c r="AR213" s="16"/>
      <c r="AS213" s="9"/>
    </row>
    <row r="214" spans="7:45" x14ac:dyDescent="0.25">
      <c r="G214" s="9"/>
      <c r="H214" s="9"/>
      <c r="I214" s="9"/>
      <c r="J214" s="9"/>
      <c r="K214" s="9"/>
      <c r="L214" s="9"/>
      <c r="M214" s="16"/>
      <c r="N214" s="16"/>
      <c r="O214" s="16"/>
      <c r="P214" s="9"/>
      <c r="Q214" s="9"/>
      <c r="R214" s="9"/>
      <c r="S214" s="9"/>
      <c r="T214" s="9"/>
      <c r="U214" s="9"/>
      <c r="V214" s="9"/>
      <c r="W214" s="9"/>
      <c r="X214" s="16"/>
      <c r="Y214" s="14"/>
      <c r="Z214" s="16"/>
      <c r="AA214" s="16"/>
      <c r="AB214" s="9"/>
      <c r="AP214" s="9"/>
      <c r="AQ214" s="9"/>
      <c r="AR214" s="16"/>
      <c r="AS214" s="9"/>
    </row>
    <row r="215" spans="7:45" x14ac:dyDescent="0.25">
      <c r="G215" s="9"/>
      <c r="H215" s="9"/>
      <c r="I215" s="9"/>
      <c r="J215" s="9"/>
      <c r="K215" s="9"/>
      <c r="L215" s="9"/>
      <c r="M215" s="16"/>
      <c r="N215" s="16"/>
      <c r="O215" s="16"/>
      <c r="P215" s="9"/>
      <c r="Q215" s="9"/>
      <c r="R215" s="9"/>
      <c r="S215" s="9"/>
      <c r="T215" s="9"/>
      <c r="U215" s="9"/>
      <c r="V215" s="9"/>
      <c r="W215" s="9"/>
      <c r="X215" s="16"/>
      <c r="Y215" s="14"/>
      <c r="Z215" s="16"/>
      <c r="AA215" s="16"/>
      <c r="AB215" s="9"/>
      <c r="AP215" s="9"/>
      <c r="AQ215" s="9"/>
      <c r="AR215" s="16"/>
      <c r="AS215" s="9"/>
    </row>
    <row r="216" spans="7:45" x14ac:dyDescent="0.25">
      <c r="G216" s="9"/>
      <c r="H216" s="9"/>
      <c r="I216" s="9"/>
      <c r="J216" s="9"/>
      <c r="K216" s="9"/>
      <c r="L216" s="9"/>
      <c r="M216" s="16"/>
      <c r="N216" s="16"/>
      <c r="O216" s="16"/>
      <c r="P216" s="9"/>
      <c r="Q216" s="9"/>
      <c r="R216" s="9"/>
      <c r="S216" s="9"/>
      <c r="T216" s="9"/>
      <c r="U216" s="9"/>
      <c r="V216" s="9"/>
      <c r="W216" s="9"/>
      <c r="X216" s="16"/>
      <c r="Y216" s="14"/>
      <c r="Z216" s="16"/>
      <c r="AA216" s="16"/>
      <c r="AB216" s="9"/>
      <c r="AP216" s="9"/>
      <c r="AQ216" s="9"/>
      <c r="AR216" s="16"/>
      <c r="AS216" s="9"/>
    </row>
    <row r="217" spans="7:45" x14ac:dyDescent="0.25">
      <c r="G217" s="9"/>
      <c r="H217" s="9"/>
      <c r="I217" s="9"/>
      <c r="J217" s="9"/>
      <c r="K217" s="9"/>
      <c r="L217" s="9"/>
      <c r="M217" s="16"/>
      <c r="N217" s="16"/>
      <c r="O217" s="16"/>
      <c r="P217" s="9"/>
      <c r="Q217" s="9"/>
      <c r="R217" s="9"/>
      <c r="S217" s="9"/>
      <c r="T217" s="9"/>
      <c r="U217" s="9"/>
      <c r="V217" s="9"/>
      <c r="W217" s="9"/>
      <c r="X217" s="16"/>
      <c r="Y217" s="14"/>
      <c r="Z217" s="16"/>
      <c r="AA217" s="16"/>
      <c r="AB217" s="9"/>
      <c r="AP217" s="9"/>
      <c r="AQ217" s="9"/>
      <c r="AR217" s="16"/>
      <c r="AS217" s="9"/>
    </row>
    <row r="218" spans="7:45" x14ac:dyDescent="0.25">
      <c r="G218" s="9"/>
      <c r="H218" s="9"/>
      <c r="I218" s="9"/>
      <c r="J218" s="9"/>
      <c r="K218" s="9"/>
      <c r="L218" s="9"/>
      <c r="M218" s="16"/>
      <c r="N218" s="16"/>
      <c r="O218" s="16"/>
      <c r="P218" s="9"/>
      <c r="Q218" s="9"/>
      <c r="R218" s="9"/>
      <c r="S218" s="9"/>
      <c r="T218" s="9"/>
      <c r="U218" s="9"/>
      <c r="V218" s="9"/>
      <c r="W218" s="9"/>
      <c r="X218" s="16"/>
      <c r="Y218" s="14"/>
      <c r="Z218" s="16"/>
      <c r="AA218" s="16"/>
      <c r="AB218" s="9"/>
      <c r="AP218" s="9"/>
      <c r="AQ218" s="9"/>
      <c r="AR218" s="16"/>
      <c r="AS218" s="9"/>
    </row>
    <row r="219" spans="7:45" x14ac:dyDescent="0.25">
      <c r="G219" s="9"/>
      <c r="H219" s="9"/>
      <c r="I219" s="9"/>
      <c r="J219" s="9"/>
      <c r="K219" s="9"/>
      <c r="L219" s="9"/>
      <c r="M219" s="16"/>
      <c r="N219" s="16"/>
      <c r="O219" s="16"/>
      <c r="P219" s="9"/>
      <c r="Q219" s="9"/>
      <c r="R219" s="9"/>
      <c r="S219" s="9"/>
      <c r="T219" s="9"/>
      <c r="U219" s="9"/>
      <c r="V219" s="9"/>
      <c r="W219" s="9"/>
      <c r="X219" s="16"/>
      <c r="Y219" s="14"/>
      <c r="Z219" s="16"/>
      <c r="AA219" s="16"/>
      <c r="AB219" s="9"/>
      <c r="AP219" s="9"/>
      <c r="AQ219" s="9"/>
      <c r="AR219" s="16"/>
      <c r="AS219" s="9"/>
    </row>
    <row r="220" spans="7:45" x14ac:dyDescent="0.25">
      <c r="G220" s="9"/>
      <c r="H220" s="9"/>
      <c r="I220" s="9"/>
      <c r="J220" s="9"/>
      <c r="K220" s="9"/>
      <c r="L220" s="9"/>
      <c r="M220" s="16"/>
      <c r="N220" s="16"/>
      <c r="O220" s="16"/>
      <c r="P220" s="9"/>
      <c r="Q220" s="9"/>
      <c r="R220" s="9"/>
      <c r="S220" s="9"/>
      <c r="T220" s="9"/>
      <c r="U220" s="9"/>
      <c r="V220" s="9"/>
      <c r="W220" s="9"/>
      <c r="X220" s="16"/>
      <c r="Y220" s="14"/>
      <c r="Z220" s="16"/>
      <c r="AA220" s="16"/>
      <c r="AB220" s="9"/>
      <c r="AP220" s="9"/>
      <c r="AQ220" s="9"/>
      <c r="AR220" s="16"/>
      <c r="AS220" s="9"/>
    </row>
    <row r="221" spans="7:45" x14ac:dyDescent="0.25">
      <c r="G221" s="9"/>
      <c r="H221" s="9"/>
      <c r="I221" s="9"/>
      <c r="J221" s="9"/>
      <c r="K221" s="9"/>
      <c r="L221" s="9"/>
      <c r="M221" s="16"/>
      <c r="N221" s="16"/>
      <c r="O221" s="16"/>
      <c r="P221" s="9"/>
      <c r="Q221" s="9"/>
      <c r="R221" s="9"/>
      <c r="S221" s="9"/>
      <c r="T221" s="9"/>
      <c r="U221" s="9"/>
      <c r="V221" s="9"/>
      <c r="W221" s="9"/>
      <c r="X221" s="16"/>
      <c r="Y221" s="14"/>
      <c r="Z221" s="16"/>
      <c r="AA221" s="16"/>
      <c r="AB221" s="9"/>
      <c r="AP221" s="9"/>
      <c r="AQ221" s="9"/>
      <c r="AR221" s="16"/>
      <c r="AS221" s="9"/>
    </row>
    <row r="222" spans="7:45" x14ac:dyDescent="0.25">
      <c r="G222" s="9"/>
      <c r="H222" s="9"/>
      <c r="I222" s="9"/>
      <c r="J222" s="9"/>
      <c r="K222" s="9"/>
      <c r="L222" s="9"/>
      <c r="M222" s="16"/>
      <c r="N222" s="16"/>
      <c r="O222" s="16"/>
      <c r="P222" s="9"/>
      <c r="Q222" s="9"/>
      <c r="R222" s="9"/>
      <c r="S222" s="9"/>
      <c r="T222" s="9"/>
      <c r="U222" s="9"/>
      <c r="V222" s="9"/>
      <c r="W222" s="9"/>
      <c r="X222" s="16"/>
      <c r="Y222" s="14"/>
      <c r="Z222" s="16"/>
      <c r="AA222" s="16"/>
      <c r="AB222" s="9"/>
      <c r="AP222" s="9"/>
      <c r="AQ222" s="9"/>
      <c r="AR222" s="16"/>
      <c r="AS222" s="9"/>
    </row>
    <row r="223" spans="7:45" x14ac:dyDescent="0.25">
      <c r="G223" s="9"/>
      <c r="H223" s="9"/>
      <c r="I223" s="9"/>
      <c r="J223" s="9"/>
      <c r="K223" s="9"/>
      <c r="L223" s="9"/>
      <c r="M223" s="16"/>
      <c r="N223" s="16"/>
      <c r="O223" s="16"/>
      <c r="P223" s="9"/>
      <c r="Q223" s="9"/>
      <c r="R223" s="9"/>
      <c r="S223" s="9"/>
      <c r="T223" s="9"/>
      <c r="U223" s="9"/>
      <c r="V223" s="9"/>
      <c r="W223" s="9"/>
      <c r="X223" s="16"/>
      <c r="Y223" s="14"/>
      <c r="Z223" s="16"/>
      <c r="AA223" s="16"/>
      <c r="AB223" s="9"/>
      <c r="AP223" s="9"/>
      <c r="AQ223" s="9"/>
      <c r="AR223" s="16"/>
      <c r="AS223" s="9"/>
    </row>
    <row r="224" spans="7:45" x14ac:dyDescent="0.25">
      <c r="G224" s="9"/>
      <c r="H224" s="9"/>
      <c r="I224" s="9"/>
      <c r="J224" s="9"/>
      <c r="K224" s="9"/>
      <c r="L224" s="9"/>
      <c r="M224" s="16"/>
      <c r="N224" s="16"/>
      <c r="O224" s="16"/>
      <c r="P224" s="9"/>
      <c r="Q224" s="9"/>
      <c r="R224" s="9"/>
      <c r="S224" s="9"/>
      <c r="T224" s="9"/>
      <c r="U224" s="9"/>
      <c r="V224" s="9"/>
      <c r="W224" s="9"/>
      <c r="X224" s="16"/>
      <c r="Y224" s="14"/>
      <c r="Z224" s="16"/>
      <c r="AA224" s="16"/>
      <c r="AB224" s="9"/>
      <c r="AP224" s="9"/>
      <c r="AQ224" s="9"/>
      <c r="AR224" s="16"/>
      <c r="AS224" s="9"/>
    </row>
    <row r="225" spans="7:45" x14ac:dyDescent="0.25">
      <c r="G225" s="9"/>
      <c r="H225" s="9"/>
      <c r="I225" s="9"/>
      <c r="J225" s="9"/>
      <c r="K225" s="9"/>
      <c r="L225" s="9"/>
      <c r="M225" s="16"/>
      <c r="N225" s="16"/>
      <c r="O225" s="16"/>
      <c r="P225" s="9"/>
      <c r="Q225" s="9"/>
      <c r="R225" s="9"/>
      <c r="S225" s="9"/>
      <c r="T225" s="9"/>
      <c r="U225" s="9"/>
      <c r="V225" s="9"/>
      <c r="W225" s="9"/>
      <c r="X225" s="16"/>
      <c r="Y225" s="14"/>
      <c r="Z225" s="16"/>
      <c r="AA225" s="16"/>
      <c r="AB225" s="9"/>
      <c r="AP225" s="9"/>
      <c r="AQ225" s="9"/>
      <c r="AR225" s="16"/>
      <c r="AS225" s="9"/>
    </row>
    <row r="226" spans="7:45" x14ac:dyDescent="0.25">
      <c r="G226" s="9"/>
      <c r="H226" s="9"/>
      <c r="I226" s="9"/>
      <c r="J226" s="9"/>
      <c r="K226" s="9"/>
      <c r="L226" s="9"/>
      <c r="M226" s="16"/>
      <c r="N226" s="16"/>
      <c r="O226" s="16"/>
      <c r="P226" s="9"/>
      <c r="Q226" s="9"/>
      <c r="R226" s="9"/>
      <c r="S226" s="9"/>
      <c r="T226" s="9"/>
      <c r="U226" s="9"/>
      <c r="V226" s="9"/>
      <c r="W226" s="9"/>
      <c r="X226" s="16"/>
      <c r="Y226" s="14"/>
      <c r="Z226" s="16"/>
      <c r="AA226" s="16"/>
      <c r="AB226" s="9"/>
      <c r="AP226" s="9"/>
      <c r="AQ226" s="9"/>
      <c r="AR226" s="16"/>
      <c r="AS226" s="9"/>
    </row>
    <row r="227" spans="7:45" x14ac:dyDescent="0.25">
      <c r="G227" s="9"/>
      <c r="H227" s="9"/>
      <c r="I227" s="9"/>
      <c r="J227" s="9"/>
      <c r="K227" s="9"/>
      <c r="L227" s="9"/>
      <c r="M227" s="16"/>
      <c r="N227" s="16"/>
      <c r="O227" s="16"/>
      <c r="P227" s="9"/>
      <c r="Q227" s="9"/>
      <c r="R227" s="9"/>
      <c r="S227" s="9"/>
      <c r="T227" s="9"/>
      <c r="U227" s="9"/>
      <c r="V227" s="9"/>
      <c r="W227" s="9"/>
      <c r="X227" s="16"/>
      <c r="Y227" s="14"/>
      <c r="Z227" s="16"/>
      <c r="AA227" s="16"/>
      <c r="AB227" s="9"/>
      <c r="AP227" s="9"/>
      <c r="AQ227" s="9"/>
      <c r="AR227" s="16"/>
      <c r="AS227" s="9"/>
    </row>
    <row r="228" spans="7:45" x14ac:dyDescent="0.25">
      <c r="G228" s="9"/>
      <c r="H228" s="9"/>
      <c r="I228" s="9"/>
      <c r="J228" s="9"/>
      <c r="K228" s="9"/>
      <c r="L228" s="9"/>
      <c r="M228" s="16"/>
      <c r="N228" s="16"/>
      <c r="O228" s="16"/>
      <c r="P228" s="9"/>
      <c r="Q228" s="9"/>
      <c r="R228" s="9"/>
      <c r="S228" s="9"/>
      <c r="T228" s="9"/>
      <c r="U228" s="9"/>
      <c r="V228" s="9"/>
      <c r="W228" s="9"/>
      <c r="X228" s="16"/>
      <c r="Y228" s="14"/>
      <c r="Z228" s="16"/>
      <c r="AA228" s="16"/>
      <c r="AB228" s="9"/>
      <c r="AP228" s="9"/>
      <c r="AQ228" s="9"/>
      <c r="AR228" s="16"/>
      <c r="AS228" s="9"/>
    </row>
    <row r="229" spans="7:45" x14ac:dyDescent="0.25">
      <c r="G229" s="9"/>
      <c r="H229" s="9"/>
      <c r="I229" s="9"/>
      <c r="J229" s="9"/>
      <c r="K229" s="9"/>
      <c r="L229" s="9"/>
      <c r="M229" s="16"/>
      <c r="N229" s="16"/>
      <c r="O229" s="16"/>
      <c r="P229" s="9"/>
      <c r="Q229" s="9"/>
      <c r="R229" s="9"/>
      <c r="S229" s="9"/>
      <c r="T229" s="9"/>
      <c r="U229" s="9"/>
      <c r="V229" s="9"/>
      <c r="W229" s="9"/>
      <c r="X229" s="16"/>
      <c r="Y229" s="14"/>
      <c r="Z229" s="16"/>
      <c r="AA229" s="16"/>
      <c r="AB229" s="9"/>
      <c r="AP229" s="9"/>
      <c r="AQ229" s="9"/>
      <c r="AR229" s="16"/>
      <c r="AS229" s="9"/>
    </row>
    <row r="230" spans="7:45" x14ac:dyDescent="0.25">
      <c r="G230" s="9"/>
      <c r="H230" s="9"/>
      <c r="I230" s="9"/>
      <c r="J230" s="9"/>
      <c r="K230" s="9"/>
      <c r="L230" s="9"/>
      <c r="M230" s="16"/>
      <c r="N230" s="16"/>
      <c r="O230" s="16"/>
      <c r="P230" s="9"/>
      <c r="Q230" s="9"/>
      <c r="R230" s="9"/>
      <c r="S230" s="9"/>
      <c r="T230" s="9"/>
      <c r="U230" s="9"/>
      <c r="V230" s="9"/>
      <c r="W230" s="9"/>
      <c r="X230" s="16"/>
      <c r="Y230" s="14"/>
      <c r="Z230" s="16"/>
      <c r="AA230" s="16"/>
      <c r="AB230" s="9"/>
      <c r="AP230" s="9"/>
      <c r="AQ230" s="9"/>
      <c r="AR230" s="16"/>
      <c r="AS230" s="9"/>
    </row>
    <row r="231" spans="7:45" x14ac:dyDescent="0.25">
      <c r="G231" s="9"/>
      <c r="H231" s="9"/>
      <c r="I231" s="9"/>
      <c r="J231" s="9"/>
      <c r="K231" s="9"/>
      <c r="L231" s="9"/>
      <c r="M231" s="16"/>
      <c r="N231" s="16"/>
      <c r="O231" s="16"/>
      <c r="P231" s="9"/>
      <c r="Q231" s="9"/>
      <c r="R231" s="9"/>
      <c r="S231" s="9"/>
      <c r="T231" s="9"/>
      <c r="U231" s="9"/>
      <c r="V231" s="9"/>
      <c r="W231" s="9"/>
      <c r="X231" s="16"/>
      <c r="Y231" s="14"/>
      <c r="Z231" s="16"/>
      <c r="AA231" s="16"/>
      <c r="AB231" s="9"/>
      <c r="AP231" s="9"/>
      <c r="AQ231" s="9"/>
      <c r="AR231" s="16"/>
      <c r="AS231" s="9"/>
    </row>
    <row r="232" spans="7:45" x14ac:dyDescent="0.25">
      <c r="G232" s="9"/>
      <c r="H232" s="9"/>
      <c r="I232" s="9"/>
      <c r="J232" s="9"/>
      <c r="K232" s="9"/>
      <c r="L232" s="9"/>
      <c r="M232" s="16"/>
      <c r="N232" s="16"/>
      <c r="O232" s="16"/>
      <c r="P232" s="9"/>
      <c r="Q232" s="9"/>
      <c r="R232" s="9"/>
      <c r="S232" s="9"/>
      <c r="T232" s="9"/>
      <c r="U232" s="9"/>
      <c r="V232" s="9"/>
      <c r="W232" s="9"/>
      <c r="X232" s="16"/>
      <c r="Y232" s="14"/>
      <c r="Z232" s="16"/>
      <c r="AA232" s="16"/>
      <c r="AB232" s="9"/>
      <c r="AP232" s="9"/>
      <c r="AQ232" s="9"/>
      <c r="AR232" s="16"/>
      <c r="AS232" s="9"/>
    </row>
    <row r="233" spans="7:45" x14ac:dyDescent="0.25">
      <c r="G233" s="9"/>
      <c r="H233" s="9"/>
      <c r="I233" s="9"/>
      <c r="J233" s="9"/>
      <c r="K233" s="9"/>
      <c r="L233" s="9"/>
      <c r="M233" s="16"/>
      <c r="N233" s="16"/>
      <c r="O233" s="16"/>
      <c r="P233" s="9"/>
      <c r="Q233" s="9"/>
      <c r="R233" s="9"/>
      <c r="S233" s="9"/>
      <c r="T233" s="9"/>
      <c r="U233" s="9"/>
      <c r="V233" s="9"/>
      <c r="W233" s="9"/>
      <c r="X233" s="16"/>
      <c r="Y233" s="14"/>
      <c r="Z233" s="16"/>
      <c r="AA233" s="16"/>
      <c r="AB233" s="9"/>
      <c r="AP233" s="9"/>
      <c r="AQ233" s="9"/>
      <c r="AR233" s="16"/>
      <c r="AS233" s="9"/>
    </row>
    <row r="234" spans="7:45" x14ac:dyDescent="0.25">
      <c r="G234" s="9"/>
      <c r="H234" s="9"/>
      <c r="I234" s="9"/>
      <c r="J234" s="9"/>
      <c r="K234" s="9"/>
      <c r="L234" s="9"/>
      <c r="M234" s="16"/>
      <c r="N234" s="16"/>
      <c r="O234" s="16"/>
      <c r="P234" s="9"/>
      <c r="Q234" s="9"/>
      <c r="R234" s="9"/>
      <c r="S234" s="9"/>
      <c r="T234" s="9"/>
      <c r="U234" s="9"/>
      <c r="V234" s="9"/>
      <c r="W234" s="9"/>
      <c r="X234" s="16"/>
      <c r="Y234" s="14"/>
      <c r="Z234" s="16"/>
      <c r="AA234" s="16"/>
      <c r="AB234" s="9"/>
      <c r="AP234" s="9"/>
      <c r="AQ234" s="9"/>
      <c r="AR234" s="16"/>
      <c r="AS234" s="9"/>
    </row>
    <row r="235" spans="7:45" x14ac:dyDescent="0.25">
      <c r="G235" s="9"/>
      <c r="H235" s="9"/>
      <c r="I235" s="9"/>
      <c r="J235" s="9"/>
      <c r="K235" s="9"/>
      <c r="L235" s="9"/>
      <c r="M235" s="16"/>
      <c r="N235" s="16"/>
      <c r="O235" s="16"/>
      <c r="P235" s="9"/>
      <c r="Q235" s="9"/>
      <c r="R235" s="9"/>
      <c r="S235" s="9"/>
      <c r="T235" s="9"/>
      <c r="U235" s="9"/>
      <c r="V235" s="9"/>
      <c r="W235" s="9"/>
      <c r="X235" s="16"/>
      <c r="Y235" s="14"/>
      <c r="Z235" s="16"/>
      <c r="AA235" s="16"/>
      <c r="AB235" s="9"/>
      <c r="AP235" s="9"/>
      <c r="AQ235" s="9"/>
      <c r="AR235" s="16"/>
      <c r="AS235" s="9"/>
    </row>
    <row r="236" spans="7:45" x14ac:dyDescent="0.25">
      <c r="G236" s="9"/>
      <c r="H236" s="9"/>
      <c r="I236" s="9"/>
      <c r="J236" s="9"/>
      <c r="K236" s="9"/>
      <c r="L236" s="9"/>
      <c r="M236" s="16"/>
      <c r="N236" s="16"/>
      <c r="O236" s="16"/>
      <c r="P236" s="9"/>
      <c r="Q236" s="9"/>
      <c r="R236" s="9"/>
      <c r="S236" s="9"/>
      <c r="T236" s="9"/>
      <c r="U236" s="9"/>
      <c r="V236" s="9"/>
      <c r="W236" s="9"/>
      <c r="X236" s="16"/>
      <c r="Y236" s="14"/>
      <c r="Z236" s="16"/>
      <c r="AA236" s="16"/>
      <c r="AB236" s="9"/>
      <c r="AP236" s="9"/>
      <c r="AQ236" s="9"/>
      <c r="AR236" s="16"/>
      <c r="AS236" s="9"/>
    </row>
    <row r="237" spans="7:45" x14ac:dyDescent="0.25">
      <c r="G237" s="9"/>
      <c r="H237" s="9"/>
      <c r="I237" s="9"/>
      <c r="J237" s="9"/>
      <c r="K237" s="9"/>
      <c r="L237" s="9"/>
      <c r="M237" s="16"/>
      <c r="N237" s="16"/>
      <c r="O237" s="16"/>
      <c r="P237" s="9"/>
      <c r="Q237" s="9"/>
      <c r="R237" s="9"/>
      <c r="S237" s="9"/>
      <c r="T237" s="9"/>
      <c r="U237" s="9"/>
      <c r="V237" s="9"/>
      <c r="W237" s="9"/>
      <c r="X237" s="16"/>
      <c r="Y237" s="14"/>
      <c r="Z237" s="16"/>
      <c r="AA237" s="16"/>
      <c r="AB237" s="9"/>
      <c r="AP237" s="9"/>
      <c r="AQ237" s="9"/>
      <c r="AR237" s="16"/>
      <c r="AS237" s="9"/>
    </row>
    <row r="238" spans="7:45" x14ac:dyDescent="0.25">
      <c r="G238" s="9"/>
      <c r="H238" s="9"/>
      <c r="I238" s="9"/>
      <c r="J238" s="9"/>
      <c r="K238" s="9"/>
      <c r="L238" s="9"/>
      <c r="M238" s="16"/>
      <c r="N238" s="16"/>
      <c r="O238" s="16"/>
      <c r="P238" s="9"/>
      <c r="Q238" s="9"/>
      <c r="R238" s="9"/>
      <c r="S238" s="9"/>
      <c r="T238" s="9"/>
      <c r="U238" s="9"/>
      <c r="V238" s="9"/>
      <c r="W238" s="9"/>
      <c r="X238" s="16"/>
      <c r="Y238" s="14"/>
      <c r="Z238" s="16"/>
      <c r="AA238" s="16"/>
      <c r="AB238" s="9"/>
      <c r="AP238" s="9"/>
      <c r="AQ238" s="9"/>
      <c r="AR238" s="16"/>
      <c r="AS238" s="9"/>
    </row>
    <row r="239" spans="7:45" x14ac:dyDescent="0.25">
      <c r="G239" s="9"/>
      <c r="H239" s="9"/>
      <c r="I239" s="9"/>
      <c r="J239" s="9"/>
      <c r="K239" s="9"/>
      <c r="L239" s="9"/>
      <c r="M239" s="16"/>
      <c r="N239" s="16"/>
      <c r="O239" s="16"/>
      <c r="P239" s="9"/>
      <c r="Q239" s="9"/>
      <c r="R239" s="9"/>
      <c r="S239" s="9"/>
      <c r="T239" s="9"/>
      <c r="U239" s="9"/>
      <c r="V239" s="9"/>
      <c r="W239" s="9"/>
      <c r="X239" s="16"/>
      <c r="Y239" s="14"/>
      <c r="Z239" s="16"/>
      <c r="AA239" s="16"/>
      <c r="AB239" s="9"/>
      <c r="AP239" s="9"/>
      <c r="AQ239" s="9"/>
      <c r="AR239" s="16"/>
      <c r="AS239" s="9"/>
    </row>
    <row r="240" spans="7:45" x14ac:dyDescent="0.25">
      <c r="G240" s="9"/>
      <c r="H240" s="9"/>
      <c r="I240" s="9"/>
      <c r="J240" s="9"/>
      <c r="K240" s="9"/>
      <c r="L240" s="9"/>
      <c r="M240" s="16"/>
      <c r="N240" s="16"/>
      <c r="O240" s="16"/>
      <c r="P240" s="9"/>
      <c r="Q240" s="9"/>
      <c r="R240" s="9"/>
      <c r="S240" s="9"/>
      <c r="T240" s="9"/>
      <c r="U240" s="9"/>
      <c r="V240" s="9"/>
      <c r="W240" s="9"/>
      <c r="X240" s="16"/>
      <c r="Y240" s="14"/>
      <c r="Z240" s="16"/>
      <c r="AA240" s="16"/>
      <c r="AB240" s="9"/>
      <c r="AP240" s="9"/>
      <c r="AQ240" s="9"/>
      <c r="AR240" s="16"/>
      <c r="AS240" s="9"/>
    </row>
    <row r="241" spans="7:45" x14ac:dyDescent="0.25">
      <c r="G241" s="9"/>
      <c r="H241" s="9"/>
      <c r="I241" s="9"/>
      <c r="J241" s="9"/>
      <c r="K241" s="9"/>
      <c r="L241" s="9"/>
      <c r="M241" s="16"/>
      <c r="N241" s="16"/>
      <c r="O241" s="16"/>
      <c r="P241" s="9"/>
      <c r="Q241" s="9"/>
      <c r="R241" s="9"/>
      <c r="S241" s="9"/>
      <c r="T241" s="9"/>
      <c r="U241" s="9"/>
      <c r="V241" s="9"/>
      <c r="W241" s="9"/>
      <c r="X241" s="16"/>
      <c r="Y241" s="14"/>
      <c r="Z241" s="16"/>
      <c r="AA241" s="16"/>
      <c r="AB241" s="9"/>
      <c r="AP241" s="9"/>
      <c r="AQ241" s="9"/>
      <c r="AR241" s="16"/>
      <c r="AS241" s="9"/>
    </row>
    <row r="242" spans="7:45" x14ac:dyDescent="0.25">
      <c r="G242" s="9"/>
      <c r="H242" s="9"/>
      <c r="I242" s="9"/>
      <c r="J242" s="9"/>
      <c r="K242" s="9"/>
      <c r="L242" s="9"/>
      <c r="M242" s="16"/>
      <c r="N242" s="16"/>
      <c r="O242" s="16"/>
      <c r="P242" s="9"/>
      <c r="Q242" s="9"/>
      <c r="R242" s="9"/>
      <c r="S242" s="9"/>
      <c r="T242" s="9"/>
      <c r="U242" s="9"/>
      <c r="V242" s="9"/>
      <c r="W242" s="9"/>
      <c r="X242" s="16"/>
      <c r="Y242" s="14"/>
      <c r="Z242" s="16"/>
      <c r="AA242" s="16"/>
      <c r="AB242" s="9"/>
      <c r="AP242" s="9"/>
      <c r="AQ242" s="9"/>
      <c r="AR242" s="16"/>
      <c r="AS242" s="9"/>
    </row>
    <row r="243" spans="7:45" x14ac:dyDescent="0.25">
      <c r="G243" s="9"/>
      <c r="H243" s="9"/>
      <c r="I243" s="9"/>
      <c r="J243" s="9"/>
      <c r="K243" s="9"/>
      <c r="L243" s="9"/>
      <c r="M243" s="16"/>
      <c r="N243" s="16"/>
      <c r="O243" s="16"/>
      <c r="P243" s="9"/>
      <c r="Q243" s="9"/>
      <c r="R243" s="9"/>
      <c r="S243" s="9"/>
      <c r="T243" s="9"/>
      <c r="U243" s="9"/>
      <c r="V243" s="9"/>
      <c r="W243" s="9"/>
      <c r="X243" s="16"/>
      <c r="Y243" s="14"/>
      <c r="Z243" s="16"/>
      <c r="AA243" s="16"/>
      <c r="AB243" s="9"/>
      <c r="AP243" s="9"/>
      <c r="AQ243" s="9"/>
      <c r="AR243" s="16"/>
      <c r="AS243" s="9"/>
    </row>
    <row r="244" spans="7:45" x14ac:dyDescent="0.25">
      <c r="G244" s="9"/>
      <c r="H244" s="9"/>
      <c r="I244" s="9"/>
      <c r="J244" s="9"/>
      <c r="K244" s="9"/>
      <c r="L244" s="9"/>
      <c r="M244" s="16"/>
      <c r="N244" s="16"/>
      <c r="O244" s="16"/>
      <c r="P244" s="9"/>
      <c r="Q244" s="9"/>
      <c r="R244" s="9"/>
      <c r="S244" s="9"/>
      <c r="T244" s="9"/>
      <c r="U244" s="9"/>
      <c r="V244" s="9"/>
      <c r="W244" s="9"/>
      <c r="X244" s="16"/>
      <c r="Y244" s="14"/>
      <c r="Z244" s="16"/>
      <c r="AA244" s="16"/>
      <c r="AB244" s="9"/>
      <c r="AP244" s="9"/>
      <c r="AQ244" s="9"/>
      <c r="AR244" s="16"/>
      <c r="AS244" s="9"/>
    </row>
    <row r="245" spans="7:45" x14ac:dyDescent="0.25">
      <c r="G245" s="9"/>
      <c r="H245" s="9"/>
      <c r="I245" s="9"/>
      <c r="J245" s="9"/>
      <c r="K245" s="9"/>
      <c r="L245" s="9"/>
      <c r="M245" s="16"/>
      <c r="N245" s="16"/>
      <c r="O245" s="16"/>
      <c r="P245" s="9"/>
      <c r="Q245" s="9"/>
      <c r="R245" s="9"/>
      <c r="S245" s="9"/>
      <c r="T245" s="9"/>
      <c r="U245" s="9"/>
      <c r="V245" s="9"/>
      <c r="W245" s="9"/>
      <c r="X245" s="16"/>
      <c r="Y245" s="14"/>
      <c r="Z245" s="16"/>
      <c r="AA245" s="16"/>
      <c r="AB245" s="9"/>
      <c r="AP245" s="9"/>
      <c r="AQ245" s="9"/>
      <c r="AR245" s="16"/>
      <c r="AS245" s="9"/>
    </row>
    <row r="246" spans="7:45" x14ac:dyDescent="0.25">
      <c r="G246" s="9"/>
      <c r="H246" s="9"/>
      <c r="I246" s="9"/>
      <c r="J246" s="9"/>
      <c r="K246" s="9"/>
      <c r="L246" s="9"/>
      <c r="M246" s="16"/>
      <c r="N246" s="16"/>
      <c r="O246" s="16"/>
      <c r="P246" s="9"/>
      <c r="Q246" s="9"/>
      <c r="R246" s="9"/>
      <c r="S246" s="9"/>
      <c r="T246" s="9"/>
      <c r="U246" s="9"/>
      <c r="V246" s="9"/>
      <c r="W246" s="9"/>
      <c r="X246" s="16"/>
      <c r="Y246" s="14"/>
      <c r="Z246" s="16"/>
      <c r="AA246" s="16"/>
      <c r="AB246" s="9"/>
      <c r="AP246" s="9"/>
      <c r="AQ246" s="9"/>
      <c r="AR246" s="16"/>
      <c r="AS246" s="9"/>
    </row>
    <row r="247" spans="7:45" x14ac:dyDescent="0.25">
      <c r="G247" s="9"/>
      <c r="H247" s="9"/>
      <c r="I247" s="9"/>
      <c r="J247" s="9"/>
      <c r="K247" s="9"/>
      <c r="L247" s="9"/>
      <c r="M247" s="16"/>
      <c r="N247" s="16"/>
      <c r="O247" s="16"/>
      <c r="P247" s="9"/>
      <c r="Q247" s="9"/>
      <c r="R247" s="9"/>
      <c r="S247" s="9"/>
      <c r="T247" s="9"/>
      <c r="U247" s="9"/>
      <c r="V247" s="9"/>
      <c r="W247" s="9"/>
      <c r="X247" s="16"/>
      <c r="Y247" s="14"/>
      <c r="Z247" s="16"/>
      <c r="AA247" s="16"/>
      <c r="AB247" s="9"/>
      <c r="AP247" s="9"/>
      <c r="AQ247" s="9"/>
      <c r="AR247" s="16"/>
      <c r="AS247" s="9"/>
    </row>
    <row r="248" spans="7:45" x14ac:dyDescent="0.25">
      <c r="G248" s="9"/>
      <c r="H248" s="9"/>
      <c r="I248" s="9"/>
      <c r="J248" s="9"/>
      <c r="K248" s="9"/>
      <c r="L248" s="9"/>
      <c r="M248" s="16"/>
      <c r="N248" s="16"/>
      <c r="O248" s="16"/>
      <c r="P248" s="9"/>
      <c r="Q248" s="9"/>
      <c r="R248" s="9"/>
      <c r="S248" s="9"/>
      <c r="T248" s="9"/>
      <c r="U248" s="9"/>
      <c r="V248" s="9"/>
      <c r="W248" s="9"/>
      <c r="X248" s="16"/>
      <c r="Y248" s="14"/>
      <c r="Z248" s="16"/>
      <c r="AA248" s="16"/>
      <c r="AB248" s="9"/>
      <c r="AP248" s="9"/>
      <c r="AQ248" s="9"/>
      <c r="AR248" s="16"/>
      <c r="AS248" s="9"/>
    </row>
    <row r="249" spans="7:45" x14ac:dyDescent="0.25">
      <c r="G249" s="9"/>
      <c r="H249" s="9"/>
      <c r="I249" s="9"/>
      <c r="J249" s="9"/>
      <c r="K249" s="9"/>
      <c r="L249" s="9"/>
      <c r="M249" s="16"/>
      <c r="N249" s="16"/>
      <c r="O249" s="16"/>
      <c r="P249" s="9"/>
      <c r="Q249" s="9"/>
      <c r="R249" s="9"/>
      <c r="S249" s="9"/>
      <c r="T249" s="9"/>
      <c r="U249" s="9"/>
      <c r="V249" s="9"/>
      <c r="W249" s="9"/>
      <c r="X249" s="16"/>
      <c r="Y249" s="14"/>
      <c r="Z249" s="16"/>
      <c r="AA249" s="16"/>
      <c r="AB249" s="9"/>
      <c r="AP249" s="9"/>
      <c r="AQ249" s="9"/>
      <c r="AR249" s="16"/>
      <c r="AS249" s="9"/>
    </row>
    <row r="250" spans="7:45" x14ac:dyDescent="0.25">
      <c r="G250" s="9"/>
      <c r="H250" s="9"/>
      <c r="I250" s="9"/>
      <c r="J250" s="9"/>
      <c r="K250" s="9"/>
      <c r="L250" s="9"/>
      <c r="M250" s="16"/>
      <c r="N250" s="16"/>
      <c r="O250" s="16"/>
      <c r="P250" s="9"/>
      <c r="Q250" s="9"/>
      <c r="R250" s="9"/>
      <c r="S250" s="9"/>
      <c r="T250" s="9"/>
      <c r="U250" s="9"/>
      <c r="V250" s="9"/>
      <c r="W250" s="9"/>
      <c r="X250" s="16"/>
      <c r="Y250" s="14"/>
      <c r="Z250" s="16"/>
      <c r="AA250" s="16"/>
      <c r="AB250" s="9"/>
      <c r="AP250" s="9"/>
      <c r="AQ250" s="9"/>
      <c r="AR250" s="16"/>
      <c r="AS250" s="9"/>
    </row>
    <row r="251" spans="7:45" x14ac:dyDescent="0.25">
      <c r="G251" s="9"/>
      <c r="H251" s="9"/>
      <c r="I251" s="9"/>
      <c r="J251" s="9"/>
      <c r="K251" s="9"/>
      <c r="L251" s="9"/>
      <c r="M251" s="16"/>
      <c r="N251" s="16"/>
      <c r="O251" s="16"/>
      <c r="P251" s="9"/>
      <c r="Q251" s="9"/>
      <c r="R251" s="9"/>
      <c r="S251" s="9"/>
      <c r="T251" s="9"/>
      <c r="U251" s="9"/>
      <c r="V251" s="9"/>
      <c r="W251" s="9"/>
      <c r="X251" s="16"/>
      <c r="Y251" s="14"/>
      <c r="Z251" s="16"/>
      <c r="AA251" s="16"/>
      <c r="AB251" s="9"/>
      <c r="AP251" s="9"/>
      <c r="AQ251" s="9"/>
      <c r="AR251" s="16"/>
      <c r="AS251" s="9"/>
    </row>
    <row r="252" spans="7:45" x14ac:dyDescent="0.25">
      <c r="G252" s="9"/>
      <c r="H252" s="9"/>
      <c r="I252" s="9"/>
      <c r="J252" s="9"/>
      <c r="K252" s="9"/>
      <c r="L252" s="9"/>
      <c r="M252" s="16"/>
      <c r="N252" s="16"/>
      <c r="O252" s="16"/>
      <c r="P252" s="9"/>
      <c r="Q252" s="9"/>
      <c r="R252" s="9"/>
      <c r="S252" s="9"/>
      <c r="T252" s="9"/>
      <c r="U252" s="9"/>
      <c r="V252" s="9"/>
      <c r="W252" s="9"/>
      <c r="X252" s="16"/>
      <c r="Y252" s="14"/>
      <c r="Z252" s="16"/>
      <c r="AA252" s="16"/>
      <c r="AB252" s="9"/>
      <c r="AP252" s="9"/>
      <c r="AQ252" s="9"/>
      <c r="AR252" s="16"/>
      <c r="AS252" s="9"/>
    </row>
    <row r="253" spans="7:45" x14ac:dyDescent="0.25">
      <c r="G253" s="9"/>
      <c r="H253" s="9"/>
      <c r="I253" s="9"/>
      <c r="J253" s="9"/>
      <c r="K253" s="9"/>
      <c r="L253" s="9"/>
      <c r="M253" s="16"/>
      <c r="N253" s="16"/>
      <c r="O253" s="16"/>
      <c r="P253" s="9"/>
      <c r="Q253" s="9"/>
      <c r="R253" s="9"/>
      <c r="S253" s="9"/>
      <c r="T253" s="9"/>
      <c r="U253" s="9"/>
      <c r="V253" s="9"/>
      <c r="W253" s="9"/>
      <c r="X253" s="16"/>
      <c r="Y253" s="14"/>
      <c r="Z253" s="16"/>
      <c r="AA253" s="16"/>
      <c r="AB253" s="9"/>
      <c r="AP253" s="9"/>
      <c r="AQ253" s="9"/>
      <c r="AR253" s="16"/>
      <c r="AS253" s="9"/>
    </row>
    <row r="254" spans="7:45" x14ac:dyDescent="0.25">
      <c r="G254" s="9"/>
      <c r="H254" s="9"/>
      <c r="I254" s="9"/>
      <c r="J254" s="9"/>
      <c r="K254" s="9"/>
      <c r="L254" s="9"/>
      <c r="M254" s="16"/>
      <c r="N254" s="16"/>
      <c r="O254" s="16"/>
      <c r="P254" s="9"/>
      <c r="Q254" s="9"/>
      <c r="R254" s="9"/>
      <c r="S254" s="9"/>
      <c r="T254" s="9"/>
      <c r="U254" s="9"/>
      <c r="V254" s="9"/>
      <c r="W254" s="9"/>
      <c r="X254" s="16"/>
      <c r="Y254" s="14"/>
      <c r="Z254" s="16"/>
      <c r="AA254" s="16"/>
      <c r="AB254" s="9"/>
      <c r="AP254" s="9"/>
      <c r="AQ254" s="9"/>
      <c r="AR254" s="16"/>
      <c r="AS254" s="9"/>
    </row>
    <row r="255" spans="7:45" x14ac:dyDescent="0.25">
      <c r="G255" s="9"/>
      <c r="H255" s="9"/>
      <c r="I255" s="9"/>
      <c r="J255" s="9"/>
      <c r="K255" s="9"/>
      <c r="L255" s="9"/>
      <c r="M255" s="16"/>
      <c r="N255" s="16"/>
      <c r="O255" s="16"/>
      <c r="P255" s="9"/>
      <c r="Q255" s="9"/>
      <c r="R255" s="9"/>
      <c r="S255" s="9"/>
      <c r="T255" s="9"/>
      <c r="U255" s="9"/>
      <c r="V255" s="9"/>
      <c r="W255" s="9"/>
      <c r="X255" s="16"/>
      <c r="Y255" s="14"/>
      <c r="Z255" s="16"/>
      <c r="AA255" s="16"/>
      <c r="AB255" s="9"/>
      <c r="AP255" s="9"/>
      <c r="AQ255" s="9"/>
      <c r="AR255" s="16"/>
      <c r="AS255" s="9"/>
    </row>
    <row r="256" spans="7:45" x14ac:dyDescent="0.25">
      <c r="G256" s="9"/>
      <c r="H256" s="9"/>
      <c r="I256" s="9"/>
      <c r="J256" s="9"/>
      <c r="K256" s="9"/>
      <c r="L256" s="9"/>
      <c r="M256" s="16"/>
      <c r="N256" s="16"/>
      <c r="O256" s="16"/>
      <c r="P256" s="9"/>
      <c r="Q256" s="9"/>
      <c r="R256" s="9"/>
      <c r="S256" s="9"/>
      <c r="T256" s="9"/>
      <c r="U256" s="9"/>
      <c r="V256" s="9"/>
      <c r="W256" s="9"/>
      <c r="X256" s="16"/>
      <c r="Y256" s="14"/>
      <c r="Z256" s="16"/>
      <c r="AA256" s="16"/>
      <c r="AB256" s="9"/>
      <c r="AP256" s="9"/>
      <c r="AQ256" s="9"/>
      <c r="AR256" s="16"/>
      <c r="AS256" s="9"/>
    </row>
    <row r="257" spans="7:45" x14ac:dyDescent="0.25">
      <c r="G257" s="9"/>
      <c r="H257" s="9"/>
      <c r="I257" s="9"/>
      <c r="J257" s="9"/>
      <c r="K257" s="9"/>
      <c r="L257" s="9"/>
      <c r="M257" s="16"/>
      <c r="N257" s="16"/>
      <c r="O257" s="16"/>
      <c r="P257" s="9"/>
      <c r="Q257" s="9"/>
      <c r="R257" s="9"/>
      <c r="S257" s="9"/>
      <c r="T257" s="9"/>
      <c r="U257" s="9"/>
      <c r="V257" s="9"/>
      <c r="W257" s="9"/>
      <c r="X257" s="16"/>
      <c r="Y257" s="14"/>
      <c r="Z257" s="16"/>
      <c r="AA257" s="16"/>
      <c r="AB257" s="9"/>
      <c r="AP257" s="9"/>
      <c r="AQ257" s="9"/>
      <c r="AR257" s="16"/>
      <c r="AS257" s="9"/>
    </row>
    <row r="258" spans="7:45" x14ac:dyDescent="0.25">
      <c r="G258" s="9"/>
      <c r="H258" s="9"/>
      <c r="I258" s="9"/>
      <c r="J258" s="9"/>
      <c r="K258" s="9"/>
      <c r="L258" s="9"/>
      <c r="M258" s="16"/>
      <c r="N258" s="16"/>
      <c r="O258" s="16"/>
      <c r="P258" s="9"/>
      <c r="Q258" s="9"/>
      <c r="R258" s="9"/>
      <c r="S258" s="9"/>
      <c r="T258" s="9"/>
      <c r="U258" s="9"/>
      <c r="V258" s="9"/>
      <c r="W258" s="9"/>
      <c r="X258" s="16"/>
      <c r="Y258" s="14"/>
      <c r="Z258" s="16"/>
      <c r="AA258" s="16"/>
      <c r="AB258" s="9"/>
      <c r="AP258" s="9"/>
      <c r="AQ258" s="9"/>
      <c r="AR258" s="16"/>
      <c r="AS258" s="9"/>
    </row>
    <row r="259" spans="7:45" x14ac:dyDescent="0.25">
      <c r="G259" s="9"/>
      <c r="H259" s="9"/>
      <c r="I259" s="9"/>
      <c r="J259" s="9"/>
      <c r="K259" s="9"/>
      <c r="L259" s="9"/>
      <c r="M259" s="16"/>
      <c r="N259" s="16"/>
      <c r="O259" s="16"/>
      <c r="P259" s="9"/>
      <c r="Q259" s="9"/>
      <c r="R259" s="9"/>
      <c r="S259" s="9"/>
      <c r="T259" s="9"/>
      <c r="U259" s="9"/>
      <c r="V259" s="9"/>
      <c r="W259" s="9"/>
      <c r="X259" s="16"/>
      <c r="Y259" s="16"/>
      <c r="Z259" s="16"/>
      <c r="AA259" s="16"/>
      <c r="AB259" s="9"/>
      <c r="AP259" s="9"/>
      <c r="AQ259" s="9"/>
      <c r="AR259" s="16"/>
      <c r="AS259" s="9"/>
    </row>
    <row r="260" spans="7:45" x14ac:dyDescent="0.25">
      <c r="G260" s="9"/>
      <c r="H260" s="9"/>
      <c r="I260" s="9"/>
      <c r="J260" s="9"/>
      <c r="K260" s="9"/>
      <c r="L260" s="9"/>
      <c r="M260" s="16"/>
      <c r="N260" s="16"/>
      <c r="O260" s="16"/>
      <c r="P260" s="9"/>
      <c r="Q260" s="9"/>
      <c r="R260" s="9"/>
      <c r="S260" s="9"/>
      <c r="T260" s="9"/>
      <c r="U260" s="9"/>
      <c r="V260" s="9"/>
      <c r="W260" s="9"/>
      <c r="X260" s="16"/>
      <c r="Y260" s="16"/>
      <c r="Z260" s="16"/>
      <c r="AA260" s="16"/>
      <c r="AB260" s="9"/>
      <c r="AP260" s="9"/>
      <c r="AQ260" s="9"/>
      <c r="AR260" s="16"/>
      <c r="AS260" s="9"/>
    </row>
    <row r="261" spans="7:45" x14ac:dyDescent="0.25">
      <c r="G261" s="9"/>
      <c r="H261" s="9"/>
      <c r="I261" s="9"/>
      <c r="J261" s="9"/>
      <c r="K261" s="9"/>
      <c r="L261" s="9"/>
      <c r="M261" s="16"/>
      <c r="N261" s="16"/>
      <c r="O261" s="16"/>
      <c r="P261" s="9"/>
      <c r="Q261" s="9"/>
      <c r="R261" s="9"/>
      <c r="S261" s="9"/>
      <c r="T261" s="9"/>
      <c r="U261" s="9"/>
      <c r="V261" s="9"/>
      <c r="W261" s="9"/>
      <c r="X261" s="16"/>
      <c r="Y261" s="16"/>
      <c r="Z261" s="16"/>
      <c r="AA261" s="16"/>
      <c r="AB261" s="9"/>
      <c r="AP261" s="9"/>
      <c r="AQ261" s="9"/>
      <c r="AR261" s="16"/>
      <c r="AS261" s="9"/>
    </row>
    <row r="262" spans="7:45" x14ac:dyDescent="0.25">
      <c r="G262" s="9"/>
      <c r="H262" s="9"/>
      <c r="I262" s="9"/>
      <c r="J262" s="9"/>
      <c r="K262" s="9"/>
      <c r="L262" s="9"/>
      <c r="M262" s="16"/>
      <c r="N262" s="16"/>
      <c r="O262" s="16"/>
      <c r="P262" s="9"/>
      <c r="Q262" s="9"/>
      <c r="R262" s="9"/>
      <c r="S262" s="9"/>
      <c r="T262" s="9"/>
      <c r="U262" s="9"/>
      <c r="V262" s="9"/>
      <c r="W262" s="9"/>
      <c r="X262" s="16"/>
      <c r="Y262" s="16"/>
      <c r="Z262" s="16"/>
      <c r="AA262" s="16"/>
      <c r="AB262" s="9"/>
      <c r="AP262" s="9"/>
      <c r="AQ262" s="9"/>
      <c r="AR262" s="16"/>
      <c r="AS262" s="9"/>
    </row>
    <row r="263" spans="7:45" x14ac:dyDescent="0.25">
      <c r="G263" s="9"/>
      <c r="H263" s="9"/>
      <c r="I263" s="9"/>
      <c r="J263" s="9"/>
      <c r="K263" s="9"/>
      <c r="L263" s="9"/>
      <c r="M263" s="16"/>
      <c r="N263" s="16"/>
      <c r="O263" s="16"/>
      <c r="P263" s="9"/>
      <c r="Q263" s="9"/>
      <c r="R263" s="9"/>
      <c r="S263" s="9"/>
      <c r="T263" s="9"/>
      <c r="U263" s="9"/>
      <c r="V263" s="9"/>
      <c r="W263" s="9"/>
      <c r="X263" s="16"/>
      <c r="Y263" s="16"/>
      <c r="Z263" s="16"/>
      <c r="AA263" s="16"/>
      <c r="AB263" s="9"/>
      <c r="AP263" s="9"/>
      <c r="AQ263" s="9"/>
      <c r="AR263" s="16"/>
      <c r="AS263" s="9"/>
    </row>
    <row r="264" spans="7:45" x14ac:dyDescent="0.25">
      <c r="G264" s="9"/>
      <c r="H264" s="9"/>
      <c r="I264" s="9"/>
      <c r="J264" s="9"/>
      <c r="K264" s="9"/>
      <c r="L264" s="9"/>
      <c r="M264" s="16"/>
      <c r="N264" s="16"/>
      <c r="O264" s="16"/>
      <c r="P264" s="9"/>
      <c r="Q264" s="9"/>
      <c r="R264" s="9"/>
      <c r="S264" s="9"/>
      <c r="T264" s="9"/>
      <c r="U264" s="9"/>
      <c r="V264" s="9"/>
      <c r="W264" s="9"/>
      <c r="X264" s="16"/>
      <c r="Y264" s="16"/>
      <c r="Z264" s="16"/>
      <c r="AA264" s="16"/>
      <c r="AB264" s="9"/>
      <c r="AP264" s="9"/>
      <c r="AQ264" s="9"/>
      <c r="AR264" s="16"/>
      <c r="AS264" s="9"/>
    </row>
    <row r="265" spans="7:45" x14ac:dyDescent="0.25">
      <c r="G265" s="9"/>
      <c r="H265" s="9"/>
      <c r="I265" s="9"/>
      <c r="J265" s="9"/>
      <c r="K265" s="9"/>
      <c r="L265" s="9"/>
      <c r="M265" s="16"/>
      <c r="N265" s="16"/>
      <c r="O265" s="16"/>
      <c r="P265" s="9"/>
      <c r="Q265" s="9"/>
      <c r="R265" s="9"/>
      <c r="S265" s="9"/>
      <c r="T265" s="9"/>
      <c r="U265" s="9"/>
      <c r="V265" s="9"/>
      <c r="W265" s="9"/>
      <c r="X265" s="16"/>
      <c r="Y265" s="16"/>
      <c r="Z265" s="16"/>
      <c r="AA265" s="16"/>
      <c r="AB265" s="9"/>
      <c r="AP265" s="9"/>
      <c r="AQ265" s="9"/>
      <c r="AR265" s="16"/>
      <c r="AS265" s="9"/>
    </row>
    <row r="266" spans="7:45" x14ac:dyDescent="0.25">
      <c r="G266" s="9"/>
      <c r="H266" s="9"/>
      <c r="I266" s="9"/>
      <c r="J266" s="9"/>
      <c r="K266" s="9"/>
      <c r="L266" s="9"/>
      <c r="M266" s="16"/>
      <c r="N266" s="16"/>
      <c r="O266" s="16"/>
      <c r="P266" s="9"/>
      <c r="Q266" s="9"/>
      <c r="R266" s="9"/>
      <c r="S266" s="9"/>
      <c r="T266" s="9"/>
      <c r="U266" s="9"/>
      <c r="V266" s="9"/>
      <c r="W266" s="9"/>
      <c r="X266" s="16"/>
      <c r="Y266" s="16"/>
      <c r="Z266" s="16"/>
      <c r="AA266" s="16"/>
      <c r="AB266" s="9"/>
      <c r="AP266" s="9"/>
      <c r="AQ266" s="9"/>
      <c r="AR266" s="16"/>
      <c r="AS266" s="9"/>
    </row>
    <row r="267" spans="7:45" x14ac:dyDescent="0.25">
      <c r="G267" s="9"/>
      <c r="H267" s="9"/>
      <c r="I267" s="9"/>
      <c r="J267" s="9"/>
      <c r="K267" s="9"/>
      <c r="L267" s="9"/>
      <c r="M267" s="16"/>
      <c r="N267" s="16"/>
      <c r="O267" s="16"/>
      <c r="P267" s="9"/>
      <c r="Q267" s="9"/>
      <c r="R267" s="9"/>
      <c r="S267" s="9"/>
      <c r="T267" s="9"/>
      <c r="U267" s="9"/>
      <c r="V267" s="9"/>
      <c r="W267" s="9"/>
      <c r="X267" s="16"/>
      <c r="Y267" s="16"/>
      <c r="Z267" s="16"/>
      <c r="AA267" s="16"/>
      <c r="AB267" s="9"/>
      <c r="AP267" s="9"/>
      <c r="AQ267" s="9"/>
      <c r="AR267" s="16"/>
      <c r="AS267" s="9"/>
    </row>
    <row r="268" spans="7:45" x14ac:dyDescent="0.25">
      <c r="G268" s="9"/>
      <c r="H268" s="9"/>
      <c r="I268" s="9"/>
      <c r="J268" s="9"/>
      <c r="K268" s="9"/>
      <c r="L268" s="9"/>
      <c r="M268" s="16"/>
      <c r="N268" s="16"/>
      <c r="O268" s="16"/>
      <c r="P268" s="9"/>
      <c r="Q268" s="9"/>
      <c r="R268" s="9"/>
      <c r="S268" s="9"/>
      <c r="T268" s="9"/>
      <c r="U268" s="9"/>
      <c r="V268" s="9"/>
      <c r="W268" s="9"/>
      <c r="X268" s="16"/>
      <c r="Y268" s="16"/>
      <c r="Z268" s="16"/>
      <c r="AA268" s="16"/>
      <c r="AB268" s="9"/>
      <c r="AP268" s="9"/>
      <c r="AQ268" s="9"/>
      <c r="AR268" s="16"/>
      <c r="AS268" s="9"/>
    </row>
    <row r="269" spans="7:45" x14ac:dyDescent="0.25">
      <c r="G269" s="9"/>
      <c r="H269" s="9"/>
      <c r="I269" s="9"/>
      <c r="J269" s="9"/>
      <c r="K269" s="9"/>
      <c r="L269" s="9"/>
      <c r="M269" s="16"/>
      <c r="N269" s="16"/>
      <c r="O269" s="16"/>
      <c r="P269" s="9"/>
      <c r="Q269" s="9"/>
      <c r="R269" s="9"/>
      <c r="S269" s="9"/>
      <c r="T269" s="9"/>
      <c r="U269" s="9"/>
      <c r="V269" s="9"/>
      <c r="W269" s="9"/>
      <c r="X269" s="16"/>
      <c r="Y269" s="16"/>
      <c r="Z269" s="16"/>
      <c r="AA269" s="16"/>
      <c r="AB269" s="9"/>
      <c r="AP269" s="9"/>
      <c r="AQ269" s="9"/>
      <c r="AR269" s="16"/>
      <c r="AS269" s="9"/>
    </row>
    <row r="270" spans="7:45" x14ac:dyDescent="0.25">
      <c r="G270" s="9"/>
      <c r="H270" s="9"/>
      <c r="I270" s="9"/>
      <c r="J270" s="9"/>
      <c r="K270" s="9"/>
      <c r="L270" s="9"/>
      <c r="M270" s="16"/>
      <c r="N270" s="16"/>
      <c r="O270" s="16"/>
      <c r="P270" s="9"/>
      <c r="Q270" s="9"/>
      <c r="R270" s="9"/>
      <c r="S270" s="9"/>
      <c r="T270" s="9"/>
      <c r="U270" s="9"/>
      <c r="V270" s="9"/>
      <c r="W270" s="9"/>
      <c r="X270" s="16"/>
      <c r="Y270" s="16"/>
      <c r="Z270" s="16"/>
      <c r="AA270" s="16"/>
      <c r="AB270" s="9"/>
      <c r="AP270" s="9"/>
      <c r="AQ270" s="9"/>
      <c r="AR270" s="16"/>
      <c r="AS270" s="9"/>
    </row>
    <row r="271" spans="7:45" x14ac:dyDescent="0.25">
      <c r="G271" s="9"/>
      <c r="H271" s="9"/>
      <c r="I271" s="9"/>
      <c r="J271" s="9"/>
      <c r="K271" s="9"/>
      <c r="L271" s="9"/>
      <c r="M271" s="16"/>
      <c r="N271" s="16"/>
      <c r="O271" s="16"/>
      <c r="P271" s="9"/>
      <c r="Q271" s="9"/>
      <c r="R271" s="9"/>
      <c r="S271" s="9"/>
      <c r="T271" s="9"/>
      <c r="U271" s="9"/>
      <c r="V271" s="9"/>
      <c r="W271" s="9"/>
      <c r="X271" s="16"/>
      <c r="Y271" s="16"/>
      <c r="Z271" s="16"/>
      <c r="AA271" s="16"/>
      <c r="AB271" s="9"/>
      <c r="AP271" s="9"/>
      <c r="AQ271" s="9"/>
      <c r="AR271" s="16"/>
      <c r="AS271" s="9"/>
    </row>
    <row r="272" spans="7:45" x14ac:dyDescent="0.25">
      <c r="G272" s="9"/>
      <c r="H272" s="9"/>
      <c r="I272" s="9"/>
      <c r="J272" s="9"/>
      <c r="K272" s="9"/>
      <c r="L272" s="9"/>
      <c r="M272" s="16"/>
      <c r="N272" s="16"/>
      <c r="O272" s="16"/>
      <c r="P272" s="9"/>
      <c r="Q272" s="9"/>
      <c r="R272" s="9"/>
      <c r="S272" s="9"/>
      <c r="T272" s="9"/>
      <c r="U272" s="9"/>
      <c r="V272" s="9"/>
      <c r="W272" s="9"/>
      <c r="X272" s="16"/>
      <c r="Y272" s="16"/>
      <c r="Z272" s="16"/>
      <c r="AA272" s="16"/>
      <c r="AB272" s="9"/>
      <c r="AP272" s="9"/>
      <c r="AQ272" s="9"/>
      <c r="AR272" s="16"/>
      <c r="AS272" s="9"/>
    </row>
    <row r="273" spans="7:45" x14ac:dyDescent="0.25">
      <c r="G273" s="9"/>
      <c r="H273" s="9"/>
      <c r="I273" s="9"/>
      <c r="J273" s="9"/>
      <c r="K273" s="9"/>
      <c r="L273" s="9"/>
      <c r="M273" s="16"/>
      <c r="N273" s="16"/>
      <c r="O273" s="16"/>
      <c r="P273" s="9"/>
      <c r="Q273" s="9"/>
      <c r="R273" s="9"/>
      <c r="S273" s="9"/>
      <c r="T273" s="9"/>
      <c r="U273" s="9"/>
      <c r="V273" s="9"/>
      <c r="W273" s="9"/>
      <c r="X273" s="16"/>
      <c r="Y273" s="16"/>
      <c r="Z273" s="16"/>
      <c r="AA273" s="16"/>
      <c r="AB273" s="9"/>
      <c r="AP273" s="9"/>
      <c r="AQ273" s="9"/>
      <c r="AR273" s="16"/>
      <c r="AS273" s="9"/>
    </row>
    <row r="274" spans="7:45" x14ac:dyDescent="0.25">
      <c r="G274" s="9"/>
      <c r="H274" s="9"/>
      <c r="I274" s="9"/>
      <c r="J274" s="9"/>
      <c r="K274" s="9"/>
      <c r="L274" s="9"/>
      <c r="M274" s="16"/>
      <c r="N274" s="16"/>
      <c r="O274" s="16"/>
      <c r="P274" s="9"/>
      <c r="Q274" s="9"/>
      <c r="R274" s="9"/>
      <c r="S274" s="9"/>
      <c r="T274" s="9"/>
      <c r="U274" s="9"/>
      <c r="V274" s="9"/>
      <c r="W274" s="9"/>
      <c r="X274" s="16"/>
      <c r="Y274" s="16"/>
      <c r="Z274" s="16"/>
      <c r="AA274" s="16"/>
      <c r="AB274" s="9"/>
      <c r="AP274" s="9"/>
      <c r="AQ274" s="9"/>
      <c r="AR274" s="16"/>
      <c r="AS274" s="9"/>
    </row>
    <row r="275" spans="7:45" x14ac:dyDescent="0.25">
      <c r="G275" s="9"/>
      <c r="H275" s="9"/>
      <c r="I275" s="9"/>
      <c r="J275" s="9"/>
      <c r="K275" s="9"/>
      <c r="L275" s="9"/>
      <c r="M275" s="16"/>
      <c r="N275" s="16"/>
      <c r="O275" s="16"/>
      <c r="P275" s="9"/>
      <c r="Q275" s="9"/>
      <c r="R275" s="9"/>
      <c r="S275" s="9"/>
      <c r="T275" s="9"/>
      <c r="U275" s="9"/>
      <c r="V275" s="9"/>
      <c r="W275" s="9"/>
      <c r="X275" s="16"/>
      <c r="Y275" s="16"/>
      <c r="Z275" s="16"/>
      <c r="AA275" s="16"/>
      <c r="AB275" s="9"/>
      <c r="AP275" s="9"/>
      <c r="AQ275" s="9"/>
      <c r="AR275" s="16"/>
      <c r="AS275" s="9"/>
    </row>
    <row r="276" spans="7:45" x14ac:dyDescent="0.25">
      <c r="G276" s="9"/>
      <c r="H276" s="9"/>
      <c r="I276" s="9"/>
      <c r="J276" s="9"/>
      <c r="K276" s="9"/>
      <c r="L276" s="9"/>
      <c r="M276" s="16"/>
      <c r="N276" s="16"/>
      <c r="O276" s="16"/>
      <c r="P276" s="9"/>
      <c r="Q276" s="9"/>
      <c r="R276" s="9"/>
      <c r="S276" s="9"/>
      <c r="T276" s="9"/>
      <c r="U276" s="9"/>
      <c r="V276" s="9"/>
      <c r="W276" s="9"/>
      <c r="X276" s="16"/>
      <c r="Y276" s="16"/>
      <c r="Z276" s="16"/>
      <c r="AA276" s="16"/>
      <c r="AB276" s="9"/>
      <c r="AP276" s="9"/>
      <c r="AQ276" s="9"/>
      <c r="AR276" s="16"/>
      <c r="AS276" s="9"/>
    </row>
    <row r="277" spans="7:45" x14ac:dyDescent="0.25">
      <c r="G277" s="9"/>
      <c r="H277" s="9"/>
      <c r="I277" s="9"/>
      <c r="J277" s="9"/>
      <c r="K277" s="9"/>
      <c r="L277" s="9"/>
      <c r="M277" s="16"/>
      <c r="N277" s="16"/>
      <c r="O277" s="16"/>
      <c r="P277" s="9"/>
      <c r="Q277" s="9"/>
      <c r="R277" s="9"/>
      <c r="S277" s="9"/>
      <c r="T277" s="9"/>
      <c r="U277" s="9"/>
      <c r="V277" s="9"/>
      <c r="W277" s="9"/>
      <c r="X277" s="16"/>
      <c r="Y277" s="16"/>
      <c r="Z277" s="16"/>
      <c r="AA277" s="16"/>
      <c r="AB277" s="9"/>
      <c r="AP277" s="9"/>
      <c r="AQ277" s="9"/>
      <c r="AR277" s="16"/>
      <c r="AS277" s="9"/>
    </row>
    <row r="278" spans="7:45" x14ac:dyDescent="0.25">
      <c r="G278" s="9"/>
      <c r="H278" s="9"/>
      <c r="I278" s="9"/>
      <c r="J278" s="9"/>
      <c r="K278" s="9"/>
      <c r="L278" s="9"/>
      <c r="M278" s="16"/>
      <c r="N278" s="16"/>
      <c r="O278" s="16"/>
      <c r="P278" s="9"/>
      <c r="Q278" s="9"/>
      <c r="R278" s="9"/>
      <c r="S278" s="9"/>
      <c r="T278" s="9"/>
      <c r="U278" s="9"/>
      <c r="V278" s="9"/>
      <c r="W278" s="9"/>
      <c r="X278" s="16"/>
      <c r="Y278" s="16"/>
      <c r="Z278" s="16"/>
      <c r="AA278" s="16"/>
      <c r="AB278" s="9"/>
      <c r="AP278" s="9"/>
      <c r="AQ278" s="9"/>
      <c r="AR278" s="16"/>
      <c r="AS278" s="9"/>
    </row>
    <row r="279" spans="7:45" x14ac:dyDescent="0.25">
      <c r="G279" s="9"/>
      <c r="H279" s="9"/>
      <c r="I279" s="9"/>
      <c r="J279" s="9"/>
      <c r="K279" s="9"/>
      <c r="L279" s="9"/>
      <c r="M279" s="16"/>
      <c r="N279" s="16"/>
      <c r="O279" s="16"/>
      <c r="P279" s="9"/>
      <c r="Q279" s="9"/>
      <c r="R279" s="9"/>
      <c r="S279" s="9"/>
      <c r="T279" s="9"/>
      <c r="U279" s="9"/>
      <c r="V279" s="9"/>
      <c r="W279" s="9"/>
      <c r="X279" s="16"/>
      <c r="Y279" s="16"/>
      <c r="Z279" s="16"/>
      <c r="AA279" s="16"/>
      <c r="AB279" s="9"/>
      <c r="AP279" s="9"/>
      <c r="AQ279" s="9"/>
      <c r="AR279" s="16"/>
      <c r="AS279" s="9"/>
    </row>
    <row r="280" spans="7:45" x14ac:dyDescent="0.25">
      <c r="G280" s="9"/>
      <c r="H280" s="9"/>
      <c r="I280" s="9"/>
      <c r="J280" s="9"/>
      <c r="K280" s="9"/>
      <c r="L280" s="9"/>
      <c r="M280" s="16"/>
      <c r="N280" s="16"/>
      <c r="O280" s="16"/>
      <c r="P280" s="9"/>
      <c r="Q280" s="9"/>
      <c r="R280" s="9"/>
      <c r="S280" s="9"/>
      <c r="T280" s="9"/>
      <c r="U280" s="9"/>
      <c r="V280" s="9"/>
      <c r="W280" s="9"/>
      <c r="X280" s="16"/>
      <c r="Y280" s="16"/>
      <c r="Z280" s="16"/>
      <c r="AA280" s="16"/>
      <c r="AB280" s="9"/>
      <c r="AP280" s="9"/>
      <c r="AQ280" s="9"/>
      <c r="AR280" s="16"/>
      <c r="AS280" s="9"/>
    </row>
    <row r="281" spans="7:45" x14ac:dyDescent="0.25">
      <c r="G281" s="9"/>
      <c r="H281" s="9"/>
      <c r="I281" s="9"/>
      <c r="J281" s="9"/>
      <c r="K281" s="9"/>
      <c r="L281" s="9"/>
      <c r="M281" s="16"/>
      <c r="N281" s="16"/>
      <c r="O281" s="16"/>
      <c r="P281" s="9"/>
      <c r="Q281" s="9"/>
      <c r="R281" s="9"/>
      <c r="S281" s="9"/>
      <c r="T281" s="9"/>
      <c r="U281" s="9"/>
      <c r="V281" s="9"/>
      <c r="W281" s="9"/>
      <c r="X281" s="16"/>
      <c r="Y281" s="16"/>
      <c r="Z281" s="16"/>
      <c r="AA281" s="16"/>
      <c r="AB281" s="9"/>
      <c r="AP281" s="9"/>
      <c r="AQ281" s="9"/>
      <c r="AR281" s="16"/>
      <c r="AS281" s="9"/>
    </row>
    <row r="282" spans="7:45" x14ac:dyDescent="0.25">
      <c r="G282" s="9"/>
      <c r="H282" s="9"/>
      <c r="I282" s="9"/>
      <c r="J282" s="9"/>
      <c r="K282" s="9"/>
      <c r="L282" s="9"/>
      <c r="M282" s="16"/>
      <c r="N282" s="16"/>
      <c r="O282" s="16"/>
      <c r="P282" s="9"/>
      <c r="Q282" s="9"/>
      <c r="R282" s="9"/>
      <c r="S282" s="9"/>
      <c r="T282" s="9"/>
      <c r="U282" s="9"/>
      <c r="V282" s="9"/>
      <c r="W282" s="9"/>
      <c r="X282" s="16"/>
      <c r="Y282" s="16"/>
      <c r="Z282" s="16"/>
      <c r="AA282" s="16"/>
      <c r="AB282" s="9"/>
      <c r="AP282" s="9"/>
      <c r="AQ282" s="9"/>
      <c r="AR282" s="16"/>
      <c r="AS282" s="9"/>
    </row>
    <row r="283" spans="7:45" x14ac:dyDescent="0.25">
      <c r="G283" s="9"/>
      <c r="H283" s="9"/>
      <c r="I283" s="9"/>
      <c r="J283" s="9"/>
      <c r="K283" s="9"/>
      <c r="L283" s="9"/>
      <c r="M283" s="16"/>
      <c r="N283" s="16"/>
      <c r="O283" s="16"/>
      <c r="P283" s="9"/>
      <c r="Q283" s="9"/>
      <c r="R283" s="9"/>
      <c r="S283" s="9"/>
      <c r="T283" s="9"/>
      <c r="U283" s="9"/>
      <c r="V283" s="9"/>
      <c r="W283" s="9"/>
      <c r="X283" s="16"/>
      <c r="Y283" s="16"/>
      <c r="Z283" s="16"/>
      <c r="AA283" s="16"/>
      <c r="AB283" s="9"/>
      <c r="AP283" s="9"/>
      <c r="AQ283" s="9"/>
      <c r="AR283" s="16"/>
      <c r="AS283" s="9"/>
    </row>
    <row r="284" spans="7:45" x14ac:dyDescent="0.25">
      <c r="G284" s="9"/>
      <c r="H284" s="9"/>
      <c r="I284" s="9"/>
      <c r="J284" s="9"/>
      <c r="K284" s="9"/>
      <c r="L284" s="9"/>
      <c r="M284" s="16"/>
      <c r="N284" s="16"/>
      <c r="O284" s="16"/>
      <c r="P284" s="9"/>
      <c r="Q284" s="9"/>
      <c r="R284" s="9"/>
      <c r="S284" s="9"/>
      <c r="T284" s="9"/>
      <c r="U284" s="9"/>
      <c r="V284" s="9"/>
      <c r="W284" s="9"/>
      <c r="X284" s="16"/>
      <c r="Y284" s="16"/>
      <c r="Z284" s="16"/>
      <c r="AA284" s="16"/>
      <c r="AB284" s="9"/>
      <c r="AP284" s="9"/>
      <c r="AQ284" s="9"/>
      <c r="AR284" s="16"/>
      <c r="AS284" s="9"/>
    </row>
    <row r="285" spans="7:45" x14ac:dyDescent="0.25">
      <c r="G285" s="9"/>
      <c r="H285" s="9"/>
      <c r="I285" s="9"/>
      <c r="J285" s="9"/>
      <c r="K285" s="9"/>
      <c r="L285" s="9"/>
      <c r="M285" s="16"/>
      <c r="N285" s="16"/>
      <c r="O285" s="16"/>
      <c r="P285" s="9"/>
      <c r="Q285" s="9"/>
      <c r="R285" s="9"/>
      <c r="S285" s="9"/>
      <c r="T285" s="9"/>
      <c r="U285" s="9"/>
      <c r="V285" s="9"/>
      <c r="W285" s="9"/>
      <c r="X285" s="16"/>
      <c r="Y285" s="16"/>
      <c r="Z285" s="16"/>
      <c r="AA285" s="16"/>
      <c r="AB285" s="9"/>
      <c r="AP285" s="9"/>
      <c r="AQ285" s="9"/>
      <c r="AR285" s="16"/>
      <c r="AS285" s="9"/>
    </row>
    <row r="286" spans="7:45" x14ac:dyDescent="0.25">
      <c r="G286" s="9"/>
      <c r="H286" s="9"/>
      <c r="I286" s="9"/>
      <c r="J286" s="9"/>
      <c r="K286" s="9"/>
      <c r="L286" s="9"/>
      <c r="M286" s="16"/>
      <c r="N286" s="16"/>
      <c r="O286" s="16"/>
      <c r="P286" s="9"/>
      <c r="Q286" s="9"/>
      <c r="R286" s="9"/>
      <c r="S286" s="9"/>
      <c r="T286" s="9"/>
      <c r="U286" s="9"/>
      <c r="V286" s="9"/>
      <c r="W286" s="9"/>
      <c r="X286" s="16"/>
      <c r="Y286" s="16"/>
      <c r="Z286" s="16"/>
      <c r="AA286" s="16"/>
      <c r="AB286" s="9"/>
      <c r="AP286" s="9"/>
      <c r="AQ286" s="9"/>
      <c r="AR286" s="16"/>
      <c r="AS286" s="9"/>
    </row>
    <row r="287" spans="7:45" x14ac:dyDescent="0.25">
      <c r="G287" s="9"/>
      <c r="H287" s="9"/>
      <c r="I287" s="9"/>
      <c r="J287" s="9"/>
      <c r="K287" s="9"/>
      <c r="L287" s="9"/>
      <c r="M287" s="16"/>
      <c r="N287" s="16"/>
      <c r="O287" s="16"/>
      <c r="P287" s="9"/>
      <c r="Q287" s="9"/>
      <c r="R287" s="9"/>
      <c r="S287" s="9"/>
      <c r="T287" s="9"/>
      <c r="U287" s="9"/>
      <c r="V287" s="9"/>
      <c r="W287" s="9"/>
      <c r="X287" s="16"/>
      <c r="Y287" s="16"/>
      <c r="Z287" s="16"/>
      <c r="AA287" s="16"/>
      <c r="AB287" s="9"/>
      <c r="AP287" s="9"/>
      <c r="AQ287" s="9"/>
      <c r="AR287" s="16"/>
      <c r="AS287" s="9"/>
    </row>
    <row r="288" spans="7:45" x14ac:dyDescent="0.25">
      <c r="G288" s="9"/>
      <c r="H288" s="9"/>
      <c r="I288" s="9"/>
      <c r="J288" s="9"/>
      <c r="K288" s="9"/>
      <c r="L288" s="9"/>
      <c r="M288" s="16"/>
      <c r="N288" s="16"/>
      <c r="O288" s="16"/>
      <c r="P288" s="9"/>
      <c r="Q288" s="9"/>
      <c r="R288" s="9"/>
      <c r="S288" s="9"/>
      <c r="T288" s="9"/>
      <c r="U288" s="9"/>
      <c r="V288" s="9"/>
      <c r="W288" s="9"/>
      <c r="X288" s="16"/>
      <c r="Y288" s="16"/>
      <c r="Z288" s="16"/>
      <c r="AA288" s="16"/>
      <c r="AB288" s="9"/>
      <c r="AP288" s="9"/>
      <c r="AQ288" s="9"/>
      <c r="AR288" s="16"/>
      <c r="AS288" s="9"/>
    </row>
    <row r="289" spans="7:45" x14ac:dyDescent="0.25">
      <c r="G289" s="9"/>
      <c r="H289" s="9"/>
      <c r="I289" s="9"/>
      <c r="J289" s="9"/>
      <c r="K289" s="9"/>
      <c r="L289" s="9"/>
      <c r="M289" s="16"/>
      <c r="N289" s="16"/>
      <c r="O289" s="16"/>
      <c r="P289" s="9"/>
      <c r="Q289" s="9"/>
      <c r="R289" s="9"/>
      <c r="S289" s="9"/>
      <c r="T289" s="9"/>
      <c r="U289" s="9"/>
      <c r="V289" s="9"/>
      <c r="W289" s="9"/>
      <c r="X289" s="16"/>
      <c r="Y289" s="16"/>
      <c r="Z289" s="16"/>
      <c r="AA289" s="16"/>
      <c r="AB289" s="9"/>
      <c r="AP289" s="9"/>
      <c r="AQ289" s="9"/>
      <c r="AR289" s="16"/>
      <c r="AS289" s="9"/>
    </row>
    <row r="290" spans="7:45" x14ac:dyDescent="0.25">
      <c r="G290" s="9"/>
      <c r="H290" s="9"/>
      <c r="I290" s="9"/>
      <c r="J290" s="9"/>
      <c r="K290" s="9"/>
      <c r="L290" s="9"/>
      <c r="M290" s="16"/>
      <c r="N290" s="16"/>
      <c r="O290" s="16"/>
      <c r="P290" s="9"/>
      <c r="Q290" s="9"/>
      <c r="R290" s="9"/>
      <c r="S290" s="9"/>
      <c r="T290" s="9"/>
      <c r="U290" s="9"/>
      <c r="V290" s="9"/>
      <c r="W290" s="9"/>
      <c r="X290" s="16"/>
      <c r="Y290" s="16"/>
      <c r="Z290" s="16"/>
      <c r="AA290" s="16"/>
      <c r="AB290" s="9"/>
      <c r="AP290" s="9"/>
      <c r="AQ290" s="9"/>
      <c r="AR290" s="16"/>
      <c r="AS290" s="9"/>
    </row>
    <row r="291" spans="7:45" x14ac:dyDescent="0.25">
      <c r="G291" s="9"/>
      <c r="H291" s="9"/>
      <c r="I291" s="9"/>
      <c r="J291" s="9"/>
      <c r="K291" s="9"/>
      <c r="L291" s="9"/>
      <c r="M291" s="16"/>
      <c r="N291" s="16"/>
      <c r="O291" s="16"/>
      <c r="P291" s="9"/>
      <c r="Q291" s="9"/>
      <c r="R291" s="9"/>
      <c r="S291" s="9"/>
      <c r="T291" s="9"/>
      <c r="U291" s="9"/>
      <c r="V291" s="9"/>
      <c r="W291" s="9"/>
      <c r="X291" s="16"/>
      <c r="Y291" s="16"/>
      <c r="Z291" s="16"/>
      <c r="AA291" s="16"/>
      <c r="AB291" s="9"/>
      <c r="AP291" s="9"/>
      <c r="AQ291" s="9"/>
      <c r="AR291" s="16"/>
      <c r="AS291" s="9"/>
    </row>
    <row r="292" spans="7:45" x14ac:dyDescent="0.25">
      <c r="G292" s="9"/>
      <c r="H292" s="9"/>
      <c r="I292" s="9"/>
      <c r="J292" s="9"/>
      <c r="K292" s="9"/>
      <c r="L292" s="9"/>
      <c r="M292" s="16"/>
      <c r="N292" s="16"/>
      <c r="O292" s="16"/>
      <c r="P292" s="9"/>
      <c r="Q292" s="9"/>
      <c r="R292" s="9"/>
      <c r="S292" s="9"/>
      <c r="T292" s="9"/>
      <c r="U292" s="9"/>
      <c r="V292" s="9"/>
      <c r="W292" s="9"/>
      <c r="X292" s="16"/>
      <c r="Y292" s="16"/>
      <c r="Z292" s="16"/>
      <c r="AA292" s="16"/>
      <c r="AB292" s="9"/>
      <c r="AP292" s="9"/>
      <c r="AQ292" s="9"/>
      <c r="AR292" s="16"/>
      <c r="AS292" s="9"/>
    </row>
    <row r="293" spans="7:45" x14ac:dyDescent="0.25">
      <c r="G293" s="9"/>
      <c r="H293" s="9"/>
      <c r="I293" s="9"/>
      <c r="J293" s="9"/>
      <c r="K293" s="9"/>
      <c r="L293" s="9"/>
      <c r="M293" s="16"/>
      <c r="N293" s="16"/>
      <c r="O293" s="16"/>
      <c r="P293" s="9"/>
      <c r="Q293" s="9"/>
      <c r="R293" s="9"/>
      <c r="S293" s="9"/>
      <c r="T293" s="9"/>
      <c r="U293" s="9"/>
      <c r="V293" s="9"/>
      <c r="W293" s="9"/>
      <c r="X293" s="16"/>
      <c r="Y293" s="16"/>
      <c r="Z293" s="16"/>
      <c r="AA293" s="16"/>
      <c r="AB293" s="9"/>
      <c r="AP293" s="9"/>
      <c r="AQ293" s="9"/>
      <c r="AR293" s="16"/>
      <c r="AS293" s="9"/>
    </row>
    <row r="294" spans="7:45" x14ac:dyDescent="0.25">
      <c r="G294" s="9"/>
      <c r="H294" s="9"/>
      <c r="I294" s="9"/>
      <c r="J294" s="9"/>
      <c r="K294" s="9"/>
      <c r="L294" s="9"/>
      <c r="M294" s="16"/>
      <c r="N294" s="16"/>
      <c r="O294" s="16"/>
      <c r="P294" s="9"/>
      <c r="Q294" s="9"/>
      <c r="R294" s="9"/>
      <c r="S294" s="9"/>
      <c r="T294" s="9"/>
      <c r="U294" s="9"/>
      <c r="V294" s="9"/>
      <c r="W294" s="9"/>
      <c r="X294" s="16"/>
      <c r="Y294" s="16"/>
      <c r="Z294" s="16"/>
      <c r="AA294" s="16"/>
      <c r="AB294" s="9"/>
      <c r="AP294" s="9"/>
      <c r="AQ294" s="9"/>
      <c r="AR294" s="16"/>
      <c r="AS294" s="9"/>
    </row>
    <row r="295" spans="7:45" x14ac:dyDescent="0.25">
      <c r="G295" s="9"/>
      <c r="H295" s="9"/>
      <c r="I295" s="9"/>
      <c r="J295" s="9"/>
      <c r="K295" s="9"/>
      <c r="L295" s="9"/>
      <c r="M295" s="16"/>
      <c r="N295" s="16"/>
      <c r="O295" s="16"/>
      <c r="P295" s="9"/>
      <c r="Q295" s="9"/>
      <c r="R295" s="9"/>
      <c r="S295" s="9"/>
      <c r="T295" s="9"/>
      <c r="U295" s="9"/>
      <c r="V295" s="9"/>
      <c r="W295" s="9"/>
      <c r="X295" s="16"/>
      <c r="Y295" s="16"/>
      <c r="Z295" s="16"/>
      <c r="AA295" s="16"/>
      <c r="AB295" s="9"/>
      <c r="AP295" s="9"/>
      <c r="AQ295" s="9"/>
      <c r="AR295" s="16"/>
      <c r="AS295" s="9"/>
    </row>
    <row r="296" spans="7:45" x14ac:dyDescent="0.25">
      <c r="G296" s="9"/>
      <c r="H296" s="9"/>
      <c r="I296" s="9"/>
      <c r="J296" s="9"/>
      <c r="K296" s="9"/>
      <c r="L296" s="9"/>
      <c r="M296" s="16"/>
      <c r="N296" s="16"/>
      <c r="O296" s="16"/>
      <c r="P296" s="9"/>
      <c r="Q296" s="9"/>
      <c r="R296" s="9"/>
      <c r="S296" s="9"/>
      <c r="T296" s="9"/>
      <c r="U296" s="9"/>
      <c r="V296" s="9"/>
      <c r="W296" s="9"/>
      <c r="X296" s="16"/>
      <c r="Y296" s="16"/>
      <c r="Z296" s="16"/>
      <c r="AA296" s="16"/>
      <c r="AB296" s="9"/>
      <c r="AP296" s="9"/>
      <c r="AQ296" s="9"/>
      <c r="AR296" s="16"/>
      <c r="AS296" s="9"/>
    </row>
    <row r="297" spans="7:45" x14ac:dyDescent="0.25">
      <c r="G297" s="9"/>
      <c r="H297" s="9"/>
      <c r="I297" s="9"/>
      <c r="J297" s="9"/>
      <c r="K297" s="9"/>
      <c r="L297" s="9"/>
      <c r="M297" s="16"/>
      <c r="N297" s="16"/>
      <c r="O297" s="16"/>
      <c r="P297" s="9"/>
      <c r="Q297" s="9"/>
      <c r="R297" s="9"/>
      <c r="S297" s="9"/>
      <c r="T297" s="9"/>
      <c r="U297" s="9"/>
      <c r="V297" s="9"/>
      <c r="W297" s="9"/>
      <c r="X297" s="16"/>
      <c r="Y297" s="16"/>
      <c r="Z297" s="16"/>
      <c r="AA297" s="16"/>
      <c r="AB297" s="9"/>
      <c r="AP297" s="9"/>
      <c r="AQ297" s="9"/>
      <c r="AR297" s="16"/>
      <c r="AS297" s="9"/>
    </row>
    <row r="298" spans="7:45" x14ac:dyDescent="0.25">
      <c r="G298" s="9"/>
      <c r="H298" s="9"/>
      <c r="I298" s="9"/>
      <c r="J298" s="9"/>
      <c r="K298" s="9"/>
      <c r="L298" s="9"/>
      <c r="M298" s="16"/>
      <c r="N298" s="16"/>
      <c r="O298" s="16"/>
      <c r="P298" s="9"/>
      <c r="Q298" s="9"/>
      <c r="R298" s="9"/>
      <c r="S298" s="9"/>
      <c r="T298" s="9"/>
      <c r="U298" s="9"/>
      <c r="V298" s="9"/>
      <c r="W298" s="9"/>
      <c r="X298" s="16"/>
      <c r="Y298" s="16"/>
      <c r="Z298" s="16"/>
      <c r="AA298" s="16"/>
      <c r="AB298" s="9"/>
      <c r="AP298" s="9"/>
      <c r="AQ298" s="9"/>
      <c r="AR298" s="16"/>
      <c r="AS298" s="9"/>
    </row>
    <row r="299" spans="7:45" x14ac:dyDescent="0.25">
      <c r="G299" s="9"/>
      <c r="H299" s="9"/>
      <c r="I299" s="9"/>
      <c r="J299" s="9"/>
      <c r="K299" s="9"/>
      <c r="L299" s="9"/>
      <c r="M299" s="16"/>
      <c r="N299" s="16"/>
      <c r="O299" s="16"/>
      <c r="P299" s="9"/>
      <c r="Q299" s="9"/>
      <c r="R299" s="9"/>
      <c r="S299" s="9"/>
      <c r="T299" s="9"/>
      <c r="U299" s="9"/>
      <c r="V299" s="9"/>
      <c r="W299" s="9"/>
      <c r="X299" s="16"/>
      <c r="Y299" s="16"/>
      <c r="Z299" s="16"/>
      <c r="AA299" s="16"/>
      <c r="AB299" s="9"/>
      <c r="AP299" s="9"/>
      <c r="AQ299" s="9"/>
      <c r="AR299" s="16"/>
      <c r="AS299" s="9"/>
    </row>
    <row r="300" spans="7:45" x14ac:dyDescent="0.25">
      <c r="G300" s="9"/>
      <c r="H300" s="9"/>
      <c r="I300" s="9"/>
      <c r="J300" s="9"/>
      <c r="K300" s="9"/>
      <c r="L300" s="9"/>
      <c r="M300" s="16"/>
      <c r="N300" s="16"/>
      <c r="O300" s="16"/>
      <c r="P300" s="9"/>
      <c r="Q300" s="9"/>
      <c r="R300" s="9"/>
      <c r="S300" s="9"/>
      <c r="T300" s="9"/>
      <c r="U300" s="9"/>
      <c r="V300" s="9"/>
      <c r="W300" s="9"/>
      <c r="X300" s="16"/>
      <c r="Y300" s="16"/>
      <c r="Z300" s="16"/>
      <c r="AA300" s="16"/>
      <c r="AB300" s="9"/>
      <c r="AP300" s="9"/>
      <c r="AQ300" s="9"/>
      <c r="AR300" s="16"/>
      <c r="AS300" s="9"/>
    </row>
    <row r="301" spans="7:45" x14ac:dyDescent="0.25">
      <c r="G301" s="9"/>
      <c r="H301" s="9"/>
      <c r="I301" s="9"/>
      <c r="J301" s="9"/>
      <c r="K301" s="9"/>
      <c r="L301" s="9"/>
      <c r="M301" s="16"/>
      <c r="N301" s="16"/>
      <c r="O301" s="16"/>
      <c r="P301" s="9"/>
      <c r="Q301" s="9"/>
      <c r="R301" s="9"/>
      <c r="S301" s="9"/>
      <c r="T301" s="9"/>
      <c r="U301" s="9"/>
      <c r="V301" s="9"/>
      <c r="W301" s="9"/>
      <c r="X301" s="16"/>
      <c r="Y301" s="16"/>
      <c r="Z301" s="16"/>
      <c r="AA301" s="16"/>
      <c r="AB301" s="9"/>
      <c r="AP301" s="9"/>
      <c r="AQ301" s="9"/>
      <c r="AR301" s="16"/>
      <c r="AS301" s="9"/>
    </row>
    <row r="302" spans="7:45" x14ac:dyDescent="0.25">
      <c r="G302" s="9"/>
      <c r="H302" s="9"/>
      <c r="I302" s="9"/>
      <c r="J302" s="9"/>
      <c r="K302" s="9"/>
      <c r="L302" s="9"/>
      <c r="M302" s="16"/>
      <c r="N302" s="16"/>
      <c r="O302" s="16"/>
      <c r="P302" s="9"/>
      <c r="Q302" s="9"/>
      <c r="R302" s="9"/>
      <c r="S302" s="9"/>
      <c r="T302" s="9"/>
      <c r="U302" s="9"/>
      <c r="V302" s="9"/>
      <c r="W302" s="9"/>
      <c r="X302" s="16"/>
      <c r="Y302" s="16"/>
      <c r="Z302" s="16"/>
      <c r="AA302" s="16"/>
      <c r="AB302" s="9"/>
      <c r="AP302" s="9"/>
      <c r="AQ302" s="9"/>
      <c r="AR302" s="16"/>
      <c r="AS302" s="9"/>
    </row>
    <row r="303" spans="7:45" x14ac:dyDescent="0.25">
      <c r="G303" s="9"/>
      <c r="H303" s="9"/>
      <c r="I303" s="9"/>
      <c r="J303" s="9"/>
      <c r="K303" s="9"/>
      <c r="L303" s="9"/>
      <c r="M303" s="16"/>
      <c r="N303" s="16"/>
      <c r="O303" s="16"/>
      <c r="P303" s="9"/>
      <c r="Q303" s="9"/>
      <c r="R303" s="9"/>
      <c r="S303" s="9"/>
      <c r="T303" s="9"/>
      <c r="U303" s="9"/>
      <c r="V303" s="9"/>
      <c r="W303" s="9"/>
      <c r="X303" s="16"/>
      <c r="Y303" s="16"/>
      <c r="Z303" s="16"/>
      <c r="AA303" s="16"/>
      <c r="AB303" s="9"/>
      <c r="AP303" s="9"/>
      <c r="AQ303" s="9"/>
      <c r="AR303" s="16"/>
      <c r="AS303" s="9"/>
    </row>
    <row r="304" spans="7:45" x14ac:dyDescent="0.25">
      <c r="G304" s="9"/>
      <c r="H304" s="9"/>
      <c r="I304" s="9"/>
      <c r="J304" s="9"/>
      <c r="K304" s="9"/>
      <c r="L304" s="9"/>
      <c r="M304" s="16"/>
      <c r="N304" s="16"/>
      <c r="O304" s="16"/>
      <c r="P304" s="9"/>
      <c r="Q304" s="9"/>
      <c r="R304" s="9"/>
      <c r="S304" s="9"/>
      <c r="T304" s="9"/>
      <c r="U304" s="9"/>
      <c r="V304" s="9"/>
      <c r="W304" s="9"/>
      <c r="X304" s="16"/>
      <c r="Y304" s="16"/>
      <c r="Z304" s="16"/>
      <c r="AA304" s="16"/>
      <c r="AB304" s="9"/>
      <c r="AP304" s="9"/>
      <c r="AQ304" s="9"/>
      <c r="AR304" s="16"/>
      <c r="AS304" s="9"/>
    </row>
    <row r="305" spans="7:45" x14ac:dyDescent="0.25">
      <c r="G305" s="9"/>
      <c r="H305" s="9"/>
      <c r="I305" s="9"/>
      <c r="J305" s="9"/>
      <c r="K305" s="9"/>
      <c r="L305" s="9"/>
      <c r="M305" s="16"/>
      <c r="N305" s="16"/>
      <c r="O305" s="16"/>
      <c r="P305" s="9"/>
      <c r="Q305" s="9"/>
      <c r="R305" s="9"/>
      <c r="S305" s="9"/>
      <c r="T305" s="9"/>
      <c r="U305" s="9"/>
      <c r="V305" s="9"/>
      <c r="W305" s="9"/>
      <c r="X305" s="16"/>
      <c r="Y305" s="16"/>
      <c r="Z305" s="16"/>
      <c r="AA305" s="16"/>
      <c r="AB305" s="9"/>
      <c r="AP305" s="9"/>
      <c r="AQ305" s="9"/>
      <c r="AR305" s="16"/>
      <c r="AS305" s="9"/>
    </row>
    <row r="306" spans="7:45" x14ac:dyDescent="0.25">
      <c r="G306" s="9"/>
      <c r="H306" s="9"/>
      <c r="I306" s="9"/>
      <c r="J306" s="9"/>
      <c r="K306" s="9"/>
      <c r="L306" s="9"/>
      <c r="M306" s="16"/>
      <c r="N306" s="16"/>
      <c r="O306" s="16"/>
      <c r="P306" s="9"/>
      <c r="Q306" s="9"/>
      <c r="R306" s="9"/>
      <c r="S306" s="9"/>
      <c r="T306" s="9"/>
      <c r="U306" s="9"/>
      <c r="V306" s="9"/>
      <c r="W306" s="9"/>
      <c r="X306" s="16"/>
      <c r="Y306" s="16"/>
      <c r="Z306" s="16"/>
      <c r="AA306" s="16"/>
      <c r="AB306" s="9"/>
      <c r="AP306" s="9"/>
      <c r="AQ306" s="9"/>
      <c r="AR306" s="16"/>
      <c r="AS306" s="9"/>
    </row>
    <row r="307" spans="7:45" x14ac:dyDescent="0.25">
      <c r="G307" s="9"/>
      <c r="H307" s="9"/>
      <c r="I307" s="9"/>
      <c r="J307" s="9"/>
      <c r="K307" s="9"/>
      <c r="L307" s="9"/>
      <c r="M307" s="16"/>
      <c r="N307" s="16"/>
      <c r="O307" s="16"/>
      <c r="P307" s="9"/>
      <c r="Q307" s="9"/>
      <c r="R307" s="9"/>
      <c r="S307" s="9"/>
      <c r="T307" s="9"/>
      <c r="U307" s="9"/>
      <c r="V307" s="9"/>
      <c r="W307" s="9"/>
      <c r="X307" s="16"/>
      <c r="Y307" s="16"/>
      <c r="Z307" s="16"/>
      <c r="AA307" s="16"/>
      <c r="AB307" s="9"/>
      <c r="AP307" s="9"/>
      <c r="AQ307" s="9"/>
      <c r="AR307" s="16"/>
      <c r="AS307" s="9"/>
    </row>
    <row r="308" spans="7:45" x14ac:dyDescent="0.25">
      <c r="G308" s="9"/>
      <c r="H308" s="9"/>
      <c r="I308" s="9"/>
      <c r="J308" s="9"/>
      <c r="K308" s="9"/>
      <c r="L308" s="9"/>
      <c r="M308" s="16"/>
      <c r="N308" s="16"/>
      <c r="O308" s="16"/>
      <c r="P308" s="9"/>
      <c r="Q308" s="9"/>
      <c r="R308" s="9"/>
      <c r="S308" s="9"/>
      <c r="T308" s="9"/>
      <c r="U308" s="9"/>
      <c r="V308" s="9"/>
      <c r="W308" s="9"/>
      <c r="X308" s="16"/>
      <c r="Y308" s="16"/>
      <c r="Z308" s="16"/>
      <c r="AA308" s="16"/>
      <c r="AB308" s="9"/>
      <c r="AP308" s="9"/>
      <c r="AQ308" s="9"/>
      <c r="AR308" s="16"/>
      <c r="AS308" s="9"/>
    </row>
    <row r="309" spans="7:45" x14ac:dyDescent="0.25">
      <c r="G309" s="9"/>
      <c r="H309" s="9"/>
      <c r="I309" s="9"/>
      <c r="J309" s="9"/>
      <c r="K309" s="9"/>
      <c r="L309" s="9"/>
      <c r="M309" s="16"/>
      <c r="N309" s="16"/>
      <c r="O309" s="16"/>
      <c r="P309" s="9"/>
      <c r="Q309" s="9"/>
      <c r="R309" s="9"/>
      <c r="S309" s="9"/>
      <c r="T309" s="9"/>
      <c r="U309" s="9"/>
      <c r="V309" s="9"/>
      <c r="W309" s="9"/>
      <c r="X309" s="16"/>
      <c r="Y309" s="16"/>
      <c r="Z309" s="16"/>
      <c r="AA309" s="16"/>
      <c r="AB309" s="9"/>
      <c r="AP309" s="9"/>
      <c r="AQ309" s="9"/>
      <c r="AR309" s="16"/>
      <c r="AS309" s="9"/>
    </row>
    <row r="310" spans="7:45" x14ac:dyDescent="0.25">
      <c r="G310" s="9"/>
      <c r="H310" s="9"/>
      <c r="I310" s="9"/>
      <c r="J310" s="9"/>
      <c r="K310" s="9"/>
      <c r="L310" s="9"/>
      <c r="M310" s="16"/>
      <c r="N310" s="16"/>
      <c r="O310" s="16"/>
      <c r="P310" s="9"/>
      <c r="Q310" s="9"/>
      <c r="R310" s="9"/>
      <c r="S310" s="9"/>
      <c r="T310" s="9"/>
      <c r="U310" s="9"/>
      <c r="V310" s="9"/>
      <c r="W310" s="9"/>
      <c r="X310" s="16"/>
      <c r="Y310" s="16"/>
      <c r="Z310" s="16"/>
      <c r="AA310" s="16"/>
      <c r="AB310" s="9"/>
      <c r="AP310" s="9"/>
      <c r="AQ310" s="9"/>
      <c r="AR310" s="16"/>
      <c r="AS310" s="9"/>
    </row>
    <row r="311" spans="7:45" x14ac:dyDescent="0.25">
      <c r="G311" s="9"/>
      <c r="H311" s="9"/>
      <c r="I311" s="9"/>
      <c r="J311" s="9"/>
      <c r="K311" s="9"/>
      <c r="L311" s="9"/>
      <c r="M311" s="16"/>
      <c r="N311" s="16"/>
      <c r="O311" s="16"/>
      <c r="P311" s="9"/>
      <c r="Q311" s="9"/>
      <c r="R311" s="9"/>
      <c r="S311" s="9"/>
      <c r="T311" s="9"/>
      <c r="U311" s="9"/>
      <c r="V311" s="9"/>
      <c r="W311" s="9"/>
      <c r="X311" s="16"/>
      <c r="Y311" s="16"/>
      <c r="Z311" s="16"/>
      <c r="AA311" s="16"/>
      <c r="AB311" s="9"/>
      <c r="AP311" s="9"/>
      <c r="AQ311" s="9"/>
      <c r="AR311" s="16"/>
      <c r="AS311" s="9"/>
    </row>
    <row r="312" spans="7:45" x14ac:dyDescent="0.25">
      <c r="G312" s="9"/>
      <c r="H312" s="9"/>
      <c r="I312" s="9"/>
      <c r="J312" s="9"/>
      <c r="K312" s="9"/>
      <c r="L312" s="9"/>
      <c r="M312" s="16"/>
      <c r="N312" s="16"/>
      <c r="O312" s="16"/>
      <c r="P312" s="9"/>
      <c r="Q312" s="9"/>
      <c r="R312" s="9"/>
      <c r="S312" s="9"/>
      <c r="T312" s="9"/>
      <c r="U312" s="9"/>
      <c r="V312" s="9"/>
      <c r="W312" s="9"/>
      <c r="X312" s="16"/>
      <c r="Y312" s="16"/>
      <c r="Z312" s="16"/>
      <c r="AA312" s="16"/>
      <c r="AB312" s="9"/>
      <c r="AP312" s="9"/>
      <c r="AQ312" s="9"/>
      <c r="AR312" s="16"/>
      <c r="AS312" s="9"/>
    </row>
    <row r="313" spans="7:45" x14ac:dyDescent="0.25">
      <c r="G313" s="9"/>
      <c r="H313" s="9"/>
      <c r="I313" s="9"/>
      <c r="J313" s="9"/>
      <c r="K313" s="9"/>
      <c r="L313" s="9"/>
      <c r="M313" s="16"/>
      <c r="N313" s="16"/>
      <c r="O313" s="16"/>
      <c r="P313" s="9"/>
      <c r="Q313" s="9"/>
      <c r="R313" s="9"/>
      <c r="S313" s="9"/>
      <c r="T313" s="9"/>
      <c r="U313" s="9"/>
      <c r="V313" s="9"/>
      <c r="W313" s="9"/>
      <c r="X313" s="16"/>
      <c r="Y313" s="16"/>
      <c r="Z313" s="16"/>
      <c r="AA313" s="16"/>
      <c r="AB313" s="9"/>
      <c r="AP313" s="9"/>
      <c r="AQ313" s="9"/>
      <c r="AR313" s="16"/>
      <c r="AS313" s="9"/>
    </row>
    <row r="314" spans="7:45" x14ac:dyDescent="0.25">
      <c r="G314" s="9"/>
      <c r="H314" s="9"/>
      <c r="I314" s="9"/>
      <c r="J314" s="9"/>
      <c r="K314" s="9"/>
      <c r="L314" s="9"/>
      <c r="M314" s="16"/>
      <c r="N314" s="16"/>
      <c r="O314" s="16"/>
      <c r="P314" s="9"/>
      <c r="Q314" s="9"/>
      <c r="R314" s="9"/>
      <c r="S314" s="9"/>
      <c r="T314" s="9"/>
      <c r="U314" s="9"/>
      <c r="V314" s="9"/>
      <c r="W314" s="9"/>
      <c r="X314" s="16"/>
      <c r="Y314" s="16"/>
      <c r="Z314" s="16"/>
      <c r="AA314" s="16"/>
      <c r="AB314" s="9"/>
      <c r="AP314" s="9"/>
      <c r="AQ314" s="9"/>
      <c r="AR314" s="16"/>
      <c r="AS314" s="9"/>
    </row>
    <row r="315" spans="7:45" x14ac:dyDescent="0.25">
      <c r="G315" s="9"/>
      <c r="H315" s="9"/>
      <c r="I315" s="9"/>
      <c r="J315" s="9"/>
      <c r="K315" s="9"/>
      <c r="L315" s="9"/>
      <c r="M315" s="16"/>
      <c r="N315" s="16"/>
      <c r="O315" s="16"/>
      <c r="P315" s="9"/>
      <c r="Q315" s="9"/>
      <c r="R315" s="9"/>
      <c r="S315" s="9"/>
      <c r="T315" s="9"/>
      <c r="U315" s="9"/>
      <c r="V315" s="9"/>
      <c r="W315" s="9"/>
      <c r="X315" s="16"/>
      <c r="Y315" s="16"/>
      <c r="Z315" s="16"/>
      <c r="AA315" s="16"/>
      <c r="AB315" s="9"/>
      <c r="AP315" s="9"/>
      <c r="AQ315" s="9"/>
      <c r="AR315" s="16"/>
      <c r="AS315" s="9"/>
    </row>
    <row r="316" spans="7:45" x14ac:dyDescent="0.25">
      <c r="G316" s="9"/>
      <c r="H316" s="9"/>
      <c r="I316" s="9"/>
      <c r="J316" s="9"/>
      <c r="K316" s="9"/>
      <c r="L316" s="9"/>
      <c r="M316" s="16"/>
      <c r="N316" s="16"/>
      <c r="O316" s="16"/>
      <c r="P316" s="9"/>
      <c r="Q316" s="9"/>
      <c r="R316" s="9"/>
      <c r="S316" s="9"/>
      <c r="T316" s="9"/>
      <c r="U316" s="9"/>
      <c r="V316" s="9"/>
      <c r="W316" s="9"/>
      <c r="X316" s="16"/>
      <c r="Y316" s="16"/>
      <c r="Z316" s="16"/>
      <c r="AA316" s="16"/>
      <c r="AB316" s="9"/>
      <c r="AP316" s="9"/>
      <c r="AQ316" s="9"/>
      <c r="AR316" s="16"/>
      <c r="AS316" s="9"/>
    </row>
    <row r="317" spans="7:45" x14ac:dyDescent="0.25">
      <c r="G317" s="9"/>
      <c r="H317" s="9"/>
      <c r="I317" s="9"/>
      <c r="J317" s="9"/>
      <c r="K317" s="9"/>
      <c r="L317" s="9"/>
      <c r="M317" s="16"/>
      <c r="N317" s="16"/>
      <c r="O317" s="16"/>
      <c r="P317" s="9"/>
      <c r="Q317" s="9"/>
      <c r="R317" s="9"/>
      <c r="S317" s="9"/>
      <c r="T317" s="9"/>
      <c r="U317" s="9"/>
      <c r="V317" s="9"/>
      <c r="W317" s="9"/>
      <c r="X317" s="16"/>
      <c r="Y317" s="16"/>
      <c r="Z317" s="16"/>
      <c r="AA317" s="16"/>
      <c r="AB317" s="9"/>
      <c r="AP317" s="9"/>
      <c r="AQ317" s="9"/>
      <c r="AR317" s="16"/>
      <c r="AS317" s="9"/>
    </row>
    <row r="318" spans="7:45" x14ac:dyDescent="0.25">
      <c r="G318" s="9"/>
      <c r="H318" s="9"/>
      <c r="I318" s="9"/>
      <c r="J318" s="9"/>
      <c r="K318" s="9"/>
      <c r="L318" s="9"/>
      <c r="M318" s="16"/>
      <c r="N318" s="16"/>
      <c r="O318" s="16"/>
      <c r="P318" s="9"/>
      <c r="Q318" s="9"/>
      <c r="R318" s="9"/>
      <c r="S318" s="9"/>
      <c r="T318" s="9"/>
      <c r="U318" s="9"/>
      <c r="V318" s="9"/>
      <c r="W318" s="9"/>
      <c r="X318" s="16"/>
      <c r="Y318" s="16"/>
      <c r="Z318" s="16"/>
      <c r="AA318" s="16"/>
      <c r="AB318" s="9"/>
      <c r="AP318" s="9"/>
      <c r="AQ318" s="9"/>
      <c r="AR318" s="16"/>
      <c r="AS318" s="9"/>
    </row>
    <row r="319" spans="7:45" x14ac:dyDescent="0.25">
      <c r="G319" s="9"/>
      <c r="H319" s="9"/>
      <c r="I319" s="9"/>
      <c r="J319" s="9"/>
      <c r="K319" s="9"/>
      <c r="L319" s="9"/>
      <c r="M319" s="16"/>
      <c r="N319" s="16"/>
      <c r="O319" s="16"/>
      <c r="P319" s="9"/>
      <c r="Q319" s="9"/>
      <c r="R319" s="9"/>
      <c r="S319" s="9"/>
      <c r="T319" s="9"/>
      <c r="U319" s="9"/>
      <c r="V319" s="9"/>
      <c r="W319" s="9"/>
      <c r="X319" s="16"/>
      <c r="Y319" s="16"/>
      <c r="Z319" s="16"/>
      <c r="AA319" s="16"/>
      <c r="AB319" s="9"/>
      <c r="AP319" s="9"/>
      <c r="AQ319" s="9"/>
      <c r="AR319" s="16"/>
      <c r="AS319" s="9"/>
    </row>
    <row r="320" spans="7:45" x14ac:dyDescent="0.25">
      <c r="G320" s="9"/>
      <c r="H320" s="9"/>
      <c r="I320" s="9"/>
      <c r="J320" s="9"/>
      <c r="K320" s="9"/>
      <c r="L320" s="9"/>
      <c r="M320" s="16"/>
      <c r="N320" s="16"/>
      <c r="O320" s="16"/>
      <c r="P320" s="9"/>
      <c r="Q320" s="9"/>
      <c r="R320" s="9"/>
      <c r="S320" s="9"/>
      <c r="T320" s="9"/>
      <c r="U320" s="9"/>
      <c r="V320" s="9"/>
      <c r="W320" s="9"/>
      <c r="X320" s="16"/>
      <c r="Y320" s="16"/>
      <c r="Z320" s="16"/>
      <c r="AA320" s="16"/>
      <c r="AB320" s="9"/>
      <c r="AP320" s="9"/>
      <c r="AQ320" s="9"/>
      <c r="AR320" s="16"/>
      <c r="AS320" s="9"/>
    </row>
    <row r="321" spans="7:45" x14ac:dyDescent="0.25">
      <c r="G321" s="9"/>
      <c r="H321" s="9"/>
      <c r="I321" s="9"/>
      <c r="J321" s="9"/>
      <c r="K321" s="9"/>
      <c r="L321" s="9"/>
      <c r="M321" s="16"/>
      <c r="N321" s="16"/>
      <c r="O321" s="16"/>
      <c r="P321" s="9"/>
      <c r="Q321" s="9"/>
      <c r="R321" s="9"/>
      <c r="S321" s="9"/>
      <c r="T321" s="9"/>
      <c r="U321" s="9"/>
      <c r="V321" s="9"/>
      <c r="W321" s="9"/>
      <c r="X321" s="16"/>
      <c r="Y321" s="16"/>
      <c r="Z321" s="16"/>
      <c r="AA321" s="16"/>
      <c r="AB321" s="9"/>
      <c r="AP321" s="9"/>
      <c r="AQ321" s="9"/>
      <c r="AR321" s="16"/>
      <c r="AS321" s="9"/>
    </row>
    <row r="322" spans="7:45" x14ac:dyDescent="0.25">
      <c r="G322" s="9"/>
      <c r="H322" s="9"/>
      <c r="I322" s="9"/>
      <c r="J322" s="9"/>
      <c r="K322" s="9"/>
      <c r="L322" s="9"/>
      <c r="M322" s="16"/>
      <c r="N322" s="16"/>
      <c r="O322" s="16"/>
      <c r="P322" s="9"/>
      <c r="Q322" s="9"/>
      <c r="R322" s="9"/>
      <c r="S322" s="9"/>
      <c r="T322" s="9"/>
      <c r="U322" s="9"/>
      <c r="V322" s="9"/>
      <c r="W322" s="9"/>
      <c r="X322" s="16"/>
      <c r="Y322" s="16"/>
      <c r="Z322" s="16"/>
      <c r="AA322" s="16"/>
      <c r="AB322" s="9"/>
      <c r="AP322" s="9"/>
      <c r="AQ322" s="9"/>
      <c r="AR322" s="16"/>
      <c r="AS322" s="9"/>
    </row>
    <row r="323" spans="7:45" x14ac:dyDescent="0.25">
      <c r="G323" s="9"/>
      <c r="H323" s="9"/>
      <c r="I323" s="9"/>
      <c r="J323" s="9"/>
      <c r="K323" s="9"/>
      <c r="L323" s="9"/>
      <c r="M323" s="16"/>
      <c r="N323" s="16"/>
      <c r="O323" s="16"/>
      <c r="P323" s="9"/>
      <c r="Q323" s="9"/>
      <c r="R323" s="9"/>
      <c r="S323" s="9"/>
      <c r="T323" s="9"/>
      <c r="U323" s="9"/>
      <c r="V323" s="9"/>
      <c r="W323" s="9"/>
      <c r="X323" s="16"/>
      <c r="Y323" s="16"/>
      <c r="Z323" s="16"/>
      <c r="AA323" s="16"/>
      <c r="AB323" s="9"/>
      <c r="AP323" s="9"/>
      <c r="AQ323" s="9"/>
      <c r="AR323" s="16"/>
      <c r="AS323" s="9"/>
    </row>
    <row r="324" spans="7:45" x14ac:dyDescent="0.25">
      <c r="G324" s="9"/>
      <c r="H324" s="9"/>
      <c r="I324" s="9"/>
      <c r="J324" s="9"/>
      <c r="K324" s="9"/>
      <c r="L324" s="9"/>
      <c r="M324" s="16"/>
      <c r="N324" s="16"/>
      <c r="O324" s="16"/>
      <c r="P324" s="9"/>
      <c r="Q324" s="9"/>
      <c r="R324" s="9"/>
      <c r="S324" s="9"/>
      <c r="T324" s="9"/>
      <c r="U324" s="9"/>
      <c r="V324" s="9"/>
      <c r="W324" s="9"/>
      <c r="X324" s="16"/>
      <c r="Y324" s="16"/>
      <c r="Z324" s="16"/>
      <c r="AA324" s="16"/>
      <c r="AB324" s="9"/>
      <c r="AP324" s="9"/>
      <c r="AQ324" s="9"/>
      <c r="AR324" s="16"/>
      <c r="AS324" s="9"/>
    </row>
    <row r="325" spans="7:45" x14ac:dyDescent="0.25">
      <c r="G325" s="9"/>
      <c r="H325" s="9"/>
      <c r="I325" s="9"/>
      <c r="J325" s="9"/>
      <c r="K325" s="9"/>
      <c r="L325" s="9"/>
      <c r="M325" s="16"/>
      <c r="N325" s="16"/>
      <c r="O325" s="16"/>
      <c r="P325" s="9"/>
      <c r="Q325" s="9"/>
      <c r="R325" s="9"/>
      <c r="S325" s="9"/>
      <c r="T325" s="9"/>
      <c r="U325" s="9"/>
      <c r="V325" s="9"/>
      <c r="W325" s="9"/>
      <c r="X325" s="16"/>
      <c r="Y325" s="16"/>
      <c r="Z325" s="16"/>
      <c r="AA325" s="16"/>
      <c r="AB325" s="9"/>
      <c r="AP325" s="9"/>
      <c r="AQ325" s="9"/>
      <c r="AR325" s="16"/>
      <c r="AS325" s="9"/>
    </row>
    <row r="326" spans="7:45" x14ac:dyDescent="0.25">
      <c r="G326" s="9"/>
      <c r="H326" s="9"/>
      <c r="I326" s="9"/>
      <c r="J326" s="9"/>
      <c r="K326" s="9"/>
      <c r="L326" s="9"/>
      <c r="M326" s="16"/>
      <c r="N326" s="16"/>
      <c r="O326" s="16"/>
      <c r="P326" s="9"/>
      <c r="Q326" s="9"/>
      <c r="R326" s="9"/>
      <c r="S326" s="9"/>
      <c r="T326" s="9"/>
      <c r="U326" s="9"/>
      <c r="V326" s="9"/>
      <c r="W326" s="9"/>
      <c r="X326" s="16"/>
      <c r="Y326" s="16"/>
      <c r="Z326" s="16"/>
      <c r="AA326" s="16"/>
      <c r="AB326" s="9"/>
      <c r="AP326" s="9"/>
      <c r="AQ326" s="9"/>
      <c r="AR326" s="16"/>
      <c r="AS326" s="9"/>
    </row>
    <row r="327" spans="7:45" x14ac:dyDescent="0.25">
      <c r="G327" s="9"/>
      <c r="H327" s="9"/>
      <c r="I327" s="9"/>
      <c r="J327" s="9"/>
      <c r="K327" s="9"/>
      <c r="L327" s="9"/>
      <c r="M327" s="16"/>
      <c r="N327" s="16"/>
      <c r="O327" s="16"/>
      <c r="P327" s="9"/>
      <c r="Q327" s="9"/>
      <c r="R327" s="9"/>
      <c r="S327" s="9"/>
      <c r="T327" s="9"/>
      <c r="U327" s="9"/>
      <c r="V327" s="9"/>
      <c r="W327" s="9"/>
      <c r="X327" s="16"/>
      <c r="Y327" s="16"/>
      <c r="Z327" s="16"/>
      <c r="AA327" s="16"/>
      <c r="AB327" s="9"/>
      <c r="AP327" s="9"/>
      <c r="AQ327" s="9"/>
      <c r="AR327" s="16"/>
      <c r="AS327" s="9"/>
    </row>
    <row r="328" spans="7:45" x14ac:dyDescent="0.25">
      <c r="G328" s="9"/>
      <c r="H328" s="9"/>
      <c r="I328" s="9"/>
      <c r="J328" s="9"/>
      <c r="K328" s="9"/>
      <c r="L328" s="9"/>
      <c r="M328" s="16"/>
      <c r="N328" s="16"/>
      <c r="O328" s="16"/>
      <c r="P328" s="9"/>
      <c r="Q328" s="9"/>
      <c r="R328" s="9"/>
      <c r="S328" s="9"/>
      <c r="T328" s="9"/>
      <c r="U328" s="9"/>
      <c r="V328" s="9"/>
      <c r="W328" s="9"/>
      <c r="X328" s="16"/>
      <c r="Y328" s="16"/>
      <c r="Z328" s="16"/>
      <c r="AA328" s="16"/>
      <c r="AB328" s="9"/>
      <c r="AP328" s="9"/>
      <c r="AQ328" s="9"/>
      <c r="AR328" s="16"/>
      <c r="AS328" s="9"/>
    </row>
    <row r="329" spans="7:45" x14ac:dyDescent="0.25">
      <c r="G329" s="9"/>
      <c r="H329" s="9"/>
      <c r="I329" s="9"/>
      <c r="J329" s="9"/>
      <c r="K329" s="9"/>
      <c r="L329" s="9"/>
      <c r="M329" s="16"/>
      <c r="N329" s="16"/>
      <c r="O329" s="16"/>
      <c r="P329" s="9"/>
      <c r="Q329" s="9"/>
      <c r="R329" s="9"/>
      <c r="S329" s="9"/>
      <c r="T329" s="9"/>
      <c r="U329" s="9"/>
      <c r="V329" s="9"/>
      <c r="W329" s="9"/>
      <c r="X329" s="16"/>
      <c r="Y329" s="16"/>
      <c r="Z329" s="16"/>
      <c r="AA329" s="16"/>
      <c r="AB329" s="9"/>
      <c r="AP329" s="9"/>
      <c r="AQ329" s="9"/>
      <c r="AR329" s="16"/>
      <c r="AS329" s="9"/>
    </row>
    <row r="330" spans="7:45" x14ac:dyDescent="0.25">
      <c r="G330" s="9"/>
      <c r="H330" s="9"/>
      <c r="I330" s="9"/>
      <c r="J330" s="9"/>
      <c r="K330" s="9"/>
      <c r="L330" s="9"/>
      <c r="M330" s="16"/>
      <c r="N330" s="16"/>
      <c r="O330" s="16"/>
      <c r="P330" s="9"/>
      <c r="Q330" s="9"/>
      <c r="R330" s="9"/>
      <c r="S330" s="9"/>
      <c r="T330" s="9"/>
      <c r="U330" s="9"/>
      <c r="V330" s="9"/>
      <c r="W330" s="9"/>
      <c r="X330" s="16"/>
      <c r="Y330" s="16"/>
      <c r="Z330" s="16"/>
      <c r="AA330" s="16"/>
      <c r="AB330" s="9"/>
      <c r="AP330" s="9"/>
      <c r="AQ330" s="9"/>
      <c r="AR330" s="16"/>
      <c r="AS330" s="9"/>
    </row>
    <row r="331" spans="7:45" x14ac:dyDescent="0.25">
      <c r="G331" s="9"/>
      <c r="H331" s="9"/>
      <c r="I331" s="9"/>
      <c r="J331" s="9"/>
      <c r="K331" s="9"/>
      <c r="L331" s="9"/>
      <c r="M331" s="16"/>
      <c r="N331" s="16"/>
      <c r="O331" s="16"/>
      <c r="P331" s="9"/>
      <c r="Q331" s="9"/>
      <c r="R331" s="9"/>
      <c r="S331" s="9"/>
      <c r="T331" s="9"/>
      <c r="U331" s="9"/>
      <c r="V331" s="9"/>
      <c r="W331" s="9"/>
      <c r="X331" s="16"/>
      <c r="Y331" s="16"/>
      <c r="Z331" s="16"/>
      <c r="AA331" s="16"/>
      <c r="AB331" s="9"/>
      <c r="AP331" s="9"/>
      <c r="AQ331" s="9"/>
      <c r="AR331" s="16"/>
      <c r="AS331" s="9"/>
    </row>
    <row r="332" spans="7:45" x14ac:dyDescent="0.25">
      <c r="G332" s="9"/>
      <c r="H332" s="9"/>
      <c r="I332" s="9"/>
      <c r="J332" s="9"/>
      <c r="K332" s="9"/>
      <c r="L332" s="9"/>
      <c r="M332" s="16"/>
      <c r="N332" s="16"/>
      <c r="O332" s="16"/>
      <c r="P332" s="9"/>
      <c r="Q332" s="9"/>
      <c r="R332" s="9"/>
      <c r="S332" s="9"/>
      <c r="T332" s="9"/>
      <c r="U332" s="9"/>
      <c r="V332" s="9"/>
      <c r="W332" s="9"/>
      <c r="X332" s="16"/>
      <c r="Y332" s="16"/>
      <c r="Z332" s="16"/>
      <c r="AA332" s="16"/>
      <c r="AB332" s="9"/>
      <c r="AP332" s="9"/>
      <c r="AQ332" s="9"/>
      <c r="AR332" s="16"/>
      <c r="AS332" s="9"/>
    </row>
    <row r="333" spans="7:45" x14ac:dyDescent="0.25">
      <c r="G333" s="9"/>
      <c r="H333" s="9"/>
      <c r="I333" s="9"/>
      <c r="J333" s="9"/>
      <c r="K333" s="9"/>
      <c r="L333" s="9"/>
      <c r="M333" s="16"/>
      <c r="N333" s="16"/>
      <c r="O333" s="16"/>
      <c r="P333" s="9"/>
      <c r="Q333" s="9"/>
      <c r="R333" s="9"/>
      <c r="S333" s="9"/>
      <c r="T333" s="9"/>
      <c r="U333" s="9"/>
      <c r="V333" s="9"/>
      <c r="W333" s="9"/>
      <c r="X333" s="16"/>
      <c r="Y333" s="16"/>
      <c r="Z333" s="16"/>
      <c r="AA333" s="16"/>
      <c r="AB333" s="9"/>
      <c r="AP333" s="9"/>
      <c r="AQ333" s="9"/>
      <c r="AR333" s="16"/>
      <c r="AS333" s="9"/>
    </row>
    <row r="334" spans="7:45" x14ac:dyDescent="0.25">
      <c r="G334" s="9"/>
      <c r="H334" s="9"/>
      <c r="I334" s="9"/>
      <c r="J334" s="9"/>
      <c r="K334" s="9"/>
      <c r="L334" s="9"/>
      <c r="M334" s="16"/>
      <c r="N334" s="16"/>
      <c r="O334" s="16"/>
      <c r="P334" s="9"/>
      <c r="Q334" s="9"/>
      <c r="R334" s="9"/>
      <c r="S334" s="9"/>
      <c r="T334" s="9"/>
      <c r="U334" s="9"/>
      <c r="V334" s="9"/>
      <c r="W334" s="9"/>
      <c r="X334" s="16"/>
      <c r="Y334" s="16"/>
      <c r="Z334" s="16"/>
      <c r="AA334" s="16"/>
      <c r="AB334" s="9"/>
      <c r="AP334" s="9"/>
      <c r="AQ334" s="9"/>
      <c r="AR334" s="16"/>
      <c r="AS334" s="9"/>
    </row>
    <row r="335" spans="7:45" x14ac:dyDescent="0.25">
      <c r="G335" s="9"/>
      <c r="H335" s="9"/>
      <c r="I335" s="9"/>
      <c r="J335" s="9"/>
      <c r="K335" s="9"/>
      <c r="L335" s="9"/>
      <c r="M335" s="16"/>
      <c r="N335" s="16"/>
      <c r="O335" s="16"/>
      <c r="P335" s="9"/>
      <c r="Q335" s="9"/>
      <c r="R335" s="9"/>
      <c r="S335" s="9"/>
      <c r="T335" s="9"/>
      <c r="U335" s="9"/>
      <c r="V335" s="9"/>
      <c r="W335" s="9"/>
      <c r="X335" s="16"/>
      <c r="Y335" s="16"/>
      <c r="Z335" s="16"/>
      <c r="AA335" s="16"/>
      <c r="AB335" s="9"/>
      <c r="AP335" s="9"/>
      <c r="AQ335" s="9"/>
      <c r="AR335" s="16"/>
      <c r="AS335" s="9"/>
    </row>
    <row r="336" spans="7:45" x14ac:dyDescent="0.25">
      <c r="G336" s="9"/>
      <c r="H336" s="9"/>
      <c r="I336" s="9"/>
      <c r="J336" s="9"/>
      <c r="K336" s="9"/>
      <c r="L336" s="9"/>
      <c r="M336" s="16"/>
      <c r="N336" s="16"/>
      <c r="O336" s="16"/>
      <c r="P336" s="9"/>
      <c r="Q336" s="9"/>
      <c r="R336" s="9"/>
      <c r="S336" s="9"/>
      <c r="T336" s="9"/>
      <c r="U336" s="9"/>
      <c r="V336" s="9"/>
      <c r="W336" s="9"/>
      <c r="X336" s="16"/>
      <c r="Y336" s="16"/>
      <c r="Z336" s="16"/>
      <c r="AA336" s="16"/>
      <c r="AB336" s="9"/>
      <c r="AP336" s="9"/>
      <c r="AQ336" s="9"/>
      <c r="AR336" s="16"/>
      <c r="AS336" s="9"/>
    </row>
    <row r="337" spans="7:45" x14ac:dyDescent="0.25">
      <c r="G337" s="9"/>
      <c r="H337" s="9"/>
      <c r="I337" s="9"/>
      <c r="J337" s="9"/>
      <c r="K337" s="9"/>
      <c r="L337" s="9"/>
      <c r="M337" s="16"/>
      <c r="N337" s="16"/>
      <c r="O337" s="16"/>
      <c r="P337" s="9"/>
      <c r="Q337" s="9"/>
      <c r="R337" s="9"/>
      <c r="S337" s="9"/>
      <c r="T337" s="9"/>
      <c r="U337" s="9"/>
      <c r="V337" s="9"/>
      <c r="W337" s="9"/>
      <c r="X337" s="16"/>
      <c r="Y337" s="16"/>
      <c r="Z337" s="16"/>
      <c r="AA337" s="16"/>
      <c r="AB337" s="9"/>
      <c r="AP337" s="9"/>
      <c r="AQ337" s="9"/>
      <c r="AR337" s="16"/>
      <c r="AS337" s="9"/>
    </row>
    <row r="338" spans="7:45" x14ac:dyDescent="0.25">
      <c r="G338" s="9"/>
      <c r="H338" s="9"/>
      <c r="I338" s="9"/>
      <c r="J338" s="9"/>
      <c r="K338" s="9"/>
      <c r="L338" s="9"/>
      <c r="M338" s="16"/>
      <c r="N338" s="16"/>
      <c r="O338" s="16"/>
      <c r="P338" s="9"/>
      <c r="Q338" s="9"/>
      <c r="R338" s="9"/>
      <c r="S338" s="9"/>
      <c r="T338" s="9"/>
      <c r="U338" s="9"/>
      <c r="V338" s="9"/>
      <c r="W338" s="9"/>
      <c r="X338" s="16"/>
      <c r="Y338" s="16"/>
      <c r="Z338" s="16"/>
      <c r="AA338" s="16"/>
      <c r="AB338" s="9"/>
      <c r="AP338" s="9"/>
      <c r="AQ338" s="9"/>
      <c r="AR338" s="16"/>
      <c r="AS338" s="9"/>
    </row>
    <row r="339" spans="7:45" x14ac:dyDescent="0.25">
      <c r="G339" s="9"/>
      <c r="H339" s="9"/>
      <c r="I339" s="9"/>
      <c r="J339" s="9"/>
      <c r="K339" s="9"/>
      <c r="L339" s="9"/>
      <c r="M339" s="16"/>
      <c r="N339" s="16"/>
      <c r="O339" s="16"/>
      <c r="P339" s="9"/>
      <c r="Q339" s="9"/>
      <c r="R339" s="9"/>
      <c r="S339" s="9"/>
      <c r="T339" s="9"/>
      <c r="U339" s="9"/>
      <c r="V339" s="9"/>
      <c r="W339" s="9"/>
      <c r="X339" s="16"/>
      <c r="Y339" s="16"/>
      <c r="Z339" s="16"/>
      <c r="AA339" s="16"/>
      <c r="AB339" s="9"/>
      <c r="AP339" s="9"/>
      <c r="AQ339" s="9"/>
      <c r="AR339" s="16"/>
      <c r="AS339" s="9"/>
    </row>
    <row r="340" spans="7:45" x14ac:dyDescent="0.25">
      <c r="G340" s="9"/>
      <c r="H340" s="9"/>
      <c r="I340" s="9"/>
      <c r="J340" s="9"/>
      <c r="K340" s="9"/>
      <c r="L340" s="9"/>
      <c r="M340" s="16"/>
      <c r="N340" s="16"/>
      <c r="O340" s="16"/>
      <c r="P340" s="9"/>
      <c r="Q340" s="9"/>
      <c r="R340" s="9"/>
      <c r="S340" s="9"/>
      <c r="T340" s="9"/>
      <c r="U340" s="9"/>
      <c r="V340" s="9"/>
      <c r="W340" s="9"/>
      <c r="X340" s="16"/>
      <c r="Y340" s="16"/>
      <c r="Z340" s="16"/>
      <c r="AA340" s="16"/>
      <c r="AB340" s="9"/>
      <c r="AP340" s="9"/>
      <c r="AQ340" s="9"/>
      <c r="AR340" s="16"/>
      <c r="AS340" s="9"/>
    </row>
    <row r="341" spans="7:45" x14ac:dyDescent="0.25">
      <c r="G341" s="9"/>
      <c r="H341" s="9"/>
      <c r="I341" s="9"/>
      <c r="J341" s="9"/>
      <c r="K341" s="9"/>
      <c r="L341" s="9"/>
      <c r="M341" s="16"/>
      <c r="N341" s="16"/>
      <c r="O341" s="16"/>
      <c r="P341" s="9"/>
      <c r="Q341" s="9"/>
      <c r="R341" s="9"/>
      <c r="S341" s="9"/>
      <c r="T341" s="9"/>
      <c r="U341" s="9"/>
      <c r="V341" s="9"/>
      <c r="W341" s="9"/>
      <c r="X341" s="16"/>
      <c r="Y341" s="16"/>
      <c r="Z341" s="16"/>
      <c r="AA341" s="16"/>
      <c r="AB341" s="9"/>
      <c r="AP341" s="9"/>
      <c r="AQ341" s="9"/>
      <c r="AR341" s="16"/>
      <c r="AS341" s="9"/>
    </row>
    <row r="342" spans="7:45" x14ac:dyDescent="0.25">
      <c r="G342" s="9"/>
      <c r="H342" s="9"/>
      <c r="I342" s="9"/>
      <c r="J342" s="9"/>
      <c r="K342" s="9"/>
      <c r="L342" s="9"/>
      <c r="M342" s="16"/>
      <c r="N342" s="16"/>
      <c r="O342" s="16"/>
      <c r="P342" s="9"/>
      <c r="Q342" s="9"/>
      <c r="R342" s="9"/>
      <c r="S342" s="9"/>
      <c r="T342" s="9"/>
      <c r="U342" s="9"/>
      <c r="V342" s="9"/>
      <c r="W342" s="9"/>
      <c r="X342" s="16"/>
      <c r="Y342" s="16"/>
      <c r="Z342" s="16"/>
      <c r="AA342" s="16"/>
      <c r="AB342" s="9"/>
      <c r="AP342" s="9"/>
      <c r="AQ342" s="9"/>
      <c r="AR342" s="16"/>
      <c r="AS342" s="9"/>
    </row>
    <row r="343" spans="7:45" x14ac:dyDescent="0.25">
      <c r="G343" s="9"/>
      <c r="H343" s="9"/>
      <c r="I343" s="9"/>
      <c r="J343" s="9"/>
      <c r="K343" s="9"/>
      <c r="L343" s="9"/>
      <c r="M343" s="16"/>
      <c r="N343" s="16"/>
      <c r="O343" s="16"/>
      <c r="P343" s="9"/>
      <c r="Q343" s="9"/>
      <c r="R343" s="9"/>
      <c r="S343" s="9"/>
      <c r="T343" s="9"/>
      <c r="U343" s="9"/>
      <c r="V343" s="9"/>
      <c r="W343" s="9"/>
      <c r="X343" s="16"/>
      <c r="Y343" s="16"/>
      <c r="Z343" s="16"/>
      <c r="AA343" s="16"/>
      <c r="AB343" s="9"/>
      <c r="AP343" s="9"/>
      <c r="AQ343" s="9"/>
      <c r="AR343" s="16"/>
      <c r="AS343" s="9"/>
    </row>
    <row r="344" spans="7:45" x14ac:dyDescent="0.25">
      <c r="G344" s="9"/>
      <c r="H344" s="9"/>
      <c r="I344" s="9"/>
      <c r="J344" s="9"/>
      <c r="K344" s="9"/>
      <c r="L344" s="9"/>
      <c r="M344" s="16"/>
      <c r="N344" s="16"/>
      <c r="O344" s="16"/>
      <c r="P344" s="9"/>
      <c r="Q344" s="9"/>
      <c r="R344" s="9"/>
      <c r="S344" s="9"/>
      <c r="T344" s="9"/>
      <c r="U344" s="9"/>
      <c r="V344" s="9"/>
      <c r="W344" s="9"/>
      <c r="X344" s="16"/>
      <c r="Y344" s="16"/>
      <c r="Z344" s="16"/>
      <c r="AA344" s="16"/>
      <c r="AB344" s="9"/>
      <c r="AP344" s="9"/>
      <c r="AQ344" s="9"/>
      <c r="AR344" s="16"/>
      <c r="AS344" s="9"/>
    </row>
    <row r="345" spans="7:45" x14ac:dyDescent="0.25">
      <c r="G345" s="9"/>
      <c r="H345" s="9"/>
      <c r="I345" s="9"/>
      <c r="J345" s="9"/>
      <c r="K345" s="9"/>
      <c r="L345" s="9"/>
      <c r="M345" s="16"/>
      <c r="N345" s="16"/>
      <c r="O345" s="16"/>
      <c r="P345" s="9"/>
      <c r="Q345" s="9"/>
      <c r="R345" s="9"/>
      <c r="S345" s="9"/>
      <c r="T345" s="9"/>
      <c r="U345" s="9"/>
      <c r="V345" s="9"/>
      <c r="W345" s="9"/>
      <c r="X345" s="16"/>
      <c r="Y345" s="16"/>
      <c r="Z345" s="16"/>
      <c r="AA345" s="16"/>
      <c r="AB345" s="9"/>
      <c r="AP345" s="9"/>
      <c r="AQ345" s="9"/>
      <c r="AR345" s="16"/>
      <c r="AS345" s="9"/>
    </row>
    <row r="346" spans="7:45" x14ac:dyDescent="0.25">
      <c r="G346" s="9"/>
      <c r="H346" s="9"/>
      <c r="I346" s="9"/>
      <c r="J346" s="9"/>
      <c r="K346" s="9"/>
      <c r="L346" s="9"/>
      <c r="M346" s="16"/>
      <c r="N346" s="16"/>
      <c r="O346" s="16"/>
      <c r="P346" s="9"/>
      <c r="Q346" s="9"/>
      <c r="R346" s="9"/>
      <c r="S346" s="9"/>
      <c r="T346" s="9"/>
      <c r="U346" s="9"/>
      <c r="V346" s="9"/>
      <c r="W346" s="9"/>
      <c r="X346" s="16"/>
      <c r="Y346" s="16"/>
      <c r="Z346" s="16"/>
      <c r="AA346" s="16"/>
      <c r="AB346" s="9"/>
      <c r="AP346" s="9"/>
      <c r="AQ346" s="9"/>
      <c r="AR346" s="16"/>
      <c r="AS346" s="9"/>
    </row>
    <row r="347" spans="7:45" x14ac:dyDescent="0.25">
      <c r="G347" s="9"/>
      <c r="H347" s="9"/>
      <c r="I347" s="9"/>
      <c r="J347" s="9"/>
      <c r="K347" s="9"/>
      <c r="L347" s="9"/>
      <c r="M347" s="16"/>
      <c r="N347" s="16"/>
      <c r="O347" s="16"/>
      <c r="P347" s="9"/>
      <c r="Q347" s="9"/>
      <c r="R347" s="9"/>
      <c r="S347" s="9"/>
      <c r="T347" s="9"/>
      <c r="U347" s="9"/>
      <c r="V347" s="9"/>
      <c r="W347" s="9"/>
      <c r="X347" s="16"/>
      <c r="Y347" s="16"/>
      <c r="Z347" s="16"/>
      <c r="AA347" s="16"/>
      <c r="AB347" s="9"/>
      <c r="AP347" s="9"/>
      <c r="AQ347" s="9"/>
      <c r="AR347" s="16"/>
      <c r="AS347" s="9"/>
    </row>
    <row r="348" spans="7:45" x14ac:dyDescent="0.25">
      <c r="G348" s="9"/>
      <c r="H348" s="9"/>
      <c r="I348" s="9"/>
      <c r="J348" s="9"/>
      <c r="K348" s="9"/>
      <c r="L348" s="9"/>
      <c r="M348" s="16"/>
      <c r="N348" s="16"/>
      <c r="O348" s="16"/>
      <c r="P348" s="9"/>
      <c r="Q348" s="9"/>
      <c r="R348" s="9"/>
      <c r="S348" s="9"/>
      <c r="T348" s="9"/>
      <c r="U348" s="9"/>
      <c r="V348" s="9"/>
      <c r="W348" s="9"/>
      <c r="X348" s="16"/>
      <c r="Y348" s="16"/>
      <c r="Z348" s="16"/>
      <c r="AA348" s="16"/>
      <c r="AB348" s="9"/>
      <c r="AP348" s="9"/>
      <c r="AQ348" s="9"/>
      <c r="AR348" s="16"/>
      <c r="AS348" s="9"/>
    </row>
    <row r="349" spans="7:45" x14ac:dyDescent="0.25">
      <c r="G349" s="9"/>
      <c r="H349" s="9"/>
      <c r="I349" s="9"/>
      <c r="J349" s="9"/>
      <c r="K349" s="9"/>
      <c r="L349" s="9"/>
      <c r="M349" s="16"/>
      <c r="N349" s="16"/>
      <c r="O349" s="16"/>
      <c r="P349" s="9"/>
      <c r="Q349" s="9"/>
      <c r="R349" s="9"/>
      <c r="S349" s="9"/>
      <c r="T349" s="9"/>
      <c r="U349" s="9"/>
      <c r="V349" s="9"/>
      <c r="W349" s="9"/>
      <c r="X349" s="16"/>
      <c r="Y349" s="16"/>
      <c r="Z349" s="16"/>
      <c r="AA349" s="16"/>
      <c r="AB349" s="9"/>
      <c r="AP349" s="9"/>
      <c r="AQ349" s="9"/>
      <c r="AR349" s="16"/>
      <c r="AS349" s="9"/>
    </row>
    <row r="350" spans="7:45" x14ac:dyDescent="0.25">
      <c r="G350" s="9"/>
      <c r="H350" s="9"/>
      <c r="I350" s="9"/>
      <c r="J350" s="9"/>
      <c r="K350" s="9"/>
      <c r="L350" s="9"/>
      <c r="M350" s="16"/>
      <c r="N350" s="16"/>
      <c r="O350" s="16"/>
      <c r="P350" s="9"/>
      <c r="Q350" s="9"/>
      <c r="R350" s="9"/>
      <c r="S350" s="9"/>
      <c r="T350" s="9"/>
      <c r="U350" s="9"/>
      <c r="V350" s="9"/>
      <c r="W350" s="9"/>
      <c r="X350" s="16"/>
      <c r="Y350" s="16"/>
      <c r="Z350" s="16"/>
      <c r="AA350" s="16"/>
      <c r="AB350" s="9"/>
      <c r="AP350" s="9"/>
      <c r="AQ350" s="9"/>
      <c r="AR350" s="16"/>
      <c r="AS350" s="9"/>
    </row>
    <row r="351" spans="7:45" x14ac:dyDescent="0.25">
      <c r="G351" s="9"/>
      <c r="H351" s="9"/>
      <c r="I351" s="9"/>
      <c r="J351" s="9"/>
      <c r="K351" s="9"/>
      <c r="L351" s="9"/>
      <c r="M351" s="16"/>
      <c r="N351" s="16"/>
      <c r="O351" s="16"/>
      <c r="P351" s="9"/>
      <c r="Q351" s="9"/>
      <c r="R351" s="9"/>
      <c r="S351" s="9"/>
      <c r="T351" s="9"/>
      <c r="U351" s="9"/>
      <c r="V351" s="9"/>
      <c r="W351" s="9"/>
      <c r="X351" s="16"/>
      <c r="Y351" s="16"/>
      <c r="Z351" s="16"/>
      <c r="AA351" s="16"/>
      <c r="AB351" s="9"/>
      <c r="AP351" s="9"/>
      <c r="AQ351" s="9"/>
      <c r="AR351" s="16"/>
      <c r="AS351" s="9"/>
    </row>
    <row r="352" spans="7:45" x14ac:dyDescent="0.25">
      <c r="G352" s="9"/>
      <c r="H352" s="9"/>
      <c r="I352" s="9"/>
      <c r="J352" s="9"/>
      <c r="K352" s="9"/>
      <c r="L352" s="9"/>
      <c r="M352" s="16"/>
      <c r="N352" s="16"/>
      <c r="O352" s="16"/>
      <c r="P352" s="9"/>
      <c r="Q352" s="9"/>
      <c r="R352" s="9"/>
      <c r="S352" s="9"/>
      <c r="T352" s="9"/>
      <c r="U352" s="9"/>
      <c r="V352" s="9"/>
      <c r="W352" s="9"/>
      <c r="X352" s="16"/>
      <c r="Y352" s="16"/>
      <c r="Z352" s="16"/>
      <c r="AA352" s="16"/>
      <c r="AB352" s="9"/>
      <c r="AP352" s="9"/>
      <c r="AQ352" s="9"/>
      <c r="AR352" s="16"/>
      <c r="AS352" s="9"/>
    </row>
    <row r="353" spans="7:45" x14ac:dyDescent="0.25">
      <c r="G353" s="9"/>
      <c r="H353" s="9"/>
      <c r="I353" s="9"/>
      <c r="J353" s="9"/>
      <c r="K353" s="9"/>
      <c r="L353" s="9"/>
      <c r="M353" s="16"/>
      <c r="N353" s="16"/>
      <c r="O353" s="16"/>
      <c r="P353" s="9"/>
      <c r="Q353" s="9"/>
      <c r="R353" s="9"/>
      <c r="S353" s="9"/>
      <c r="T353" s="9"/>
      <c r="U353" s="9"/>
      <c r="V353" s="9"/>
      <c r="W353" s="9"/>
      <c r="X353" s="16"/>
      <c r="Y353" s="16"/>
      <c r="Z353" s="16"/>
      <c r="AA353" s="16"/>
      <c r="AB353" s="9"/>
      <c r="AP353" s="9"/>
      <c r="AQ353" s="9"/>
      <c r="AR353" s="16"/>
      <c r="AS353" s="9"/>
    </row>
    <row r="354" spans="7:45" x14ac:dyDescent="0.25">
      <c r="G354" s="9"/>
      <c r="H354" s="9"/>
      <c r="I354" s="9"/>
      <c r="J354" s="9"/>
      <c r="K354" s="9"/>
      <c r="L354" s="9"/>
      <c r="M354" s="16"/>
      <c r="N354" s="16"/>
      <c r="O354" s="16"/>
      <c r="P354" s="9"/>
      <c r="Q354" s="9"/>
      <c r="R354" s="9"/>
      <c r="S354" s="9"/>
      <c r="T354" s="9"/>
      <c r="U354" s="9"/>
      <c r="V354" s="9"/>
      <c r="W354" s="9"/>
      <c r="X354" s="16"/>
      <c r="Y354" s="16"/>
      <c r="Z354" s="16"/>
      <c r="AA354" s="16"/>
      <c r="AB354" s="9"/>
      <c r="AP354" s="9"/>
      <c r="AQ354" s="9"/>
      <c r="AR354" s="16"/>
      <c r="AS354" s="9"/>
    </row>
    <row r="355" spans="7:45" x14ac:dyDescent="0.25">
      <c r="G355" s="9"/>
      <c r="H355" s="9"/>
      <c r="I355" s="9"/>
      <c r="J355" s="9"/>
      <c r="K355" s="9"/>
      <c r="L355" s="9"/>
      <c r="M355" s="16"/>
      <c r="N355" s="16"/>
      <c r="O355" s="16"/>
      <c r="P355" s="9"/>
      <c r="Q355" s="9"/>
      <c r="R355" s="9"/>
      <c r="S355" s="9"/>
      <c r="T355" s="9"/>
      <c r="U355" s="9"/>
      <c r="V355" s="9"/>
      <c r="W355" s="9"/>
      <c r="X355" s="16"/>
      <c r="Y355" s="16"/>
      <c r="Z355" s="16"/>
      <c r="AA355" s="16"/>
      <c r="AB355" s="9"/>
      <c r="AP355" s="9"/>
      <c r="AQ355" s="9"/>
      <c r="AR355" s="16"/>
      <c r="AS355" s="9"/>
    </row>
    <row r="356" spans="7:45" x14ac:dyDescent="0.25">
      <c r="G356" s="9"/>
      <c r="H356" s="9"/>
      <c r="I356" s="9"/>
      <c r="J356" s="9"/>
      <c r="K356" s="9"/>
      <c r="L356" s="9"/>
      <c r="M356" s="16"/>
      <c r="N356" s="16"/>
      <c r="O356" s="16"/>
      <c r="P356" s="9"/>
      <c r="Q356" s="9"/>
      <c r="R356" s="9"/>
      <c r="S356" s="9"/>
      <c r="T356" s="9"/>
      <c r="U356" s="9"/>
      <c r="V356" s="9"/>
      <c r="W356" s="9"/>
      <c r="X356" s="16"/>
      <c r="Y356" s="16"/>
      <c r="Z356" s="16"/>
      <c r="AA356" s="16"/>
      <c r="AB356" s="9"/>
      <c r="AP356" s="9"/>
      <c r="AQ356" s="9"/>
      <c r="AR356" s="16"/>
      <c r="AS356" s="9"/>
    </row>
    <row r="357" spans="7:45" x14ac:dyDescent="0.25">
      <c r="G357" s="9"/>
      <c r="H357" s="9"/>
      <c r="I357" s="9"/>
      <c r="J357" s="9"/>
      <c r="K357" s="9"/>
      <c r="L357" s="9"/>
      <c r="M357" s="16"/>
      <c r="N357" s="16"/>
      <c r="O357" s="16"/>
      <c r="P357" s="9"/>
      <c r="Q357" s="9"/>
      <c r="R357" s="9"/>
      <c r="S357" s="9"/>
      <c r="T357" s="9"/>
      <c r="U357" s="9"/>
      <c r="V357" s="9"/>
      <c r="W357" s="9"/>
      <c r="X357" s="16"/>
      <c r="Y357" s="16"/>
      <c r="Z357" s="16"/>
      <c r="AA357" s="16"/>
      <c r="AB357" s="9"/>
      <c r="AP357" s="9"/>
      <c r="AQ357" s="9"/>
      <c r="AR357" s="16"/>
      <c r="AS357" s="9"/>
    </row>
    <row r="358" spans="7:45" x14ac:dyDescent="0.25">
      <c r="G358" s="9"/>
      <c r="H358" s="9"/>
      <c r="I358" s="9"/>
      <c r="J358" s="9"/>
      <c r="K358" s="9"/>
      <c r="L358" s="9"/>
      <c r="M358" s="16"/>
      <c r="N358" s="16"/>
      <c r="O358" s="16"/>
      <c r="P358" s="9"/>
      <c r="Q358" s="9"/>
      <c r="R358" s="9"/>
      <c r="S358" s="9"/>
      <c r="T358" s="9"/>
      <c r="U358" s="9"/>
      <c r="V358" s="9"/>
      <c r="W358" s="9"/>
      <c r="X358" s="16"/>
      <c r="Y358" s="16"/>
      <c r="Z358" s="16"/>
      <c r="AA358" s="16"/>
      <c r="AB358" s="9"/>
      <c r="AP358" s="9"/>
      <c r="AQ358" s="9"/>
      <c r="AR358" s="16"/>
      <c r="AS358" s="9"/>
    </row>
    <row r="359" spans="7:45" x14ac:dyDescent="0.25">
      <c r="G359" s="9"/>
      <c r="H359" s="9"/>
      <c r="I359" s="9"/>
      <c r="J359" s="9"/>
      <c r="K359" s="9"/>
      <c r="L359" s="9"/>
      <c r="M359" s="16"/>
      <c r="N359" s="16"/>
      <c r="O359" s="16"/>
      <c r="P359" s="9"/>
      <c r="Q359" s="9"/>
      <c r="R359" s="9"/>
      <c r="S359" s="9"/>
      <c r="T359" s="9"/>
      <c r="U359" s="9"/>
      <c r="V359" s="9"/>
      <c r="W359" s="9"/>
      <c r="X359" s="16"/>
      <c r="Y359" s="16"/>
      <c r="Z359" s="16"/>
      <c r="AA359" s="16"/>
      <c r="AB359" s="9"/>
      <c r="AP359" s="9"/>
      <c r="AQ359" s="9"/>
      <c r="AR359" s="16"/>
      <c r="AS359" s="9"/>
    </row>
    <row r="360" spans="7:45" x14ac:dyDescent="0.25">
      <c r="G360" s="9"/>
      <c r="H360" s="9"/>
      <c r="I360" s="9"/>
      <c r="J360" s="9"/>
      <c r="K360" s="9"/>
      <c r="L360" s="9"/>
      <c r="M360" s="16"/>
      <c r="N360" s="16"/>
      <c r="O360" s="16"/>
      <c r="P360" s="9"/>
      <c r="Q360" s="9"/>
      <c r="R360" s="9"/>
      <c r="S360" s="9"/>
      <c r="T360" s="9"/>
      <c r="U360" s="9"/>
      <c r="V360" s="9"/>
      <c r="W360" s="9"/>
      <c r="X360" s="16"/>
      <c r="Y360" s="16"/>
      <c r="Z360" s="16"/>
      <c r="AA360" s="16"/>
      <c r="AB360" s="9"/>
      <c r="AP360" s="9"/>
      <c r="AQ360" s="9"/>
      <c r="AR360" s="16"/>
      <c r="AS360" s="9"/>
    </row>
    <row r="361" spans="7:45" x14ac:dyDescent="0.25">
      <c r="G361" s="9"/>
      <c r="H361" s="9"/>
      <c r="I361" s="9"/>
      <c r="J361" s="9"/>
      <c r="K361" s="9"/>
      <c r="L361" s="9"/>
      <c r="M361" s="16"/>
      <c r="N361" s="16"/>
      <c r="O361" s="16"/>
      <c r="P361" s="9"/>
      <c r="Q361" s="9"/>
      <c r="R361" s="9"/>
      <c r="S361" s="9"/>
      <c r="T361" s="9"/>
      <c r="U361" s="9"/>
      <c r="V361" s="9"/>
      <c r="W361" s="9"/>
      <c r="X361" s="16"/>
      <c r="Y361" s="16"/>
      <c r="Z361" s="16"/>
      <c r="AA361" s="16"/>
      <c r="AB361" s="9"/>
      <c r="AP361" s="9"/>
      <c r="AQ361" s="9"/>
      <c r="AR361" s="16"/>
      <c r="AS361" s="9"/>
    </row>
    <row r="362" spans="7:45" x14ac:dyDescent="0.25">
      <c r="G362" s="9"/>
      <c r="H362" s="9"/>
      <c r="I362" s="9"/>
      <c r="J362" s="9"/>
      <c r="K362" s="9"/>
      <c r="L362" s="9"/>
      <c r="M362" s="16"/>
      <c r="N362" s="16"/>
      <c r="O362" s="16"/>
      <c r="P362" s="9"/>
      <c r="Q362" s="9"/>
      <c r="R362" s="9"/>
      <c r="S362" s="9"/>
      <c r="T362" s="9"/>
      <c r="U362" s="9"/>
      <c r="V362" s="9"/>
      <c r="W362" s="9"/>
      <c r="X362" s="16"/>
      <c r="Y362" s="16"/>
      <c r="Z362" s="16"/>
      <c r="AA362" s="16"/>
      <c r="AB362" s="9"/>
      <c r="AP362" s="9"/>
      <c r="AQ362" s="9"/>
      <c r="AR362" s="16"/>
      <c r="AS362" s="9"/>
    </row>
    <row r="363" spans="7:45" x14ac:dyDescent="0.25">
      <c r="G363" s="9"/>
      <c r="H363" s="9"/>
      <c r="I363" s="9"/>
      <c r="J363" s="9"/>
      <c r="K363" s="9"/>
      <c r="L363" s="9"/>
      <c r="M363" s="16"/>
      <c r="N363" s="16"/>
      <c r="O363" s="16"/>
      <c r="P363" s="9"/>
      <c r="Q363" s="9"/>
      <c r="R363" s="9"/>
      <c r="S363" s="9"/>
      <c r="T363" s="9"/>
      <c r="U363" s="9"/>
      <c r="V363" s="9"/>
      <c r="W363" s="9"/>
      <c r="X363" s="16"/>
      <c r="Y363" s="16"/>
      <c r="Z363" s="16"/>
      <c r="AA363" s="16"/>
      <c r="AB363" s="9"/>
      <c r="AP363" s="9"/>
      <c r="AQ363" s="9"/>
      <c r="AR363" s="16"/>
      <c r="AS363" s="9"/>
    </row>
    <row r="364" spans="7:45" x14ac:dyDescent="0.25">
      <c r="G364" s="9"/>
      <c r="H364" s="9"/>
      <c r="I364" s="9"/>
      <c r="J364" s="9"/>
      <c r="K364" s="9"/>
      <c r="L364" s="9"/>
      <c r="M364" s="16"/>
      <c r="N364" s="16"/>
      <c r="O364" s="16"/>
      <c r="P364" s="9"/>
      <c r="Q364" s="9"/>
      <c r="R364" s="9"/>
      <c r="S364" s="9"/>
      <c r="T364" s="9"/>
      <c r="U364" s="9"/>
      <c r="V364" s="9"/>
      <c r="W364" s="9"/>
      <c r="X364" s="16"/>
      <c r="Y364" s="16"/>
      <c r="Z364" s="16"/>
      <c r="AA364" s="16"/>
      <c r="AB364" s="9"/>
      <c r="AP364" s="9"/>
      <c r="AQ364" s="9"/>
      <c r="AR364" s="16"/>
      <c r="AS364" s="9"/>
    </row>
    <row r="365" spans="7:45" x14ac:dyDescent="0.25">
      <c r="G365" s="9"/>
      <c r="H365" s="9"/>
      <c r="I365" s="9"/>
      <c r="J365" s="9"/>
      <c r="K365" s="9"/>
      <c r="L365" s="9"/>
      <c r="M365" s="16"/>
      <c r="N365" s="16"/>
      <c r="O365" s="16"/>
      <c r="P365" s="9"/>
      <c r="Q365" s="9"/>
      <c r="R365" s="9"/>
      <c r="S365" s="9"/>
      <c r="T365" s="9"/>
      <c r="U365" s="9"/>
      <c r="V365" s="9"/>
      <c r="W365" s="9"/>
      <c r="X365" s="16"/>
      <c r="Y365" s="16"/>
      <c r="Z365" s="16"/>
      <c r="AA365" s="16"/>
      <c r="AB365" s="9"/>
      <c r="AP365" s="9"/>
      <c r="AQ365" s="9"/>
      <c r="AR365" s="16"/>
      <c r="AS365" s="9"/>
    </row>
    <row r="366" spans="7:45" x14ac:dyDescent="0.25">
      <c r="G366" s="9"/>
      <c r="H366" s="9"/>
      <c r="I366" s="9"/>
      <c r="J366" s="9"/>
      <c r="K366" s="9"/>
      <c r="L366" s="9"/>
      <c r="M366" s="16"/>
      <c r="N366" s="16"/>
      <c r="O366" s="16"/>
      <c r="P366" s="9"/>
      <c r="Q366" s="9"/>
      <c r="R366" s="9"/>
      <c r="S366" s="9"/>
      <c r="T366" s="9"/>
      <c r="U366" s="9"/>
      <c r="V366" s="9"/>
      <c r="W366" s="9"/>
      <c r="X366" s="16"/>
      <c r="Y366" s="16"/>
      <c r="Z366" s="16"/>
      <c r="AA366" s="16"/>
      <c r="AB366" s="9"/>
      <c r="AP366" s="9"/>
      <c r="AQ366" s="9"/>
      <c r="AR366" s="16"/>
      <c r="AS366" s="9"/>
    </row>
    <row r="367" spans="7:45" x14ac:dyDescent="0.25">
      <c r="G367" s="9"/>
      <c r="H367" s="9"/>
      <c r="I367" s="9"/>
      <c r="J367" s="9"/>
      <c r="K367" s="9"/>
      <c r="L367" s="9"/>
      <c r="M367" s="16"/>
      <c r="N367" s="16"/>
      <c r="O367" s="16"/>
      <c r="P367" s="9"/>
      <c r="Q367" s="9"/>
      <c r="R367" s="9"/>
      <c r="S367" s="9"/>
      <c r="T367" s="9"/>
      <c r="U367" s="9"/>
      <c r="V367" s="9"/>
      <c r="W367" s="9"/>
      <c r="X367" s="16"/>
      <c r="Y367" s="16"/>
      <c r="Z367" s="16"/>
      <c r="AA367" s="16"/>
      <c r="AB367" s="9"/>
      <c r="AP367" s="9"/>
      <c r="AQ367" s="9"/>
      <c r="AR367" s="16"/>
      <c r="AS367" s="9"/>
    </row>
    <row r="368" spans="7:45" x14ac:dyDescent="0.25">
      <c r="G368" s="9"/>
      <c r="H368" s="9"/>
      <c r="I368" s="9"/>
      <c r="J368" s="9"/>
      <c r="K368" s="9"/>
      <c r="L368" s="9"/>
      <c r="M368" s="16"/>
      <c r="N368" s="16"/>
      <c r="O368" s="16"/>
      <c r="P368" s="9"/>
      <c r="Q368" s="9"/>
      <c r="R368" s="9"/>
      <c r="S368" s="9"/>
      <c r="T368" s="9"/>
      <c r="U368" s="9"/>
      <c r="V368" s="9"/>
      <c r="W368" s="9"/>
      <c r="X368" s="16"/>
      <c r="Y368" s="16"/>
      <c r="Z368" s="16"/>
      <c r="AA368" s="16"/>
      <c r="AB368" s="9"/>
      <c r="AP368" s="9"/>
      <c r="AQ368" s="9"/>
      <c r="AR368" s="16"/>
      <c r="AS368" s="9"/>
    </row>
    <row r="369" spans="7:45" x14ac:dyDescent="0.25">
      <c r="G369" s="9"/>
      <c r="H369" s="9"/>
      <c r="I369" s="9"/>
      <c r="J369" s="9"/>
      <c r="K369" s="9"/>
      <c r="L369" s="9"/>
      <c r="M369" s="16"/>
      <c r="N369" s="16"/>
      <c r="O369" s="16"/>
      <c r="P369" s="9"/>
      <c r="Q369" s="9"/>
      <c r="R369" s="9"/>
      <c r="S369" s="9"/>
      <c r="T369" s="9"/>
      <c r="U369" s="9"/>
      <c r="V369" s="9"/>
      <c r="W369" s="9"/>
      <c r="X369" s="16"/>
      <c r="Y369" s="16"/>
      <c r="Z369" s="16"/>
      <c r="AA369" s="16"/>
      <c r="AB369" s="9"/>
      <c r="AP369" s="9"/>
      <c r="AQ369" s="9"/>
      <c r="AR369" s="16"/>
      <c r="AS369" s="9"/>
    </row>
    <row r="370" spans="7:45" x14ac:dyDescent="0.25">
      <c r="G370" s="9"/>
      <c r="H370" s="9"/>
      <c r="I370" s="9"/>
      <c r="J370" s="9"/>
      <c r="K370" s="9"/>
      <c r="L370" s="9"/>
      <c r="M370" s="16"/>
      <c r="N370" s="16"/>
      <c r="O370" s="16"/>
      <c r="P370" s="9"/>
      <c r="Q370" s="9"/>
      <c r="R370" s="9"/>
      <c r="S370" s="9"/>
      <c r="T370" s="9"/>
      <c r="U370" s="9"/>
      <c r="V370" s="9"/>
      <c r="W370" s="9"/>
      <c r="X370" s="16"/>
      <c r="Y370" s="16"/>
      <c r="Z370" s="16"/>
      <c r="AA370" s="16"/>
      <c r="AB370" s="9"/>
      <c r="AP370" s="9"/>
      <c r="AQ370" s="9"/>
      <c r="AR370" s="16"/>
      <c r="AS370" s="9"/>
    </row>
    <row r="371" spans="7:45" x14ac:dyDescent="0.25">
      <c r="G371" s="9"/>
      <c r="H371" s="9"/>
      <c r="I371" s="9"/>
      <c r="J371" s="9"/>
      <c r="K371" s="9"/>
      <c r="L371" s="9"/>
      <c r="M371" s="16"/>
      <c r="N371" s="16"/>
      <c r="O371" s="16"/>
      <c r="P371" s="9"/>
      <c r="Q371" s="9"/>
      <c r="R371" s="9"/>
      <c r="S371" s="9"/>
      <c r="T371" s="9"/>
      <c r="U371" s="9"/>
      <c r="V371" s="9"/>
      <c r="W371" s="9"/>
      <c r="X371" s="16"/>
      <c r="Y371" s="16"/>
      <c r="Z371" s="16"/>
      <c r="AA371" s="16"/>
      <c r="AB371" s="9"/>
      <c r="AP371" s="9"/>
      <c r="AQ371" s="9"/>
      <c r="AR371" s="16"/>
      <c r="AS371" s="9"/>
    </row>
    <row r="372" spans="7:45" x14ac:dyDescent="0.25">
      <c r="G372" s="9"/>
      <c r="H372" s="9"/>
      <c r="I372" s="9"/>
      <c r="J372" s="9"/>
      <c r="K372" s="9"/>
      <c r="L372" s="9"/>
      <c r="M372" s="16"/>
      <c r="N372" s="16"/>
      <c r="O372" s="16"/>
      <c r="P372" s="9"/>
      <c r="Q372" s="9"/>
      <c r="R372" s="9"/>
      <c r="S372" s="9"/>
      <c r="T372" s="9"/>
      <c r="U372" s="9"/>
      <c r="V372" s="9"/>
      <c r="W372" s="9"/>
      <c r="X372" s="16"/>
      <c r="Y372" s="16"/>
      <c r="Z372" s="16"/>
      <c r="AA372" s="16"/>
      <c r="AB372" s="9"/>
      <c r="AP372" s="9"/>
      <c r="AQ372" s="9"/>
      <c r="AR372" s="16"/>
      <c r="AS372" s="9"/>
    </row>
    <row r="373" spans="7:45" x14ac:dyDescent="0.25">
      <c r="G373" s="9"/>
      <c r="H373" s="9"/>
      <c r="I373" s="9"/>
      <c r="J373" s="9"/>
      <c r="K373" s="9"/>
      <c r="L373" s="9"/>
      <c r="M373" s="16"/>
      <c r="N373" s="16"/>
      <c r="O373" s="16"/>
      <c r="P373" s="9"/>
      <c r="Q373" s="9"/>
      <c r="R373" s="9"/>
      <c r="S373" s="9"/>
      <c r="T373" s="9"/>
      <c r="U373" s="9"/>
      <c r="V373" s="9"/>
      <c r="W373" s="9"/>
      <c r="X373" s="16"/>
      <c r="Y373" s="16"/>
      <c r="Z373" s="16"/>
      <c r="AA373" s="16"/>
      <c r="AB373" s="9"/>
      <c r="AP373" s="9"/>
      <c r="AQ373" s="9"/>
      <c r="AR373" s="16"/>
      <c r="AS373" s="9"/>
    </row>
    <row r="374" spans="7:45" x14ac:dyDescent="0.25">
      <c r="G374" s="9"/>
      <c r="H374" s="9"/>
      <c r="I374" s="9"/>
      <c r="J374" s="9"/>
      <c r="K374" s="9"/>
      <c r="L374" s="9"/>
      <c r="M374" s="16"/>
      <c r="N374" s="16"/>
      <c r="O374" s="16"/>
      <c r="P374" s="9"/>
      <c r="Q374" s="9"/>
      <c r="R374" s="9"/>
      <c r="S374" s="9"/>
      <c r="T374" s="9"/>
      <c r="U374" s="9"/>
      <c r="V374" s="9"/>
      <c r="W374" s="9"/>
      <c r="X374" s="16"/>
      <c r="Y374" s="16"/>
      <c r="Z374" s="16"/>
      <c r="AA374" s="16"/>
      <c r="AB374" s="9"/>
      <c r="AP374" s="9"/>
      <c r="AQ374" s="9"/>
      <c r="AR374" s="16"/>
      <c r="AS374" s="9"/>
    </row>
    <row r="375" spans="7:45" x14ac:dyDescent="0.25">
      <c r="G375" s="9"/>
      <c r="H375" s="9"/>
      <c r="I375" s="9"/>
      <c r="J375" s="9"/>
      <c r="K375" s="9"/>
      <c r="L375" s="9"/>
      <c r="M375" s="16"/>
      <c r="N375" s="16"/>
      <c r="O375" s="16"/>
      <c r="P375" s="9"/>
      <c r="Q375" s="9"/>
      <c r="R375" s="9"/>
      <c r="S375" s="9"/>
      <c r="T375" s="9"/>
      <c r="U375" s="9"/>
      <c r="V375" s="9"/>
      <c r="W375" s="9"/>
      <c r="X375" s="16"/>
      <c r="Y375" s="16"/>
      <c r="Z375" s="16"/>
      <c r="AA375" s="16"/>
      <c r="AB375" s="9"/>
      <c r="AP375" s="9"/>
      <c r="AQ375" s="9"/>
      <c r="AR375" s="16"/>
      <c r="AS375" s="9"/>
    </row>
    <row r="376" spans="7:45" x14ac:dyDescent="0.25">
      <c r="G376" s="9"/>
      <c r="H376" s="9"/>
      <c r="I376" s="9"/>
      <c r="J376" s="9"/>
      <c r="K376" s="9"/>
      <c r="L376" s="9"/>
      <c r="M376" s="16"/>
      <c r="N376" s="16"/>
      <c r="O376" s="16"/>
      <c r="P376" s="9"/>
      <c r="Q376" s="9"/>
      <c r="R376" s="9"/>
      <c r="S376" s="9"/>
      <c r="T376" s="9"/>
      <c r="U376" s="9"/>
      <c r="V376" s="9"/>
      <c r="W376" s="9"/>
      <c r="X376" s="16"/>
      <c r="Y376" s="16"/>
      <c r="Z376" s="16"/>
      <c r="AA376" s="16"/>
      <c r="AB376" s="9"/>
      <c r="AP376" s="9"/>
      <c r="AQ376" s="9"/>
      <c r="AR376" s="16"/>
      <c r="AS376" s="9"/>
    </row>
    <row r="377" spans="7:45" x14ac:dyDescent="0.25">
      <c r="G377" s="9"/>
      <c r="H377" s="9"/>
      <c r="I377" s="9"/>
      <c r="J377" s="9"/>
      <c r="K377" s="9"/>
      <c r="L377" s="9"/>
      <c r="M377" s="16"/>
      <c r="N377" s="16"/>
      <c r="O377" s="16"/>
      <c r="P377" s="9"/>
      <c r="Q377" s="9"/>
      <c r="R377" s="9"/>
      <c r="S377" s="9"/>
      <c r="T377" s="9"/>
      <c r="U377" s="9"/>
      <c r="V377" s="9"/>
      <c r="W377" s="9"/>
      <c r="X377" s="16"/>
      <c r="Y377" s="16"/>
      <c r="Z377" s="16"/>
      <c r="AA377" s="16"/>
      <c r="AB377" s="9"/>
      <c r="AP377" s="9"/>
      <c r="AQ377" s="9"/>
      <c r="AR377" s="16"/>
      <c r="AS377" s="9"/>
    </row>
    <row r="378" spans="7:45" x14ac:dyDescent="0.25">
      <c r="G378" s="9"/>
      <c r="H378" s="9"/>
      <c r="I378" s="9"/>
      <c r="J378" s="9"/>
      <c r="K378" s="9"/>
      <c r="L378" s="9"/>
      <c r="M378" s="16"/>
      <c r="N378" s="16"/>
      <c r="O378" s="16"/>
      <c r="P378" s="9"/>
      <c r="Q378" s="9"/>
      <c r="R378" s="9"/>
      <c r="S378" s="9"/>
      <c r="T378" s="9"/>
      <c r="U378" s="9"/>
      <c r="V378" s="9"/>
      <c r="W378" s="9"/>
      <c r="X378" s="16"/>
      <c r="Y378" s="16"/>
      <c r="Z378" s="16"/>
      <c r="AA378" s="16"/>
      <c r="AB378" s="9"/>
      <c r="AP378" s="9"/>
      <c r="AQ378" s="9"/>
      <c r="AR378" s="16"/>
      <c r="AS378" s="9"/>
    </row>
    <row r="379" spans="7:45" x14ac:dyDescent="0.25">
      <c r="G379" s="9"/>
      <c r="H379" s="9"/>
      <c r="I379" s="9"/>
      <c r="J379" s="9"/>
      <c r="K379" s="9"/>
      <c r="L379" s="9"/>
      <c r="M379" s="16"/>
      <c r="N379" s="16"/>
      <c r="O379" s="16"/>
      <c r="P379" s="9"/>
      <c r="Q379" s="9"/>
      <c r="R379" s="9"/>
      <c r="S379" s="9"/>
      <c r="T379" s="9"/>
      <c r="U379" s="9"/>
      <c r="V379" s="9"/>
      <c r="W379" s="9"/>
      <c r="X379" s="16"/>
      <c r="Y379" s="16"/>
      <c r="Z379" s="16"/>
      <c r="AA379" s="16"/>
      <c r="AB379" s="9"/>
      <c r="AP379" s="9"/>
      <c r="AQ379" s="9"/>
      <c r="AR379" s="16"/>
      <c r="AS379" s="9"/>
    </row>
    <row r="380" spans="7:45" x14ac:dyDescent="0.25">
      <c r="G380" s="9"/>
      <c r="H380" s="9"/>
      <c r="I380" s="9"/>
      <c r="J380" s="9"/>
      <c r="K380" s="9"/>
      <c r="L380" s="9"/>
      <c r="M380" s="16"/>
      <c r="N380" s="16"/>
      <c r="O380" s="16"/>
      <c r="P380" s="9"/>
      <c r="Q380" s="9"/>
      <c r="R380" s="9"/>
      <c r="S380" s="9"/>
      <c r="T380" s="9"/>
      <c r="U380" s="9"/>
      <c r="V380" s="9"/>
      <c r="W380" s="9"/>
      <c r="X380" s="16"/>
      <c r="Y380" s="16"/>
      <c r="Z380" s="16"/>
      <c r="AA380" s="16"/>
      <c r="AB380" s="9"/>
      <c r="AP380" s="9"/>
      <c r="AQ380" s="9"/>
      <c r="AR380" s="16"/>
      <c r="AS380" s="9"/>
    </row>
    <row r="381" spans="7:45" x14ac:dyDescent="0.25">
      <c r="G381" s="9"/>
      <c r="H381" s="9"/>
      <c r="I381" s="9"/>
      <c r="J381" s="9"/>
      <c r="K381" s="9"/>
      <c r="L381" s="9"/>
      <c r="M381" s="16"/>
      <c r="N381" s="16"/>
      <c r="O381" s="16"/>
      <c r="P381" s="9"/>
      <c r="Q381" s="9"/>
      <c r="R381" s="9"/>
      <c r="S381" s="9"/>
      <c r="T381" s="9"/>
      <c r="U381" s="9"/>
      <c r="V381" s="9"/>
      <c r="W381" s="9"/>
      <c r="X381" s="16"/>
      <c r="Y381" s="16"/>
      <c r="Z381" s="16"/>
      <c r="AA381" s="16"/>
      <c r="AB381" s="9"/>
      <c r="AP381" s="9"/>
      <c r="AQ381" s="9"/>
      <c r="AR381" s="16"/>
      <c r="AS381" s="9"/>
    </row>
    <row r="382" spans="7:45" x14ac:dyDescent="0.25">
      <c r="G382" s="9"/>
      <c r="H382" s="9"/>
      <c r="I382" s="9"/>
      <c r="J382" s="9"/>
      <c r="K382" s="9"/>
      <c r="L382" s="9"/>
      <c r="M382" s="16"/>
      <c r="N382" s="16"/>
      <c r="O382" s="16"/>
      <c r="P382" s="9"/>
      <c r="Q382" s="9"/>
      <c r="R382" s="9"/>
      <c r="S382" s="9"/>
      <c r="T382" s="9"/>
      <c r="U382" s="9"/>
      <c r="V382" s="9"/>
      <c r="W382" s="9"/>
      <c r="X382" s="16"/>
      <c r="Y382" s="16"/>
      <c r="Z382" s="16"/>
      <c r="AA382" s="16"/>
      <c r="AB382" s="9"/>
      <c r="AP382" s="9"/>
      <c r="AQ382" s="9"/>
      <c r="AR382" s="16"/>
      <c r="AS382" s="9"/>
    </row>
    <row r="383" spans="7:45" x14ac:dyDescent="0.25">
      <c r="G383" s="9"/>
      <c r="H383" s="9"/>
      <c r="I383" s="9"/>
      <c r="J383" s="9"/>
      <c r="K383" s="9"/>
      <c r="L383" s="9"/>
      <c r="M383" s="16"/>
      <c r="N383" s="16"/>
      <c r="O383" s="16"/>
      <c r="P383" s="9"/>
      <c r="Q383" s="9"/>
      <c r="R383" s="9"/>
      <c r="S383" s="9"/>
      <c r="T383" s="9"/>
      <c r="U383" s="9"/>
      <c r="V383" s="9"/>
      <c r="W383" s="9"/>
      <c r="X383" s="16"/>
      <c r="Y383" s="16"/>
      <c r="Z383" s="16"/>
      <c r="AA383" s="16"/>
      <c r="AB383" s="9"/>
      <c r="AP383" s="9"/>
      <c r="AQ383" s="9"/>
      <c r="AR383" s="16"/>
      <c r="AS383" s="9"/>
    </row>
    <row r="384" spans="7:45" x14ac:dyDescent="0.25">
      <c r="G384" s="9"/>
      <c r="H384" s="9"/>
      <c r="I384" s="9"/>
      <c r="J384" s="9"/>
      <c r="K384" s="9"/>
      <c r="L384" s="9"/>
      <c r="M384" s="16"/>
      <c r="N384" s="16"/>
      <c r="O384" s="16"/>
      <c r="P384" s="9"/>
      <c r="Q384" s="9"/>
      <c r="R384" s="9"/>
      <c r="S384" s="9"/>
      <c r="T384" s="9"/>
      <c r="U384" s="9"/>
      <c r="V384" s="9"/>
      <c r="W384" s="9"/>
      <c r="X384" s="16"/>
      <c r="Y384" s="16"/>
      <c r="Z384" s="16"/>
      <c r="AA384" s="16"/>
      <c r="AB384" s="9"/>
      <c r="AP384" s="9"/>
      <c r="AQ384" s="9"/>
      <c r="AR384" s="16"/>
      <c r="AS384" s="9"/>
    </row>
    <row r="385" spans="7:45" x14ac:dyDescent="0.25">
      <c r="G385" s="9"/>
      <c r="H385" s="9"/>
      <c r="I385" s="9"/>
      <c r="J385" s="9"/>
      <c r="K385" s="9"/>
      <c r="L385" s="9"/>
      <c r="M385" s="16"/>
      <c r="N385" s="16"/>
      <c r="O385" s="16"/>
      <c r="P385" s="9"/>
      <c r="Q385" s="9"/>
      <c r="R385" s="9"/>
      <c r="S385" s="9"/>
      <c r="T385" s="9"/>
      <c r="U385" s="9"/>
      <c r="V385" s="9"/>
      <c r="W385" s="9"/>
      <c r="X385" s="16"/>
      <c r="Y385" s="16"/>
      <c r="Z385" s="16"/>
      <c r="AA385" s="16"/>
      <c r="AB385" s="9"/>
      <c r="AP385" s="9"/>
      <c r="AQ385" s="9"/>
      <c r="AR385" s="16"/>
      <c r="AS385" s="9"/>
    </row>
    <row r="386" spans="7:45" x14ac:dyDescent="0.25">
      <c r="G386" s="9"/>
      <c r="H386" s="9"/>
      <c r="I386" s="9"/>
      <c r="J386" s="9"/>
      <c r="K386" s="9"/>
      <c r="L386" s="9"/>
      <c r="M386" s="16"/>
      <c r="N386" s="16"/>
      <c r="O386" s="16"/>
      <c r="P386" s="9"/>
      <c r="Q386" s="9"/>
      <c r="R386" s="9"/>
      <c r="S386" s="9"/>
      <c r="T386" s="9"/>
      <c r="U386" s="9"/>
      <c r="V386" s="9"/>
      <c r="W386" s="9"/>
      <c r="X386" s="16"/>
      <c r="Y386" s="16"/>
      <c r="Z386" s="16"/>
      <c r="AA386" s="16"/>
      <c r="AB386" s="9"/>
      <c r="AP386" s="9"/>
      <c r="AQ386" s="9"/>
      <c r="AR386" s="16"/>
      <c r="AS386" s="9"/>
    </row>
    <row r="387" spans="7:45" x14ac:dyDescent="0.25">
      <c r="G387" s="9"/>
      <c r="H387" s="9"/>
      <c r="I387" s="9"/>
      <c r="J387" s="9"/>
      <c r="K387" s="9"/>
      <c r="L387" s="9"/>
      <c r="M387" s="16"/>
      <c r="N387" s="16"/>
      <c r="O387" s="16"/>
      <c r="P387" s="9"/>
      <c r="Q387" s="9"/>
      <c r="R387" s="9"/>
      <c r="S387" s="9"/>
      <c r="T387" s="9"/>
      <c r="U387" s="9"/>
      <c r="V387" s="9"/>
      <c r="W387" s="9"/>
      <c r="X387" s="16"/>
      <c r="Y387" s="16"/>
      <c r="Z387" s="16"/>
      <c r="AA387" s="16"/>
      <c r="AB387" s="9"/>
      <c r="AP387" s="9"/>
      <c r="AQ387" s="9"/>
      <c r="AR387" s="16"/>
      <c r="AS387" s="9"/>
    </row>
    <row r="388" spans="7:45" x14ac:dyDescent="0.25">
      <c r="G388" s="9"/>
      <c r="H388" s="9"/>
      <c r="I388" s="9"/>
      <c r="J388" s="9"/>
      <c r="K388" s="9"/>
      <c r="L388" s="9"/>
      <c r="M388" s="16"/>
      <c r="N388" s="16"/>
      <c r="O388" s="16"/>
      <c r="P388" s="9"/>
      <c r="Q388" s="9"/>
      <c r="R388" s="9"/>
      <c r="S388" s="9"/>
      <c r="T388" s="9"/>
      <c r="U388" s="9"/>
      <c r="V388" s="9"/>
      <c r="W388" s="9"/>
      <c r="X388" s="16"/>
      <c r="Y388" s="16"/>
      <c r="Z388" s="16"/>
      <c r="AA388" s="16"/>
      <c r="AB388" s="9"/>
      <c r="AP388" s="9"/>
      <c r="AQ388" s="9"/>
      <c r="AR388" s="16"/>
      <c r="AS388" s="9"/>
    </row>
    <row r="389" spans="7:45" x14ac:dyDescent="0.25">
      <c r="G389" s="9"/>
      <c r="H389" s="9"/>
      <c r="I389" s="9"/>
      <c r="J389" s="9"/>
      <c r="K389" s="9"/>
      <c r="L389" s="9"/>
      <c r="M389" s="16"/>
      <c r="N389" s="16"/>
      <c r="O389" s="16"/>
      <c r="P389" s="9"/>
      <c r="Q389" s="9"/>
      <c r="R389" s="9"/>
      <c r="S389" s="9"/>
      <c r="T389" s="9"/>
      <c r="U389" s="9"/>
      <c r="V389" s="9"/>
      <c r="W389" s="9"/>
      <c r="X389" s="16"/>
      <c r="Y389" s="16"/>
      <c r="Z389" s="16"/>
      <c r="AA389" s="16"/>
      <c r="AB389" s="9"/>
      <c r="AP389" s="9"/>
      <c r="AQ389" s="9"/>
      <c r="AR389" s="16"/>
      <c r="AS389" s="9"/>
    </row>
    <row r="390" spans="7:45" x14ac:dyDescent="0.25">
      <c r="G390" s="9"/>
      <c r="H390" s="9"/>
      <c r="I390" s="9"/>
      <c r="J390" s="9"/>
      <c r="K390" s="9"/>
      <c r="L390" s="9"/>
      <c r="M390" s="16"/>
      <c r="N390" s="16"/>
      <c r="O390" s="16"/>
      <c r="P390" s="9"/>
      <c r="Q390" s="9"/>
      <c r="R390" s="9"/>
      <c r="S390" s="9"/>
      <c r="T390" s="9"/>
      <c r="U390" s="9"/>
      <c r="V390" s="9"/>
      <c r="W390" s="9"/>
      <c r="X390" s="16"/>
      <c r="Y390" s="16"/>
      <c r="Z390" s="16"/>
      <c r="AA390" s="16"/>
      <c r="AB390" s="9"/>
      <c r="AP390" s="9"/>
      <c r="AQ390" s="9"/>
      <c r="AR390" s="16"/>
      <c r="AS390" s="9"/>
    </row>
    <row r="391" spans="7:45" x14ac:dyDescent="0.25">
      <c r="G391" s="9"/>
      <c r="H391" s="9"/>
      <c r="I391" s="9"/>
      <c r="J391" s="9"/>
      <c r="K391" s="9"/>
      <c r="L391" s="9"/>
      <c r="M391" s="16"/>
      <c r="N391" s="16"/>
      <c r="O391" s="16"/>
      <c r="P391" s="9"/>
      <c r="Q391" s="9"/>
      <c r="R391" s="9"/>
      <c r="S391" s="9"/>
      <c r="T391" s="9"/>
      <c r="U391" s="9"/>
      <c r="V391" s="9"/>
      <c r="W391" s="9"/>
      <c r="X391" s="16"/>
      <c r="Y391" s="16"/>
      <c r="Z391" s="16"/>
      <c r="AA391" s="16"/>
      <c r="AB391" s="9"/>
      <c r="AP391" s="9"/>
      <c r="AQ391" s="9"/>
      <c r="AR391" s="16"/>
      <c r="AS391" s="9"/>
    </row>
    <row r="392" spans="7:45" x14ac:dyDescent="0.25">
      <c r="G392" s="9"/>
      <c r="H392" s="9"/>
      <c r="I392" s="9"/>
      <c r="J392" s="9"/>
      <c r="K392" s="9"/>
      <c r="L392" s="9"/>
      <c r="M392" s="16"/>
      <c r="N392" s="16"/>
      <c r="O392" s="16"/>
      <c r="P392" s="9"/>
      <c r="Q392" s="9"/>
      <c r="R392" s="9"/>
      <c r="S392" s="9"/>
      <c r="T392" s="9"/>
      <c r="U392" s="9"/>
      <c r="V392" s="9"/>
      <c r="W392" s="9"/>
      <c r="X392" s="16"/>
      <c r="Y392" s="16"/>
      <c r="Z392" s="16"/>
      <c r="AA392" s="16"/>
      <c r="AB392" s="9"/>
      <c r="AP392" s="9"/>
      <c r="AQ392" s="9"/>
      <c r="AR392" s="16"/>
      <c r="AS392" s="9"/>
    </row>
    <row r="393" spans="7:45" x14ac:dyDescent="0.25">
      <c r="G393" s="9"/>
      <c r="H393" s="9"/>
      <c r="I393" s="9"/>
      <c r="J393" s="9"/>
      <c r="K393" s="9"/>
      <c r="L393" s="9"/>
      <c r="M393" s="16"/>
      <c r="N393" s="16"/>
      <c r="O393" s="16"/>
      <c r="P393" s="9"/>
      <c r="Q393" s="9"/>
      <c r="R393" s="9"/>
      <c r="S393" s="9"/>
      <c r="T393" s="9"/>
      <c r="U393" s="9"/>
      <c r="V393" s="9"/>
      <c r="W393" s="9"/>
      <c r="X393" s="16"/>
      <c r="Y393" s="16"/>
      <c r="Z393" s="16"/>
      <c r="AA393" s="16"/>
      <c r="AB393" s="9"/>
      <c r="AP393" s="9"/>
      <c r="AQ393" s="9"/>
      <c r="AR393" s="16"/>
      <c r="AS393" s="9"/>
    </row>
    <row r="394" spans="7:45" x14ac:dyDescent="0.25">
      <c r="G394" s="9"/>
      <c r="H394" s="9"/>
      <c r="I394" s="9"/>
      <c r="J394" s="9"/>
      <c r="K394" s="9"/>
      <c r="L394" s="9"/>
      <c r="M394" s="16"/>
      <c r="N394" s="16"/>
      <c r="O394" s="16"/>
      <c r="P394" s="9"/>
      <c r="Q394" s="9"/>
      <c r="R394" s="9"/>
      <c r="S394" s="9"/>
      <c r="T394" s="9"/>
      <c r="U394" s="9"/>
      <c r="V394" s="9"/>
      <c r="W394" s="9"/>
      <c r="X394" s="16"/>
      <c r="Y394" s="16"/>
      <c r="Z394" s="16"/>
      <c r="AA394" s="16"/>
      <c r="AB394" s="9"/>
      <c r="AP394" s="9"/>
      <c r="AQ394" s="9"/>
      <c r="AR394" s="16"/>
      <c r="AS394" s="9"/>
    </row>
    <row r="395" spans="7:45" x14ac:dyDescent="0.25">
      <c r="G395" s="9"/>
      <c r="H395" s="9"/>
      <c r="I395" s="9"/>
      <c r="J395" s="9"/>
      <c r="K395" s="9"/>
      <c r="L395" s="9"/>
      <c r="M395" s="16"/>
      <c r="N395" s="16"/>
      <c r="O395" s="16"/>
      <c r="P395" s="9"/>
      <c r="Q395" s="9"/>
      <c r="R395" s="9"/>
      <c r="S395" s="9"/>
      <c r="T395" s="9"/>
      <c r="U395" s="9"/>
      <c r="V395" s="9"/>
      <c r="W395" s="9"/>
      <c r="X395" s="16"/>
      <c r="Y395" s="16"/>
      <c r="Z395" s="16"/>
      <c r="AA395" s="16"/>
      <c r="AB395" s="9"/>
      <c r="AP395" s="9"/>
      <c r="AQ395" s="9"/>
      <c r="AR395" s="16"/>
      <c r="AS395" s="9"/>
    </row>
    <row r="396" spans="7:45" x14ac:dyDescent="0.25">
      <c r="G396" s="9"/>
      <c r="H396" s="9"/>
      <c r="I396" s="9"/>
      <c r="J396" s="9"/>
      <c r="K396" s="9"/>
      <c r="L396" s="9"/>
      <c r="M396" s="16"/>
      <c r="N396" s="16"/>
      <c r="O396" s="16"/>
      <c r="P396" s="9"/>
      <c r="Q396" s="9"/>
      <c r="R396" s="9"/>
      <c r="S396" s="9"/>
      <c r="T396" s="9"/>
      <c r="U396" s="9"/>
      <c r="V396" s="9"/>
      <c r="W396" s="9"/>
      <c r="X396" s="16"/>
      <c r="Y396" s="16"/>
      <c r="Z396" s="16"/>
      <c r="AA396" s="16"/>
      <c r="AB396" s="9"/>
      <c r="AP396" s="9"/>
      <c r="AQ396" s="9"/>
      <c r="AR396" s="16"/>
      <c r="AS396" s="9"/>
    </row>
    <row r="397" spans="7:45" x14ac:dyDescent="0.25">
      <c r="G397" s="9"/>
      <c r="H397" s="9"/>
      <c r="I397" s="9"/>
      <c r="J397" s="9"/>
      <c r="K397" s="9"/>
      <c r="L397" s="9"/>
      <c r="M397" s="16"/>
      <c r="N397" s="16"/>
      <c r="O397" s="16"/>
      <c r="P397" s="9"/>
      <c r="Q397" s="9"/>
      <c r="R397" s="9"/>
      <c r="S397" s="9"/>
      <c r="T397" s="9"/>
      <c r="U397" s="9"/>
      <c r="V397" s="9"/>
      <c r="W397" s="9"/>
      <c r="X397" s="16"/>
      <c r="Y397" s="16"/>
      <c r="Z397" s="16"/>
      <c r="AA397" s="16"/>
      <c r="AB397" s="9"/>
      <c r="AP397" s="9"/>
      <c r="AQ397" s="9"/>
      <c r="AR397" s="16"/>
      <c r="AS397" s="9"/>
    </row>
    <row r="398" spans="7:45" x14ac:dyDescent="0.25">
      <c r="G398" s="9"/>
      <c r="H398" s="9"/>
      <c r="I398" s="9"/>
      <c r="J398" s="9"/>
      <c r="K398" s="9"/>
      <c r="L398" s="9"/>
      <c r="M398" s="16"/>
      <c r="N398" s="16"/>
      <c r="O398" s="16"/>
      <c r="P398" s="9"/>
      <c r="Q398" s="9"/>
      <c r="R398" s="9"/>
      <c r="S398" s="9"/>
      <c r="T398" s="9"/>
      <c r="U398" s="9"/>
      <c r="V398" s="9"/>
      <c r="W398" s="9"/>
      <c r="X398" s="16"/>
      <c r="Y398" s="16"/>
      <c r="Z398" s="16"/>
      <c r="AA398" s="16"/>
      <c r="AB398" s="9"/>
      <c r="AP398" s="9"/>
      <c r="AQ398" s="9"/>
      <c r="AR398" s="16"/>
      <c r="AS398" s="9"/>
    </row>
    <row r="399" spans="7:45" x14ac:dyDescent="0.25">
      <c r="G399" s="9"/>
      <c r="H399" s="9"/>
      <c r="I399" s="9"/>
      <c r="J399" s="9"/>
      <c r="K399" s="9"/>
      <c r="L399" s="9"/>
      <c r="M399" s="16"/>
      <c r="N399" s="16"/>
      <c r="O399" s="16"/>
      <c r="P399" s="9"/>
      <c r="Q399" s="9"/>
      <c r="R399" s="9"/>
      <c r="S399" s="9"/>
      <c r="T399" s="9"/>
      <c r="U399" s="9"/>
      <c r="V399" s="9"/>
      <c r="W399" s="9"/>
      <c r="X399" s="16"/>
      <c r="Y399" s="16"/>
      <c r="Z399" s="16"/>
      <c r="AA399" s="16"/>
      <c r="AB399" s="9"/>
      <c r="AP399" s="9"/>
      <c r="AQ399" s="9"/>
      <c r="AR399" s="16"/>
      <c r="AS399" s="9"/>
    </row>
    <row r="400" spans="7:45" x14ac:dyDescent="0.25">
      <c r="G400" s="9"/>
      <c r="H400" s="9"/>
      <c r="I400" s="9"/>
      <c r="J400" s="9"/>
      <c r="K400" s="9"/>
      <c r="L400" s="9"/>
      <c r="M400" s="16"/>
      <c r="N400" s="16"/>
      <c r="O400" s="16"/>
      <c r="P400" s="9"/>
      <c r="Q400" s="9"/>
      <c r="R400" s="9"/>
      <c r="S400" s="9"/>
      <c r="T400" s="9"/>
      <c r="U400" s="9"/>
      <c r="V400" s="9"/>
      <c r="W400" s="9"/>
      <c r="X400" s="16"/>
      <c r="Y400" s="16"/>
      <c r="Z400" s="16"/>
      <c r="AA400" s="16"/>
      <c r="AB400" s="9"/>
      <c r="AP400" s="9"/>
      <c r="AQ400" s="9"/>
      <c r="AR400" s="16"/>
      <c r="AS400" s="9"/>
    </row>
    <row r="401" spans="7:45" x14ac:dyDescent="0.25">
      <c r="G401" s="9"/>
      <c r="H401" s="9"/>
      <c r="I401" s="9"/>
      <c r="J401" s="9"/>
      <c r="K401" s="9"/>
      <c r="L401" s="9"/>
      <c r="M401" s="16"/>
      <c r="N401" s="16"/>
      <c r="O401" s="16"/>
      <c r="P401" s="9"/>
      <c r="Q401" s="9"/>
      <c r="R401" s="9"/>
      <c r="S401" s="9"/>
      <c r="T401" s="9"/>
      <c r="U401" s="9"/>
      <c r="V401" s="9"/>
      <c r="W401" s="9"/>
      <c r="X401" s="16"/>
      <c r="Y401" s="16"/>
      <c r="Z401" s="16"/>
      <c r="AA401" s="16"/>
      <c r="AB401" s="9"/>
      <c r="AP401" s="9"/>
      <c r="AQ401" s="9"/>
      <c r="AR401" s="16"/>
      <c r="AS401" s="9"/>
    </row>
    <row r="402" spans="7:45" x14ac:dyDescent="0.25">
      <c r="G402" s="9"/>
      <c r="H402" s="9"/>
      <c r="I402" s="9"/>
      <c r="J402" s="9"/>
      <c r="K402" s="9"/>
      <c r="L402" s="9"/>
      <c r="M402" s="16"/>
      <c r="N402" s="16"/>
      <c r="O402" s="16"/>
      <c r="P402" s="9"/>
      <c r="Q402" s="9"/>
      <c r="R402" s="9"/>
      <c r="S402" s="9"/>
      <c r="T402" s="9"/>
      <c r="U402" s="9"/>
      <c r="V402" s="9"/>
      <c r="W402" s="9"/>
      <c r="X402" s="16"/>
      <c r="Y402" s="16"/>
      <c r="Z402" s="16"/>
      <c r="AA402" s="16"/>
      <c r="AB402" s="9"/>
      <c r="AP402" s="9"/>
      <c r="AQ402" s="9"/>
      <c r="AR402" s="16"/>
      <c r="AS402" s="9"/>
    </row>
    <row r="403" spans="7:45" x14ac:dyDescent="0.25">
      <c r="G403" s="9"/>
      <c r="H403" s="9"/>
      <c r="I403" s="9"/>
      <c r="J403" s="9"/>
      <c r="K403" s="9"/>
      <c r="L403" s="9"/>
      <c r="M403" s="16"/>
      <c r="N403" s="16"/>
      <c r="O403" s="16"/>
      <c r="P403" s="9"/>
      <c r="Q403" s="9"/>
      <c r="R403" s="9"/>
      <c r="S403" s="9"/>
      <c r="T403" s="9"/>
      <c r="U403" s="9"/>
      <c r="V403" s="9"/>
      <c r="W403" s="9"/>
      <c r="X403" s="16"/>
      <c r="Y403" s="16"/>
      <c r="Z403" s="16"/>
      <c r="AA403" s="16"/>
      <c r="AB403" s="9"/>
      <c r="AP403" s="9"/>
      <c r="AQ403" s="9"/>
      <c r="AR403" s="16"/>
      <c r="AS403" s="9"/>
    </row>
    <row r="404" spans="7:45" x14ac:dyDescent="0.25">
      <c r="G404" s="9"/>
      <c r="H404" s="9"/>
      <c r="I404" s="9"/>
      <c r="J404" s="9"/>
      <c r="K404" s="9"/>
      <c r="L404" s="9"/>
      <c r="M404" s="16"/>
      <c r="N404" s="16"/>
      <c r="O404" s="16"/>
      <c r="P404" s="9"/>
      <c r="Q404" s="9"/>
      <c r="R404" s="9"/>
      <c r="S404" s="9"/>
      <c r="T404" s="9"/>
      <c r="U404" s="9"/>
      <c r="V404" s="9"/>
      <c r="W404" s="9"/>
      <c r="X404" s="16"/>
      <c r="Y404" s="16"/>
      <c r="Z404" s="16"/>
      <c r="AA404" s="16"/>
      <c r="AB404" s="9"/>
      <c r="AP404" s="9"/>
      <c r="AQ404" s="9"/>
      <c r="AR404" s="16"/>
      <c r="AS404" s="9"/>
    </row>
    <row r="405" spans="7:45" x14ac:dyDescent="0.25">
      <c r="G405" s="9"/>
      <c r="H405" s="9"/>
      <c r="I405" s="9"/>
      <c r="J405" s="9"/>
      <c r="K405" s="9"/>
      <c r="L405" s="9"/>
      <c r="M405" s="16"/>
      <c r="N405" s="16"/>
      <c r="O405" s="16"/>
      <c r="P405" s="9"/>
      <c r="Q405" s="9"/>
      <c r="R405" s="9"/>
      <c r="S405" s="9"/>
      <c r="T405" s="9"/>
      <c r="U405" s="9"/>
      <c r="V405" s="9"/>
      <c r="W405" s="9"/>
      <c r="X405" s="16"/>
      <c r="Y405" s="16"/>
      <c r="Z405" s="16"/>
      <c r="AA405" s="16"/>
      <c r="AB405" s="9"/>
      <c r="AP405" s="9"/>
      <c r="AQ405" s="9"/>
      <c r="AR405" s="16"/>
      <c r="AS405" s="9"/>
    </row>
    <row r="406" spans="7:45" x14ac:dyDescent="0.25">
      <c r="G406" s="9"/>
      <c r="H406" s="9"/>
      <c r="I406" s="9"/>
      <c r="J406" s="9"/>
      <c r="K406" s="9"/>
      <c r="L406" s="9"/>
      <c r="M406" s="16"/>
      <c r="N406" s="16"/>
      <c r="O406" s="16"/>
      <c r="P406" s="9"/>
      <c r="Q406" s="9"/>
      <c r="R406" s="9"/>
      <c r="S406" s="9"/>
      <c r="T406" s="9"/>
      <c r="U406" s="9"/>
      <c r="V406" s="9"/>
      <c r="W406" s="9"/>
      <c r="X406" s="16"/>
      <c r="Y406" s="16"/>
      <c r="Z406" s="16"/>
      <c r="AA406" s="16"/>
      <c r="AB406" s="9"/>
      <c r="AP406" s="9"/>
      <c r="AQ406" s="9"/>
      <c r="AR406" s="16"/>
      <c r="AS406" s="9"/>
    </row>
    <row r="407" spans="7:45" x14ac:dyDescent="0.25">
      <c r="G407" s="9"/>
      <c r="H407" s="9"/>
      <c r="I407" s="9"/>
      <c r="J407" s="9"/>
      <c r="K407" s="9"/>
      <c r="L407" s="9"/>
      <c r="M407" s="16"/>
      <c r="N407" s="16"/>
      <c r="O407" s="16"/>
      <c r="P407" s="9"/>
      <c r="Q407" s="9"/>
      <c r="R407" s="9"/>
      <c r="S407" s="9"/>
      <c r="T407" s="9"/>
      <c r="U407" s="9"/>
      <c r="V407" s="9"/>
      <c r="W407" s="9"/>
      <c r="X407" s="16"/>
      <c r="Y407" s="16"/>
      <c r="Z407" s="16"/>
      <c r="AA407" s="16"/>
      <c r="AB407" s="9"/>
      <c r="AP407" s="9"/>
      <c r="AQ407" s="9"/>
      <c r="AR407" s="16"/>
      <c r="AS407" s="9"/>
    </row>
    <row r="408" spans="7:45" x14ac:dyDescent="0.25">
      <c r="G408" s="9"/>
      <c r="H408" s="9"/>
      <c r="I408" s="9"/>
      <c r="J408" s="9"/>
      <c r="K408" s="9"/>
      <c r="L408" s="9"/>
      <c r="M408" s="16"/>
      <c r="N408" s="16"/>
      <c r="O408" s="16"/>
      <c r="P408" s="9"/>
      <c r="Q408" s="9"/>
      <c r="R408" s="9"/>
      <c r="S408" s="9"/>
      <c r="T408" s="9"/>
      <c r="U408" s="9"/>
      <c r="V408" s="9"/>
      <c r="W408" s="9"/>
      <c r="X408" s="16"/>
      <c r="Y408" s="16"/>
      <c r="Z408" s="16"/>
      <c r="AA408" s="16"/>
      <c r="AB408" s="9"/>
      <c r="AP408" s="9"/>
      <c r="AQ408" s="9"/>
      <c r="AR408" s="16"/>
      <c r="AS408" s="9"/>
    </row>
    <row r="409" spans="7:45" x14ac:dyDescent="0.25">
      <c r="G409" s="9"/>
      <c r="H409" s="9"/>
      <c r="I409" s="9"/>
      <c r="J409" s="9"/>
      <c r="K409" s="9"/>
      <c r="L409" s="9"/>
      <c r="M409" s="16"/>
      <c r="N409" s="16"/>
      <c r="O409" s="16"/>
      <c r="P409" s="9"/>
      <c r="Q409" s="9"/>
      <c r="R409" s="9"/>
      <c r="S409" s="9"/>
      <c r="T409" s="9"/>
      <c r="U409" s="9"/>
      <c r="V409" s="9"/>
      <c r="W409" s="9"/>
      <c r="X409" s="16"/>
      <c r="Y409" s="16"/>
      <c r="Z409" s="16"/>
      <c r="AA409" s="16"/>
      <c r="AB409" s="9"/>
      <c r="AP409" s="9"/>
      <c r="AQ409" s="9"/>
      <c r="AR409" s="16"/>
      <c r="AS409" s="9"/>
    </row>
    <row r="410" spans="7:45" x14ac:dyDescent="0.25">
      <c r="G410" s="9"/>
      <c r="H410" s="9"/>
      <c r="I410" s="9"/>
      <c r="J410" s="9"/>
      <c r="K410" s="9"/>
      <c r="L410" s="9"/>
      <c r="M410" s="16"/>
      <c r="N410" s="16"/>
      <c r="O410" s="16"/>
      <c r="P410" s="9"/>
      <c r="Q410" s="9"/>
      <c r="R410" s="9"/>
      <c r="S410" s="9"/>
      <c r="T410" s="9"/>
      <c r="U410" s="9"/>
      <c r="V410" s="9"/>
      <c r="W410" s="9"/>
      <c r="X410" s="16"/>
      <c r="Y410" s="16"/>
      <c r="Z410" s="16"/>
      <c r="AA410" s="16"/>
      <c r="AB410" s="9"/>
      <c r="AP410" s="9"/>
      <c r="AQ410" s="9"/>
      <c r="AR410" s="16"/>
      <c r="AS410" s="9"/>
    </row>
    <row r="411" spans="7:45" x14ac:dyDescent="0.25">
      <c r="G411" s="9"/>
      <c r="H411" s="9"/>
      <c r="I411" s="9"/>
      <c r="J411" s="9"/>
      <c r="K411" s="9"/>
      <c r="L411" s="9"/>
      <c r="M411" s="16"/>
      <c r="N411" s="16"/>
      <c r="O411" s="16"/>
      <c r="P411" s="9"/>
      <c r="Q411" s="9"/>
      <c r="R411" s="9"/>
      <c r="S411" s="9"/>
      <c r="T411" s="9"/>
      <c r="U411" s="9"/>
      <c r="V411" s="9"/>
      <c r="W411" s="9"/>
      <c r="X411" s="16"/>
      <c r="Y411" s="16"/>
      <c r="Z411" s="16"/>
      <c r="AA411" s="16"/>
      <c r="AB411" s="9"/>
      <c r="AP411" s="9"/>
      <c r="AQ411" s="9"/>
      <c r="AR411" s="16"/>
      <c r="AS411" s="9"/>
    </row>
    <row r="412" spans="7:45" x14ac:dyDescent="0.25">
      <c r="G412" s="9"/>
      <c r="H412" s="9"/>
      <c r="I412" s="9"/>
      <c r="J412" s="9"/>
      <c r="K412" s="9"/>
      <c r="L412" s="9"/>
      <c r="M412" s="16"/>
      <c r="N412" s="16"/>
      <c r="O412" s="16"/>
      <c r="P412" s="9"/>
      <c r="Q412" s="9"/>
      <c r="R412" s="9"/>
      <c r="S412" s="9"/>
      <c r="T412" s="9"/>
      <c r="U412" s="9"/>
      <c r="V412" s="9"/>
      <c r="W412" s="9"/>
      <c r="X412" s="16"/>
      <c r="Y412" s="16"/>
      <c r="Z412" s="16"/>
      <c r="AA412" s="16"/>
      <c r="AB412" s="9"/>
      <c r="AP412" s="9"/>
      <c r="AQ412" s="9"/>
      <c r="AR412" s="16"/>
      <c r="AS412" s="9"/>
    </row>
    <row r="413" spans="7:45" x14ac:dyDescent="0.25">
      <c r="G413" s="9"/>
      <c r="H413" s="9"/>
      <c r="I413" s="9"/>
      <c r="J413" s="9"/>
      <c r="K413" s="9"/>
      <c r="L413" s="9"/>
      <c r="M413" s="16"/>
      <c r="N413" s="16"/>
      <c r="O413" s="16"/>
      <c r="P413" s="9"/>
      <c r="Q413" s="9"/>
      <c r="R413" s="9"/>
      <c r="S413" s="9"/>
      <c r="T413" s="9"/>
      <c r="U413" s="9"/>
      <c r="V413" s="9"/>
      <c r="W413" s="9"/>
      <c r="X413" s="16"/>
      <c r="Y413" s="16"/>
      <c r="Z413" s="16"/>
      <c r="AA413" s="16"/>
      <c r="AB413" s="9"/>
      <c r="AP413" s="9"/>
      <c r="AQ413" s="9"/>
      <c r="AR413" s="16"/>
      <c r="AS413" s="9"/>
    </row>
    <row r="414" spans="7:45" x14ac:dyDescent="0.25">
      <c r="G414" s="9"/>
      <c r="H414" s="9"/>
      <c r="I414" s="9"/>
      <c r="J414" s="9"/>
      <c r="K414" s="9"/>
      <c r="L414" s="9"/>
      <c r="M414" s="16"/>
      <c r="N414" s="16"/>
      <c r="O414" s="16"/>
      <c r="P414" s="9"/>
      <c r="Q414" s="9"/>
      <c r="R414" s="9"/>
      <c r="S414" s="9"/>
      <c r="T414" s="9"/>
      <c r="U414" s="9"/>
      <c r="V414" s="9"/>
      <c r="W414" s="9"/>
      <c r="X414" s="16"/>
      <c r="Y414" s="16"/>
      <c r="Z414" s="16"/>
      <c r="AA414" s="16"/>
      <c r="AB414" s="9"/>
      <c r="AP414" s="9"/>
      <c r="AQ414" s="9"/>
      <c r="AR414" s="16"/>
      <c r="AS414" s="9"/>
    </row>
    <row r="415" spans="7:45" x14ac:dyDescent="0.25">
      <c r="G415" s="9"/>
      <c r="H415" s="9"/>
      <c r="I415" s="9"/>
      <c r="J415" s="9"/>
      <c r="K415" s="9"/>
      <c r="L415" s="9"/>
      <c r="M415" s="16"/>
      <c r="N415" s="16"/>
      <c r="O415" s="16"/>
      <c r="P415" s="9"/>
      <c r="Q415" s="9"/>
      <c r="R415" s="9"/>
      <c r="S415" s="9"/>
      <c r="T415" s="9"/>
      <c r="U415" s="9"/>
      <c r="V415" s="9"/>
      <c r="W415" s="9"/>
      <c r="X415" s="16"/>
      <c r="Y415" s="16"/>
      <c r="Z415" s="16"/>
      <c r="AA415" s="16"/>
      <c r="AB415" s="9"/>
      <c r="AP415" s="9"/>
      <c r="AQ415" s="9"/>
      <c r="AR415" s="16"/>
      <c r="AS415" s="9"/>
    </row>
    <row r="416" spans="7:45" x14ac:dyDescent="0.25">
      <c r="G416" s="9"/>
      <c r="H416" s="9"/>
      <c r="I416" s="9"/>
      <c r="J416" s="9"/>
      <c r="K416" s="9"/>
      <c r="L416" s="9"/>
      <c r="M416" s="16"/>
      <c r="N416" s="16"/>
      <c r="O416" s="16"/>
      <c r="P416" s="9"/>
      <c r="Q416" s="9"/>
      <c r="R416" s="9"/>
      <c r="S416" s="9"/>
      <c r="T416" s="9"/>
      <c r="U416" s="9"/>
      <c r="V416" s="9"/>
      <c r="W416" s="9"/>
      <c r="X416" s="16"/>
      <c r="Y416" s="16"/>
      <c r="Z416" s="16"/>
      <c r="AA416" s="16"/>
      <c r="AB416" s="9"/>
      <c r="AP416" s="9"/>
      <c r="AQ416" s="9"/>
      <c r="AR416" s="16"/>
      <c r="AS416" s="9"/>
    </row>
    <row r="417" spans="7:45" x14ac:dyDescent="0.25">
      <c r="G417" s="9"/>
      <c r="H417" s="9"/>
      <c r="I417" s="9"/>
      <c r="J417" s="9"/>
      <c r="K417" s="9"/>
      <c r="L417" s="9"/>
      <c r="M417" s="16"/>
      <c r="N417" s="16"/>
      <c r="O417" s="16"/>
      <c r="P417" s="9"/>
      <c r="Q417" s="9"/>
      <c r="R417" s="9"/>
      <c r="S417" s="9"/>
      <c r="T417" s="9"/>
      <c r="U417" s="9"/>
      <c r="V417" s="9"/>
      <c r="W417" s="9"/>
      <c r="X417" s="16"/>
      <c r="Y417" s="16"/>
      <c r="Z417" s="16"/>
      <c r="AA417" s="16"/>
      <c r="AB417" s="9"/>
      <c r="AP417" s="9"/>
      <c r="AQ417" s="9"/>
      <c r="AR417" s="16"/>
      <c r="AS417" s="9"/>
    </row>
    <row r="418" spans="7:45" x14ac:dyDescent="0.25">
      <c r="G418" s="9"/>
      <c r="H418" s="9"/>
      <c r="I418" s="9"/>
      <c r="J418" s="9"/>
      <c r="K418" s="9"/>
      <c r="L418" s="9"/>
      <c r="M418" s="16"/>
      <c r="N418" s="16"/>
      <c r="O418" s="16"/>
      <c r="P418" s="9"/>
      <c r="Q418" s="9"/>
      <c r="R418" s="9"/>
      <c r="S418" s="9"/>
      <c r="T418" s="9"/>
      <c r="U418" s="9"/>
      <c r="V418" s="9"/>
      <c r="W418" s="9"/>
      <c r="X418" s="16"/>
      <c r="Y418" s="16"/>
      <c r="Z418" s="16"/>
      <c r="AA418" s="16"/>
      <c r="AB418" s="9"/>
      <c r="AP418" s="9"/>
      <c r="AQ418" s="9"/>
      <c r="AR418" s="16"/>
      <c r="AS418" s="9"/>
    </row>
    <row r="419" spans="7:45" x14ac:dyDescent="0.25">
      <c r="G419" s="9"/>
      <c r="H419" s="9"/>
      <c r="I419" s="9"/>
      <c r="J419" s="9"/>
      <c r="K419" s="9"/>
      <c r="L419" s="9"/>
      <c r="M419" s="16"/>
      <c r="N419" s="16"/>
      <c r="O419" s="16"/>
      <c r="P419" s="9"/>
      <c r="Q419" s="9"/>
      <c r="R419" s="9"/>
      <c r="S419" s="9"/>
      <c r="T419" s="9"/>
      <c r="U419" s="9"/>
      <c r="V419" s="9"/>
      <c r="W419" s="9"/>
      <c r="X419" s="16"/>
      <c r="Y419" s="16"/>
      <c r="Z419" s="16"/>
      <c r="AA419" s="16"/>
      <c r="AB419" s="9"/>
      <c r="AP419" s="9"/>
      <c r="AQ419" s="9"/>
      <c r="AR419" s="16"/>
      <c r="AS419" s="9"/>
    </row>
    <row r="420" spans="7:45" x14ac:dyDescent="0.25">
      <c r="G420" s="9"/>
      <c r="H420" s="9"/>
      <c r="I420" s="9"/>
      <c r="J420" s="9"/>
      <c r="K420" s="9"/>
      <c r="L420" s="9"/>
      <c r="M420" s="16"/>
      <c r="N420" s="16"/>
      <c r="O420" s="16"/>
      <c r="P420" s="9"/>
      <c r="Q420" s="9"/>
      <c r="R420" s="9"/>
      <c r="S420" s="9"/>
      <c r="T420" s="9"/>
      <c r="U420" s="9"/>
      <c r="V420" s="9"/>
      <c r="W420" s="9"/>
      <c r="X420" s="16"/>
      <c r="Y420" s="16"/>
      <c r="Z420" s="16"/>
      <c r="AA420" s="16"/>
      <c r="AB420" s="9"/>
      <c r="AP420" s="9"/>
      <c r="AQ420" s="9"/>
      <c r="AR420" s="16"/>
      <c r="AS420" s="9"/>
    </row>
    <row r="421" spans="7:45" x14ac:dyDescent="0.25">
      <c r="G421" s="9"/>
      <c r="H421" s="9"/>
      <c r="I421" s="9"/>
      <c r="J421" s="9"/>
      <c r="K421" s="9"/>
      <c r="L421" s="9"/>
      <c r="M421" s="16"/>
      <c r="N421" s="16"/>
      <c r="O421" s="16"/>
      <c r="P421" s="9"/>
      <c r="Q421" s="9"/>
      <c r="R421" s="9"/>
      <c r="S421" s="9"/>
      <c r="T421" s="9"/>
      <c r="U421" s="9"/>
      <c r="V421" s="9"/>
      <c r="W421" s="9"/>
      <c r="X421" s="16"/>
      <c r="Y421" s="16"/>
      <c r="Z421" s="16"/>
      <c r="AA421" s="16"/>
      <c r="AB421" s="9"/>
      <c r="AP421" s="9"/>
      <c r="AQ421" s="9"/>
      <c r="AR421" s="16"/>
      <c r="AS421" s="9"/>
    </row>
    <row r="422" spans="7:45" x14ac:dyDescent="0.25">
      <c r="G422" s="9"/>
      <c r="H422" s="9"/>
      <c r="I422" s="9"/>
      <c r="J422" s="9"/>
      <c r="K422" s="9"/>
      <c r="L422" s="9"/>
      <c r="M422" s="16"/>
      <c r="N422" s="16"/>
      <c r="O422" s="16"/>
      <c r="P422" s="9"/>
      <c r="Q422" s="9"/>
      <c r="R422" s="9"/>
      <c r="S422" s="9"/>
      <c r="T422" s="9"/>
      <c r="U422" s="9"/>
      <c r="V422" s="9"/>
      <c r="W422" s="9"/>
      <c r="X422" s="16"/>
      <c r="Y422" s="16"/>
      <c r="Z422" s="16"/>
      <c r="AA422" s="16"/>
      <c r="AB422" s="9"/>
      <c r="AP422" s="9"/>
      <c r="AQ422" s="9"/>
      <c r="AR422" s="16"/>
      <c r="AS422" s="9"/>
    </row>
    <row r="423" spans="7:45" x14ac:dyDescent="0.25">
      <c r="G423" s="9"/>
      <c r="H423" s="9"/>
      <c r="I423" s="9"/>
      <c r="J423" s="9"/>
      <c r="K423" s="9"/>
      <c r="L423" s="9"/>
      <c r="M423" s="16"/>
      <c r="N423" s="16"/>
      <c r="O423" s="16"/>
      <c r="P423" s="9"/>
      <c r="Q423" s="9"/>
      <c r="R423" s="9"/>
      <c r="S423" s="9"/>
      <c r="T423" s="9"/>
      <c r="U423" s="9"/>
      <c r="V423" s="9"/>
      <c r="W423" s="9"/>
      <c r="X423" s="16"/>
      <c r="Y423" s="16"/>
      <c r="Z423" s="16"/>
      <c r="AA423" s="16"/>
      <c r="AB423" s="9"/>
      <c r="AP423" s="9"/>
      <c r="AQ423" s="9"/>
      <c r="AR423" s="16"/>
      <c r="AS423" s="9"/>
    </row>
    <row r="424" spans="7:45" x14ac:dyDescent="0.25">
      <c r="G424" s="9"/>
      <c r="H424" s="9"/>
      <c r="I424" s="9"/>
      <c r="J424" s="9"/>
      <c r="K424" s="9"/>
      <c r="L424" s="9"/>
      <c r="M424" s="16"/>
      <c r="N424" s="16"/>
      <c r="O424" s="16"/>
      <c r="P424" s="9"/>
      <c r="Q424" s="9"/>
      <c r="R424" s="9"/>
      <c r="S424" s="9"/>
      <c r="T424" s="9"/>
      <c r="U424" s="9"/>
      <c r="V424" s="9"/>
      <c r="W424" s="9"/>
      <c r="X424" s="16"/>
      <c r="Y424" s="16"/>
      <c r="Z424" s="16"/>
      <c r="AA424" s="16"/>
      <c r="AB424" s="9"/>
      <c r="AP424" s="9"/>
      <c r="AQ424" s="9"/>
      <c r="AR424" s="16"/>
      <c r="AS424" s="9"/>
    </row>
    <row r="425" spans="7:45" x14ac:dyDescent="0.25">
      <c r="G425" s="9"/>
      <c r="H425" s="9"/>
      <c r="I425" s="9"/>
      <c r="J425" s="9"/>
      <c r="K425" s="9"/>
      <c r="L425" s="9"/>
      <c r="M425" s="16"/>
      <c r="N425" s="16"/>
      <c r="O425" s="16"/>
      <c r="P425" s="9"/>
      <c r="Q425" s="9"/>
      <c r="R425" s="9"/>
      <c r="S425" s="9"/>
      <c r="T425" s="9"/>
      <c r="U425" s="9"/>
      <c r="V425" s="9"/>
      <c r="W425" s="9"/>
      <c r="X425" s="16"/>
      <c r="Y425" s="16"/>
      <c r="Z425" s="16"/>
      <c r="AA425" s="16"/>
      <c r="AB425" s="9"/>
      <c r="AP425" s="9"/>
      <c r="AQ425" s="9"/>
      <c r="AR425" s="16"/>
      <c r="AS425" s="9"/>
    </row>
    <row r="426" spans="7:45" x14ac:dyDescent="0.25">
      <c r="G426" s="9"/>
      <c r="H426" s="9"/>
      <c r="I426" s="9"/>
      <c r="J426" s="9"/>
      <c r="K426" s="9"/>
      <c r="L426" s="9"/>
      <c r="M426" s="16"/>
      <c r="N426" s="16"/>
      <c r="O426" s="16"/>
      <c r="P426" s="9"/>
      <c r="Q426" s="9"/>
      <c r="R426" s="9"/>
      <c r="S426" s="9"/>
      <c r="T426" s="9"/>
      <c r="U426" s="9"/>
      <c r="V426" s="9"/>
      <c r="W426" s="9"/>
      <c r="X426" s="16"/>
      <c r="Y426" s="16"/>
      <c r="Z426" s="16"/>
      <c r="AA426" s="16"/>
      <c r="AB426" s="9"/>
      <c r="AP426" s="9"/>
      <c r="AQ426" s="9"/>
      <c r="AR426" s="16"/>
      <c r="AS426" s="9"/>
    </row>
    <row r="427" spans="7:45" x14ac:dyDescent="0.25">
      <c r="G427" s="9"/>
      <c r="H427" s="9"/>
      <c r="I427" s="9"/>
      <c r="J427" s="9"/>
      <c r="K427" s="9"/>
      <c r="L427" s="9"/>
      <c r="M427" s="16"/>
      <c r="N427" s="16"/>
      <c r="O427" s="16"/>
      <c r="P427" s="9"/>
      <c r="Q427" s="9"/>
      <c r="R427" s="9"/>
      <c r="S427" s="9"/>
      <c r="T427" s="9"/>
      <c r="U427" s="9"/>
      <c r="V427" s="9"/>
      <c r="W427" s="9"/>
      <c r="X427" s="16"/>
      <c r="Y427" s="16"/>
      <c r="Z427" s="16"/>
      <c r="AA427" s="16"/>
      <c r="AB427" s="9"/>
      <c r="AP427" s="9"/>
      <c r="AQ427" s="9"/>
      <c r="AR427" s="16"/>
      <c r="AS427" s="9"/>
    </row>
    <row r="428" spans="7:45" x14ac:dyDescent="0.25">
      <c r="G428" s="9"/>
      <c r="H428" s="9"/>
      <c r="I428" s="9"/>
      <c r="J428" s="9"/>
      <c r="K428" s="9"/>
      <c r="L428" s="9"/>
      <c r="M428" s="16"/>
      <c r="N428" s="16"/>
      <c r="O428" s="16"/>
      <c r="P428" s="9"/>
      <c r="Q428" s="9"/>
      <c r="R428" s="9"/>
      <c r="S428" s="9"/>
      <c r="T428" s="9"/>
      <c r="U428" s="9"/>
      <c r="V428" s="9"/>
      <c r="W428" s="9"/>
      <c r="X428" s="16"/>
      <c r="Y428" s="16"/>
      <c r="Z428" s="16"/>
      <c r="AA428" s="16"/>
      <c r="AB428" s="9"/>
      <c r="AP428" s="9"/>
      <c r="AQ428" s="9"/>
      <c r="AR428" s="16"/>
      <c r="AS428" s="9"/>
    </row>
    <row r="429" spans="7:45" x14ac:dyDescent="0.25">
      <c r="G429" s="9"/>
      <c r="H429" s="9"/>
      <c r="I429" s="9"/>
      <c r="J429" s="9"/>
      <c r="K429" s="9"/>
      <c r="L429" s="9"/>
      <c r="M429" s="16"/>
      <c r="N429" s="16"/>
      <c r="O429" s="16"/>
      <c r="P429" s="9"/>
      <c r="Q429" s="9"/>
      <c r="R429" s="9"/>
      <c r="S429" s="9"/>
      <c r="T429" s="9"/>
      <c r="U429" s="9"/>
      <c r="V429" s="9"/>
      <c r="W429" s="9"/>
      <c r="X429" s="16"/>
      <c r="Y429" s="16"/>
      <c r="Z429" s="16"/>
      <c r="AA429" s="16"/>
      <c r="AB429" s="9"/>
      <c r="AP429" s="9"/>
      <c r="AQ429" s="9"/>
      <c r="AR429" s="16"/>
      <c r="AS429" s="9"/>
    </row>
    <row r="430" spans="7:45" x14ac:dyDescent="0.25">
      <c r="G430" s="9"/>
      <c r="H430" s="9"/>
      <c r="I430" s="9"/>
      <c r="J430" s="9"/>
      <c r="K430" s="9"/>
      <c r="L430" s="9"/>
      <c r="M430" s="16"/>
      <c r="N430" s="16"/>
      <c r="O430" s="16"/>
      <c r="P430" s="9"/>
      <c r="Q430" s="9"/>
      <c r="R430" s="9"/>
      <c r="S430" s="9"/>
      <c r="T430" s="9"/>
      <c r="U430" s="9"/>
      <c r="V430" s="9"/>
      <c r="W430" s="9"/>
      <c r="X430" s="16"/>
      <c r="Y430" s="16"/>
      <c r="Z430" s="16"/>
      <c r="AA430" s="16"/>
      <c r="AB430" s="9"/>
      <c r="AP430" s="9"/>
      <c r="AQ430" s="9"/>
      <c r="AR430" s="16"/>
      <c r="AS430" s="9"/>
    </row>
    <row r="431" spans="7:45" x14ac:dyDescent="0.25">
      <c r="G431" s="9"/>
      <c r="H431" s="9"/>
      <c r="I431" s="9"/>
      <c r="J431" s="9"/>
      <c r="K431" s="9"/>
      <c r="L431" s="9"/>
      <c r="M431" s="16"/>
      <c r="N431" s="16"/>
      <c r="O431" s="16"/>
      <c r="P431" s="9"/>
      <c r="Q431" s="9"/>
      <c r="R431" s="9"/>
      <c r="S431" s="9"/>
      <c r="T431" s="9"/>
      <c r="U431" s="9"/>
      <c r="V431" s="9"/>
      <c r="W431" s="9"/>
      <c r="X431" s="16"/>
      <c r="Y431" s="16"/>
      <c r="Z431" s="16"/>
      <c r="AA431" s="16"/>
      <c r="AB431" s="9"/>
      <c r="AP431" s="9"/>
      <c r="AQ431" s="9"/>
      <c r="AR431" s="16"/>
      <c r="AS431" s="9"/>
    </row>
    <row r="432" spans="7:45" x14ac:dyDescent="0.25">
      <c r="G432" s="9"/>
      <c r="H432" s="9"/>
      <c r="I432" s="9"/>
      <c r="J432" s="9"/>
      <c r="K432" s="9"/>
      <c r="L432" s="9"/>
      <c r="M432" s="16"/>
      <c r="N432" s="16"/>
      <c r="O432" s="16"/>
      <c r="P432" s="9"/>
      <c r="Q432" s="9"/>
      <c r="R432" s="9"/>
      <c r="S432" s="9"/>
      <c r="T432" s="9"/>
      <c r="U432" s="9"/>
      <c r="V432" s="9"/>
      <c r="W432" s="9"/>
      <c r="X432" s="16"/>
      <c r="Y432" s="16"/>
      <c r="Z432" s="16"/>
      <c r="AA432" s="16"/>
      <c r="AB432" s="9"/>
      <c r="AP432" s="9"/>
      <c r="AQ432" s="9"/>
      <c r="AR432" s="16"/>
      <c r="AS432" s="9"/>
    </row>
    <row r="433" spans="7:45" x14ac:dyDescent="0.25">
      <c r="G433" s="9"/>
      <c r="H433" s="9"/>
      <c r="I433" s="9"/>
      <c r="J433" s="9"/>
      <c r="K433" s="9"/>
      <c r="L433" s="9"/>
      <c r="M433" s="16"/>
      <c r="N433" s="16"/>
      <c r="O433" s="16"/>
      <c r="P433" s="9"/>
      <c r="Q433" s="9"/>
      <c r="R433" s="9"/>
      <c r="S433" s="9"/>
      <c r="T433" s="9"/>
      <c r="U433" s="9"/>
      <c r="V433" s="9"/>
      <c r="W433" s="9"/>
      <c r="X433" s="16"/>
      <c r="Y433" s="16"/>
      <c r="Z433" s="16"/>
      <c r="AA433" s="16"/>
      <c r="AB433" s="9"/>
      <c r="AP433" s="9"/>
      <c r="AQ433" s="9"/>
      <c r="AR433" s="16"/>
      <c r="AS433" s="9"/>
    </row>
    <row r="434" spans="7:45" x14ac:dyDescent="0.25">
      <c r="G434" s="9"/>
      <c r="H434" s="9"/>
      <c r="I434" s="9"/>
      <c r="J434" s="9"/>
      <c r="K434" s="9"/>
      <c r="L434" s="9"/>
      <c r="M434" s="16"/>
      <c r="N434" s="16"/>
      <c r="O434" s="16"/>
      <c r="P434" s="9"/>
      <c r="Q434" s="9"/>
      <c r="R434" s="9"/>
      <c r="S434" s="9"/>
      <c r="T434" s="9"/>
      <c r="U434" s="9"/>
      <c r="V434" s="9"/>
      <c r="W434" s="9"/>
      <c r="X434" s="16"/>
      <c r="Y434" s="16"/>
      <c r="Z434" s="16"/>
      <c r="AA434" s="16"/>
      <c r="AB434" s="9"/>
      <c r="AP434" s="9"/>
      <c r="AQ434" s="9"/>
      <c r="AR434" s="16"/>
      <c r="AS434" s="9"/>
    </row>
    <row r="435" spans="7:45" x14ac:dyDescent="0.25">
      <c r="G435" s="9"/>
      <c r="H435" s="9"/>
      <c r="I435" s="9"/>
      <c r="J435" s="9"/>
      <c r="K435" s="9"/>
      <c r="L435" s="9"/>
      <c r="M435" s="16"/>
      <c r="N435" s="16"/>
      <c r="O435" s="16"/>
      <c r="P435" s="9"/>
      <c r="Q435" s="9"/>
      <c r="R435" s="9"/>
      <c r="S435" s="9"/>
      <c r="T435" s="9"/>
      <c r="U435" s="9"/>
      <c r="V435" s="9"/>
      <c r="W435" s="9"/>
      <c r="X435" s="16"/>
      <c r="Y435" s="16"/>
      <c r="Z435" s="16"/>
      <c r="AA435" s="16"/>
      <c r="AB435" s="9"/>
      <c r="AP435" s="9"/>
      <c r="AQ435" s="9"/>
      <c r="AR435" s="16"/>
      <c r="AS435" s="9"/>
    </row>
    <row r="436" spans="7:45" x14ac:dyDescent="0.25">
      <c r="G436" s="9"/>
      <c r="H436" s="9"/>
      <c r="I436" s="9"/>
      <c r="J436" s="9"/>
      <c r="K436" s="9"/>
      <c r="L436" s="9"/>
      <c r="M436" s="16"/>
      <c r="N436" s="16"/>
      <c r="O436" s="16"/>
      <c r="P436" s="9"/>
      <c r="Q436" s="9"/>
      <c r="R436" s="9"/>
      <c r="S436" s="9"/>
      <c r="T436" s="9"/>
      <c r="U436" s="9"/>
      <c r="V436" s="9"/>
      <c r="W436" s="9"/>
      <c r="X436" s="16"/>
      <c r="Y436" s="16"/>
      <c r="Z436" s="16"/>
      <c r="AA436" s="16"/>
      <c r="AB436" s="9"/>
      <c r="AP436" s="9"/>
      <c r="AQ436" s="9"/>
      <c r="AR436" s="16"/>
      <c r="AS436" s="9"/>
    </row>
    <row r="437" spans="7:45" x14ac:dyDescent="0.25">
      <c r="G437" s="9"/>
      <c r="H437" s="9"/>
      <c r="I437" s="9"/>
      <c r="J437" s="9"/>
      <c r="K437" s="9"/>
      <c r="L437" s="9"/>
      <c r="M437" s="16"/>
      <c r="N437" s="16"/>
      <c r="O437" s="16"/>
      <c r="P437" s="9"/>
      <c r="Q437" s="9"/>
      <c r="R437" s="9"/>
      <c r="S437" s="9"/>
      <c r="T437" s="9"/>
      <c r="U437" s="9"/>
      <c r="V437" s="9"/>
      <c r="W437" s="9"/>
      <c r="X437" s="16"/>
      <c r="Y437" s="16"/>
      <c r="Z437" s="16"/>
      <c r="AA437" s="16"/>
      <c r="AB437" s="9"/>
      <c r="AP437" s="9"/>
      <c r="AQ437" s="9"/>
      <c r="AR437" s="16"/>
      <c r="AS437" s="9"/>
    </row>
    <row r="438" spans="7:45" x14ac:dyDescent="0.25">
      <c r="G438" s="9"/>
      <c r="H438" s="9"/>
      <c r="I438" s="9"/>
      <c r="J438" s="9"/>
      <c r="K438" s="9"/>
      <c r="L438" s="9"/>
      <c r="M438" s="16"/>
      <c r="N438" s="16"/>
      <c r="O438" s="16"/>
      <c r="P438" s="9"/>
      <c r="Q438" s="9"/>
      <c r="R438" s="9"/>
      <c r="S438" s="9"/>
      <c r="T438" s="9"/>
      <c r="U438" s="9"/>
      <c r="V438" s="9"/>
      <c r="W438" s="9"/>
      <c r="X438" s="16"/>
      <c r="Y438" s="16"/>
      <c r="Z438" s="16"/>
      <c r="AA438" s="16"/>
      <c r="AB438" s="9"/>
      <c r="AP438" s="9"/>
      <c r="AQ438" s="9"/>
      <c r="AR438" s="16"/>
      <c r="AS438" s="9"/>
    </row>
    <row r="439" spans="7:45" x14ac:dyDescent="0.25">
      <c r="G439" s="9"/>
      <c r="H439" s="9"/>
      <c r="I439" s="9"/>
      <c r="J439" s="9"/>
      <c r="K439" s="9"/>
      <c r="L439" s="9"/>
      <c r="M439" s="16"/>
      <c r="N439" s="16"/>
      <c r="O439" s="16"/>
      <c r="P439" s="9"/>
      <c r="Q439" s="9"/>
      <c r="R439" s="9"/>
      <c r="S439" s="9"/>
      <c r="T439" s="9"/>
      <c r="U439" s="9"/>
      <c r="V439" s="9"/>
      <c r="W439" s="9"/>
      <c r="X439" s="16"/>
      <c r="Y439" s="16"/>
      <c r="Z439" s="16"/>
      <c r="AA439" s="16"/>
      <c r="AB439" s="9"/>
      <c r="AP439" s="9"/>
      <c r="AQ439" s="9"/>
      <c r="AR439" s="16"/>
      <c r="AS439" s="9"/>
    </row>
    <row r="440" spans="7:45" x14ac:dyDescent="0.25">
      <c r="G440" s="9"/>
      <c r="H440" s="9"/>
      <c r="I440" s="9"/>
      <c r="J440" s="9"/>
      <c r="K440" s="9"/>
      <c r="L440" s="9"/>
      <c r="M440" s="16"/>
      <c r="N440" s="16"/>
      <c r="O440" s="16"/>
      <c r="P440" s="9"/>
      <c r="Q440" s="9"/>
      <c r="R440" s="9"/>
      <c r="S440" s="9"/>
      <c r="T440" s="9"/>
      <c r="U440" s="9"/>
      <c r="V440" s="9"/>
      <c r="W440" s="9"/>
      <c r="X440" s="16"/>
      <c r="Y440" s="16"/>
      <c r="Z440" s="16"/>
      <c r="AA440" s="16"/>
      <c r="AB440" s="9"/>
      <c r="AP440" s="9"/>
      <c r="AQ440" s="9"/>
      <c r="AR440" s="16"/>
      <c r="AS440" s="9"/>
    </row>
    <row r="441" spans="7:45" x14ac:dyDescent="0.25">
      <c r="G441" s="9"/>
      <c r="H441" s="9"/>
      <c r="I441" s="9"/>
      <c r="J441" s="9"/>
      <c r="K441" s="9"/>
      <c r="L441" s="9"/>
      <c r="M441" s="16"/>
      <c r="N441" s="16"/>
      <c r="O441" s="16"/>
      <c r="P441" s="9"/>
      <c r="Q441" s="9"/>
      <c r="R441" s="9"/>
      <c r="S441" s="9"/>
      <c r="T441" s="9"/>
      <c r="U441" s="9"/>
      <c r="V441" s="9"/>
      <c r="W441" s="9"/>
      <c r="X441" s="16"/>
      <c r="Y441" s="16"/>
      <c r="Z441" s="16"/>
      <c r="AA441" s="16"/>
      <c r="AB441" s="9"/>
      <c r="AP441" s="9"/>
      <c r="AQ441" s="9"/>
      <c r="AR441" s="16"/>
      <c r="AS441" s="9"/>
    </row>
    <row r="442" spans="7:45" x14ac:dyDescent="0.25">
      <c r="G442" s="9"/>
      <c r="H442" s="9"/>
      <c r="I442" s="9"/>
      <c r="J442" s="9"/>
      <c r="K442" s="9"/>
      <c r="L442" s="9"/>
      <c r="M442" s="16"/>
      <c r="N442" s="16"/>
      <c r="O442" s="16"/>
      <c r="P442" s="9"/>
      <c r="Q442" s="9"/>
      <c r="R442" s="9"/>
      <c r="S442" s="9"/>
      <c r="T442" s="9"/>
      <c r="U442" s="9"/>
      <c r="V442" s="9"/>
      <c r="W442" s="9"/>
      <c r="X442" s="16"/>
      <c r="Y442" s="16"/>
      <c r="Z442" s="16"/>
      <c r="AA442" s="16"/>
      <c r="AB442" s="9"/>
      <c r="AP442" s="9"/>
      <c r="AQ442" s="9"/>
      <c r="AR442" s="16"/>
      <c r="AS442" s="9"/>
    </row>
    <row r="443" spans="7:45" x14ac:dyDescent="0.25">
      <c r="G443" s="9"/>
      <c r="H443" s="9"/>
      <c r="I443" s="9"/>
      <c r="J443" s="9"/>
      <c r="K443" s="9"/>
      <c r="L443" s="9"/>
      <c r="M443" s="16"/>
      <c r="N443" s="16"/>
      <c r="O443" s="16"/>
      <c r="P443" s="9"/>
      <c r="Q443" s="9"/>
      <c r="R443" s="9"/>
      <c r="S443" s="9"/>
      <c r="T443" s="9"/>
      <c r="U443" s="9"/>
      <c r="V443" s="9"/>
      <c r="W443" s="9"/>
      <c r="X443" s="16"/>
      <c r="Y443" s="16"/>
      <c r="Z443" s="16"/>
      <c r="AA443" s="16"/>
      <c r="AB443" s="9"/>
      <c r="AP443" s="9"/>
      <c r="AQ443" s="9"/>
      <c r="AR443" s="16"/>
      <c r="AS443" s="9"/>
    </row>
    <row r="444" spans="7:45" x14ac:dyDescent="0.25">
      <c r="G444" s="9"/>
      <c r="H444" s="9"/>
      <c r="I444" s="9"/>
      <c r="J444" s="9"/>
      <c r="K444" s="9"/>
      <c r="L444" s="9"/>
      <c r="M444" s="16"/>
      <c r="N444" s="16"/>
      <c r="O444" s="16"/>
      <c r="P444" s="9"/>
      <c r="Q444" s="9"/>
      <c r="R444" s="9"/>
      <c r="S444" s="9"/>
      <c r="T444" s="9"/>
      <c r="U444" s="9"/>
      <c r="V444" s="9"/>
      <c r="W444" s="9"/>
      <c r="X444" s="16"/>
      <c r="Y444" s="16"/>
      <c r="Z444" s="16"/>
      <c r="AA444" s="16"/>
      <c r="AB444" s="9"/>
      <c r="AP444" s="9"/>
      <c r="AQ444" s="9"/>
      <c r="AR444" s="16"/>
      <c r="AS444" s="9"/>
    </row>
    <row r="445" spans="7:45" x14ac:dyDescent="0.25">
      <c r="G445" s="9"/>
      <c r="H445" s="9"/>
      <c r="I445" s="9"/>
      <c r="J445" s="9"/>
      <c r="K445" s="9"/>
      <c r="L445" s="9"/>
      <c r="M445" s="16"/>
      <c r="N445" s="16"/>
      <c r="O445" s="16"/>
      <c r="P445" s="9"/>
      <c r="Q445" s="9"/>
      <c r="R445" s="9"/>
      <c r="S445" s="9"/>
      <c r="T445" s="9"/>
      <c r="U445" s="9"/>
      <c r="V445" s="9"/>
      <c r="W445" s="9"/>
      <c r="X445" s="16"/>
      <c r="Y445" s="16"/>
      <c r="Z445" s="16"/>
      <c r="AA445" s="16"/>
      <c r="AB445" s="9"/>
      <c r="AP445" s="9"/>
      <c r="AQ445" s="9"/>
      <c r="AR445" s="16"/>
      <c r="AS445" s="9"/>
    </row>
    <row r="446" spans="7:45" x14ac:dyDescent="0.25">
      <c r="G446" s="9"/>
      <c r="H446" s="9"/>
      <c r="I446" s="9"/>
      <c r="J446" s="9"/>
      <c r="K446" s="9"/>
      <c r="L446" s="9"/>
      <c r="M446" s="16"/>
      <c r="N446" s="16"/>
      <c r="O446" s="16"/>
      <c r="P446" s="9"/>
      <c r="Q446" s="9"/>
      <c r="R446" s="9"/>
      <c r="S446" s="9"/>
      <c r="T446" s="9"/>
      <c r="U446" s="9"/>
      <c r="V446" s="9"/>
      <c r="W446" s="9"/>
      <c r="X446" s="16"/>
      <c r="Y446" s="16"/>
      <c r="Z446" s="16"/>
      <c r="AA446" s="16"/>
      <c r="AB446" s="9"/>
      <c r="AP446" s="9"/>
      <c r="AQ446" s="9"/>
      <c r="AR446" s="16"/>
      <c r="AS446" s="9"/>
    </row>
    <row r="447" spans="7:45" x14ac:dyDescent="0.25">
      <c r="G447" s="9"/>
      <c r="H447" s="9"/>
      <c r="I447" s="9"/>
      <c r="J447" s="9"/>
      <c r="K447" s="9"/>
      <c r="L447" s="9"/>
      <c r="M447" s="16"/>
      <c r="N447" s="16"/>
      <c r="O447" s="16"/>
      <c r="P447" s="9"/>
      <c r="Q447" s="9"/>
      <c r="R447" s="9"/>
      <c r="S447" s="9"/>
      <c r="T447" s="9"/>
      <c r="U447" s="9"/>
      <c r="V447" s="9"/>
      <c r="W447" s="9"/>
      <c r="X447" s="16"/>
      <c r="Y447" s="16"/>
      <c r="Z447" s="16"/>
      <c r="AA447" s="16"/>
      <c r="AB447" s="9"/>
      <c r="AP447" s="9"/>
      <c r="AQ447" s="9"/>
      <c r="AR447" s="16"/>
      <c r="AS447" s="9"/>
    </row>
    <row r="448" spans="7:45" x14ac:dyDescent="0.25">
      <c r="G448" s="9"/>
      <c r="H448" s="9"/>
      <c r="I448" s="9"/>
      <c r="J448" s="9"/>
      <c r="K448" s="9"/>
      <c r="L448" s="9"/>
      <c r="M448" s="16"/>
      <c r="N448" s="16"/>
      <c r="O448" s="16"/>
      <c r="P448" s="9"/>
      <c r="Q448" s="9"/>
      <c r="R448" s="9"/>
      <c r="S448" s="9"/>
      <c r="T448" s="9"/>
      <c r="U448" s="9"/>
      <c r="V448" s="9"/>
      <c r="W448" s="9"/>
      <c r="X448" s="16"/>
      <c r="Y448" s="16"/>
      <c r="Z448" s="16"/>
      <c r="AA448" s="16"/>
      <c r="AB448" s="9"/>
      <c r="AP448" s="9"/>
      <c r="AQ448" s="9"/>
      <c r="AR448" s="16"/>
      <c r="AS448" s="9"/>
    </row>
    <row r="449" spans="7:45" x14ac:dyDescent="0.25">
      <c r="G449" s="9"/>
      <c r="H449" s="9"/>
      <c r="I449" s="9"/>
      <c r="J449" s="9"/>
      <c r="K449" s="9"/>
      <c r="L449" s="9"/>
      <c r="M449" s="16"/>
      <c r="N449" s="16"/>
      <c r="O449" s="16"/>
      <c r="P449" s="9"/>
      <c r="Q449" s="9"/>
      <c r="R449" s="9"/>
      <c r="S449" s="9"/>
      <c r="T449" s="9"/>
      <c r="U449" s="9"/>
      <c r="V449" s="9"/>
      <c r="W449" s="9"/>
      <c r="X449" s="16"/>
      <c r="Y449" s="16"/>
      <c r="Z449" s="16"/>
      <c r="AA449" s="16"/>
      <c r="AB449" s="9"/>
      <c r="AP449" s="9"/>
      <c r="AQ449" s="9"/>
      <c r="AR449" s="16"/>
      <c r="AS449" s="9"/>
    </row>
    <row r="450" spans="7:45" x14ac:dyDescent="0.25">
      <c r="G450" s="9"/>
      <c r="H450" s="9"/>
      <c r="I450" s="9"/>
      <c r="J450" s="9"/>
      <c r="K450" s="9"/>
      <c r="L450" s="9"/>
      <c r="M450" s="16"/>
      <c r="N450" s="16"/>
      <c r="O450" s="16"/>
      <c r="P450" s="9"/>
      <c r="Q450" s="9"/>
      <c r="R450" s="9"/>
      <c r="S450" s="9"/>
      <c r="T450" s="9"/>
      <c r="U450" s="9"/>
      <c r="V450" s="9"/>
      <c r="W450" s="9"/>
      <c r="X450" s="16"/>
      <c r="Y450" s="16"/>
      <c r="Z450" s="16"/>
      <c r="AA450" s="16"/>
      <c r="AB450" s="9"/>
      <c r="AP450" s="9"/>
      <c r="AQ450" s="9"/>
      <c r="AR450" s="16"/>
      <c r="AS450" s="9"/>
    </row>
    <row r="451" spans="7:45" x14ac:dyDescent="0.25">
      <c r="G451" s="9"/>
      <c r="H451" s="9"/>
      <c r="I451" s="9"/>
      <c r="J451" s="9"/>
      <c r="K451" s="9"/>
      <c r="L451" s="9"/>
      <c r="M451" s="16"/>
      <c r="N451" s="16"/>
      <c r="O451" s="16"/>
      <c r="P451" s="9"/>
      <c r="Q451" s="9"/>
      <c r="R451" s="9"/>
      <c r="S451" s="9"/>
      <c r="T451" s="9"/>
      <c r="U451" s="9"/>
      <c r="V451" s="9"/>
      <c r="W451" s="9"/>
      <c r="X451" s="16"/>
      <c r="Y451" s="16"/>
      <c r="Z451" s="16"/>
      <c r="AA451" s="16"/>
      <c r="AB451" s="9"/>
      <c r="AP451" s="9"/>
      <c r="AQ451" s="9"/>
      <c r="AR451" s="16"/>
      <c r="AS451" s="9"/>
    </row>
    <row r="452" spans="7:45" x14ac:dyDescent="0.25">
      <c r="G452" s="9"/>
      <c r="H452" s="9"/>
      <c r="I452" s="9"/>
      <c r="J452" s="9"/>
      <c r="K452" s="9"/>
      <c r="L452" s="9"/>
      <c r="M452" s="16"/>
      <c r="N452" s="16"/>
      <c r="O452" s="16"/>
      <c r="P452" s="9"/>
      <c r="Q452" s="9"/>
      <c r="R452" s="9"/>
      <c r="S452" s="9"/>
      <c r="T452" s="9"/>
      <c r="U452" s="9"/>
      <c r="V452" s="9"/>
      <c r="W452" s="9"/>
      <c r="X452" s="16"/>
      <c r="Y452" s="16"/>
      <c r="Z452" s="16"/>
      <c r="AA452" s="16"/>
      <c r="AB452" s="9"/>
      <c r="AP452" s="9"/>
      <c r="AQ452" s="9"/>
      <c r="AR452" s="16"/>
      <c r="AS452" s="9"/>
    </row>
    <row r="453" spans="7:45" x14ac:dyDescent="0.25">
      <c r="G453" s="9"/>
      <c r="H453" s="9"/>
      <c r="I453" s="9"/>
      <c r="J453" s="9"/>
      <c r="K453" s="9"/>
      <c r="L453" s="9"/>
      <c r="M453" s="16"/>
      <c r="N453" s="16"/>
      <c r="O453" s="16"/>
      <c r="P453" s="9"/>
      <c r="Q453" s="9"/>
      <c r="R453" s="9"/>
      <c r="S453" s="9"/>
      <c r="T453" s="9"/>
      <c r="U453" s="9"/>
      <c r="V453" s="9"/>
      <c r="W453" s="9"/>
      <c r="X453" s="16"/>
      <c r="Y453" s="16"/>
      <c r="Z453" s="16"/>
      <c r="AA453" s="16"/>
      <c r="AB453" s="9"/>
      <c r="AP453" s="9"/>
      <c r="AQ453" s="9"/>
      <c r="AR453" s="16"/>
      <c r="AS453" s="9"/>
    </row>
    <row r="454" spans="7:45" x14ac:dyDescent="0.25">
      <c r="G454" s="9"/>
      <c r="H454" s="9"/>
      <c r="I454" s="9"/>
      <c r="J454" s="9"/>
      <c r="K454" s="9"/>
      <c r="L454" s="9"/>
      <c r="M454" s="16"/>
      <c r="N454" s="16"/>
      <c r="O454" s="16"/>
      <c r="P454" s="9"/>
      <c r="Q454" s="9"/>
      <c r="R454" s="9"/>
      <c r="S454" s="9"/>
      <c r="T454" s="9"/>
      <c r="U454" s="9"/>
      <c r="V454" s="9"/>
      <c r="W454" s="9"/>
      <c r="X454" s="16"/>
      <c r="Y454" s="16"/>
      <c r="Z454" s="16"/>
      <c r="AA454" s="16"/>
      <c r="AB454" s="9"/>
      <c r="AP454" s="9"/>
      <c r="AQ454" s="9"/>
      <c r="AR454" s="16"/>
      <c r="AS454" s="9"/>
    </row>
    <row r="455" spans="7:45" x14ac:dyDescent="0.25">
      <c r="G455" s="9"/>
      <c r="H455" s="9"/>
      <c r="I455" s="9"/>
      <c r="J455" s="9"/>
      <c r="K455" s="9"/>
      <c r="L455" s="9"/>
      <c r="M455" s="16"/>
      <c r="N455" s="16"/>
      <c r="O455" s="16"/>
      <c r="P455" s="9"/>
      <c r="Q455" s="9"/>
      <c r="R455" s="9"/>
      <c r="S455" s="9"/>
      <c r="T455" s="9"/>
      <c r="U455" s="9"/>
      <c r="V455" s="9"/>
      <c r="W455" s="9"/>
      <c r="X455" s="16"/>
      <c r="Y455" s="16"/>
      <c r="Z455" s="16"/>
      <c r="AA455" s="16"/>
      <c r="AB455" s="9"/>
      <c r="AP455" s="9"/>
      <c r="AQ455" s="9"/>
      <c r="AR455" s="16"/>
      <c r="AS455" s="9"/>
    </row>
    <row r="456" spans="7:45" x14ac:dyDescent="0.25">
      <c r="G456" s="9"/>
      <c r="H456" s="9"/>
      <c r="I456" s="9"/>
      <c r="J456" s="9"/>
      <c r="K456" s="9"/>
      <c r="L456" s="9"/>
      <c r="M456" s="16"/>
      <c r="N456" s="16"/>
      <c r="O456" s="16"/>
      <c r="P456" s="9"/>
      <c r="Q456" s="9"/>
      <c r="R456" s="9"/>
      <c r="S456" s="9"/>
      <c r="T456" s="9"/>
      <c r="U456" s="9"/>
      <c r="V456" s="9"/>
      <c r="W456" s="9"/>
      <c r="X456" s="16"/>
      <c r="Y456" s="16"/>
      <c r="Z456" s="16"/>
      <c r="AA456" s="16"/>
      <c r="AB456" s="9"/>
      <c r="AP456" s="9"/>
      <c r="AQ456" s="9"/>
      <c r="AR456" s="16"/>
      <c r="AS456" s="9"/>
    </row>
    <row r="457" spans="7:45" x14ac:dyDescent="0.25">
      <c r="G457" s="9"/>
      <c r="H457" s="9"/>
      <c r="I457" s="9"/>
      <c r="J457" s="9"/>
      <c r="K457" s="9"/>
      <c r="L457" s="9"/>
      <c r="M457" s="16"/>
      <c r="N457" s="16"/>
      <c r="O457" s="16"/>
      <c r="P457" s="9"/>
      <c r="Q457" s="9"/>
      <c r="R457" s="9"/>
      <c r="S457" s="9"/>
      <c r="T457" s="9"/>
      <c r="U457" s="9"/>
      <c r="V457" s="9"/>
      <c r="W457" s="9"/>
      <c r="X457" s="16"/>
      <c r="Y457" s="16"/>
      <c r="Z457" s="16"/>
      <c r="AA457" s="16"/>
      <c r="AB457" s="9"/>
      <c r="AP457" s="9"/>
      <c r="AQ457" s="9"/>
      <c r="AR457" s="16"/>
      <c r="AS457" s="9"/>
    </row>
    <row r="458" spans="7:45" x14ac:dyDescent="0.25">
      <c r="G458" s="9"/>
      <c r="H458" s="9"/>
      <c r="I458" s="9"/>
      <c r="J458" s="9"/>
      <c r="K458" s="9"/>
      <c r="L458" s="9"/>
      <c r="M458" s="16"/>
      <c r="N458" s="16"/>
      <c r="O458" s="16"/>
      <c r="P458" s="9"/>
      <c r="Q458" s="9"/>
      <c r="R458" s="9"/>
      <c r="S458" s="9"/>
      <c r="T458" s="9"/>
      <c r="U458" s="9"/>
      <c r="V458" s="9"/>
      <c r="W458" s="9"/>
      <c r="X458" s="16"/>
      <c r="Y458" s="16"/>
      <c r="Z458" s="16"/>
      <c r="AA458" s="16"/>
      <c r="AB458" s="9"/>
      <c r="AP458" s="9"/>
      <c r="AQ458" s="9"/>
      <c r="AR458" s="16"/>
      <c r="AS458" s="9"/>
    </row>
    <row r="459" spans="7:45" x14ac:dyDescent="0.25">
      <c r="G459" s="9"/>
      <c r="H459" s="9"/>
      <c r="I459" s="9"/>
      <c r="J459" s="9"/>
      <c r="K459" s="9"/>
      <c r="L459" s="9"/>
      <c r="M459" s="16"/>
      <c r="N459" s="16"/>
      <c r="O459" s="16"/>
      <c r="P459" s="9"/>
      <c r="Q459" s="9"/>
      <c r="R459" s="9"/>
      <c r="S459" s="9"/>
      <c r="T459" s="9"/>
      <c r="U459" s="9"/>
      <c r="V459" s="9"/>
      <c r="W459" s="9"/>
      <c r="X459" s="16"/>
      <c r="Y459" s="16"/>
      <c r="Z459" s="16"/>
      <c r="AA459" s="16"/>
      <c r="AB459" s="9"/>
      <c r="AP459" s="9"/>
      <c r="AQ459" s="9"/>
      <c r="AR459" s="16"/>
      <c r="AS459" s="9"/>
    </row>
    <row r="460" spans="7:45" x14ac:dyDescent="0.25">
      <c r="G460" s="9"/>
      <c r="H460" s="9"/>
      <c r="I460" s="9"/>
      <c r="J460" s="9"/>
      <c r="K460" s="9"/>
      <c r="L460" s="9"/>
      <c r="M460" s="16"/>
      <c r="N460" s="16"/>
      <c r="O460" s="16"/>
      <c r="P460" s="9"/>
      <c r="Q460" s="9"/>
      <c r="R460" s="9"/>
      <c r="S460" s="9"/>
      <c r="T460" s="9"/>
      <c r="U460" s="9"/>
      <c r="V460" s="9"/>
      <c r="W460" s="9"/>
      <c r="X460" s="16"/>
      <c r="Y460" s="16"/>
      <c r="Z460" s="16"/>
      <c r="AA460" s="16"/>
      <c r="AB460" s="9"/>
      <c r="AP460" s="9"/>
      <c r="AQ460" s="9"/>
      <c r="AR460" s="16"/>
      <c r="AS460" s="9"/>
    </row>
    <row r="461" spans="7:45" x14ac:dyDescent="0.25">
      <c r="G461" s="9"/>
      <c r="H461" s="9"/>
      <c r="I461" s="9"/>
      <c r="J461" s="9"/>
      <c r="K461" s="9"/>
      <c r="L461" s="9"/>
      <c r="M461" s="16"/>
      <c r="N461" s="16"/>
      <c r="O461" s="16"/>
      <c r="P461" s="9"/>
      <c r="Q461" s="9"/>
      <c r="R461" s="9"/>
      <c r="S461" s="9"/>
      <c r="T461" s="9"/>
      <c r="U461" s="9"/>
      <c r="V461" s="9"/>
      <c r="W461" s="9"/>
      <c r="X461" s="16"/>
      <c r="Y461" s="16"/>
      <c r="Z461" s="16"/>
      <c r="AA461" s="16"/>
      <c r="AB461" s="9"/>
      <c r="AP461" s="9"/>
      <c r="AQ461" s="9"/>
      <c r="AR461" s="16"/>
      <c r="AS461" s="9"/>
    </row>
    <row r="462" spans="7:45" x14ac:dyDescent="0.25">
      <c r="G462" s="9"/>
      <c r="H462" s="9"/>
      <c r="I462" s="9"/>
      <c r="J462" s="9"/>
      <c r="K462" s="9"/>
      <c r="L462" s="9"/>
      <c r="M462" s="16"/>
      <c r="N462" s="16"/>
      <c r="O462" s="16"/>
      <c r="P462" s="9"/>
      <c r="Q462" s="9"/>
      <c r="R462" s="9"/>
      <c r="S462" s="9"/>
      <c r="T462" s="9"/>
      <c r="U462" s="9"/>
      <c r="V462" s="9"/>
      <c r="W462" s="9"/>
      <c r="X462" s="16"/>
      <c r="Y462" s="16"/>
      <c r="Z462" s="16"/>
      <c r="AA462" s="16"/>
      <c r="AB462" s="9"/>
      <c r="AP462" s="9"/>
      <c r="AQ462" s="9"/>
      <c r="AR462" s="16"/>
      <c r="AS462" s="9"/>
    </row>
    <row r="463" spans="7:45" x14ac:dyDescent="0.25">
      <c r="G463" s="9"/>
      <c r="H463" s="9"/>
      <c r="I463" s="9"/>
      <c r="J463" s="9"/>
      <c r="K463" s="9"/>
      <c r="L463" s="9"/>
      <c r="M463" s="16"/>
      <c r="N463" s="16"/>
      <c r="O463" s="16"/>
      <c r="P463" s="9"/>
      <c r="Q463" s="9"/>
      <c r="R463" s="9"/>
      <c r="S463" s="9"/>
      <c r="T463" s="9"/>
      <c r="U463" s="9"/>
      <c r="V463" s="9"/>
      <c r="W463" s="9"/>
      <c r="X463" s="16"/>
      <c r="Y463" s="16"/>
      <c r="Z463" s="16"/>
      <c r="AA463" s="16"/>
      <c r="AB463" s="9"/>
      <c r="AP463" s="9"/>
      <c r="AQ463" s="9"/>
      <c r="AR463" s="16"/>
      <c r="AS463" s="9"/>
    </row>
    <row r="464" spans="7:45" x14ac:dyDescent="0.25">
      <c r="G464" s="9"/>
      <c r="H464" s="9"/>
      <c r="I464" s="9"/>
      <c r="J464" s="9"/>
      <c r="K464" s="9"/>
      <c r="L464" s="9"/>
      <c r="M464" s="16"/>
      <c r="N464" s="16"/>
      <c r="O464" s="16"/>
      <c r="P464" s="9"/>
      <c r="Q464" s="9"/>
      <c r="R464" s="9"/>
      <c r="S464" s="9"/>
      <c r="T464" s="9"/>
      <c r="U464" s="9"/>
      <c r="V464" s="9"/>
      <c r="W464" s="9"/>
      <c r="X464" s="16"/>
      <c r="Y464" s="16"/>
      <c r="Z464" s="16"/>
      <c r="AA464" s="16"/>
      <c r="AB464" s="9"/>
      <c r="AP464" s="9"/>
      <c r="AQ464" s="9"/>
      <c r="AR464" s="16"/>
      <c r="AS464" s="9"/>
    </row>
    <row r="465" spans="7:45" x14ac:dyDescent="0.25">
      <c r="G465" s="9"/>
      <c r="H465" s="9"/>
      <c r="I465" s="9"/>
      <c r="J465" s="9"/>
      <c r="K465" s="9"/>
      <c r="L465" s="9"/>
      <c r="M465" s="16"/>
      <c r="N465" s="16"/>
      <c r="O465" s="16"/>
      <c r="P465" s="9"/>
      <c r="Q465" s="9"/>
      <c r="R465" s="9"/>
      <c r="S465" s="9"/>
      <c r="T465" s="9"/>
      <c r="U465" s="9"/>
      <c r="V465" s="9"/>
      <c r="W465" s="9"/>
      <c r="X465" s="16"/>
      <c r="Y465" s="16"/>
      <c r="Z465" s="16"/>
      <c r="AA465" s="16"/>
      <c r="AB465" s="9"/>
      <c r="AP465" s="9"/>
      <c r="AQ465" s="9"/>
      <c r="AR465" s="16"/>
      <c r="AS465" s="9"/>
    </row>
    <row r="466" spans="7:45" x14ac:dyDescent="0.25">
      <c r="G466" s="9"/>
      <c r="H466" s="9"/>
      <c r="I466" s="9"/>
      <c r="J466" s="9"/>
      <c r="K466" s="9"/>
      <c r="L466" s="9"/>
      <c r="M466" s="16"/>
      <c r="N466" s="16"/>
      <c r="O466" s="16"/>
      <c r="P466" s="9"/>
      <c r="Q466" s="9"/>
      <c r="R466" s="9"/>
      <c r="S466" s="9"/>
      <c r="T466" s="9"/>
      <c r="U466" s="9"/>
      <c r="V466" s="9"/>
      <c r="W466" s="9"/>
      <c r="X466" s="16"/>
      <c r="Y466" s="16"/>
      <c r="Z466" s="16"/>
      <c r="AA466" s="16"/>
      <c r="AB466" s="9"/>
      <c r="AP466" s="9"/>
      <c r="AQ466" s="9"/>
      <c r="AR466" s="16"/>
      <c r="AS466" s="9"/>
    </row>
    <row r="467" spans="7:45" x14ac:dyDescent="0.25">
      <c r="G467" s="9"/>
      <c r="H467" s="9"/>
      <c r="I467" s="9"/>
      <c r="J467" s="9"/>
      <c r="K467" s="9"/>
      <c r="L467" s="9"/>
      <c r="M467" s="16"/>
      <c r="N467" s="16"/>
      <c r="O467" s="16"/>
      <c r="P467" s="9"/>
      <c r="Q467" s="9"/>
      <c r="R467" s="9"/>
      <c r="S467" s="9"/>
      <c r="T467" s="9"/>
      <c r="U467" s="9"/>
      <c r="V467" s="9"/>
      <c r="W467" s="9"/>
      <c r="X467" s="16"/>
      <c r="Y467" s="16"/>
      <c r="Z467" s="16"/>
      <c r="AA467" s="16"/>
      <c r="AB467" s="9"/>
      <c r="AP467" s="9"/>
      <c r="AQ467" s="9"/>
      <c r="AR467" s="16"/>
      <c r="AS467" s="9"/>
    </row>
    <row r="468" spans="7:45" x14ac:dyDescent="0.25">
      <c r="G468" s="9"/>
      <c r="H468" s="9"/>
      <c r="I468" s="9"/>
      <c r="J468" s="9"/>
      <c r="K468" s="9"/>
      <c r="L468" s="9"/>
      <c r="M468" s="16"/>
      <c r="N468" s="16"/>
      <c r="O468" s="16"/>
      <c r="P468" s="9"/>
      <c r="Q468" s="9"/>
      <c r="R468" s="9"/>
      <c r="S468" s="9"/>
      <c r="T468" s="9"/>
      <c r="U468" s="9"/>
      <c r="V468" s="9"/>
      <c r="W468" s="9"/>
      <c r="X468" s="16"/>
      <c r="Y468" s="16"/>
      <c r="Z468" s="16"/>
      <c r="AA468" s="16"/>
      <c r="AB468" s="9"/>
      <c r="AP468" s="9"/>
      <c r="AQ468" s="9"/>
      <c r="AR468" s="16"/>
      <c r="AS468" s="9"/>
    </row>
    <row r="469" spans="7:45" x14ac:dyDescent="0.25">
      <c r="G469" s="9"/>
      <c r="H469" s="9"/>
      <c r="I469" s="9"/>
      <c r="J469" s="9"/>
      <c r="K469" s="9"/>
      <c r="L469" s="9"/>
      <c r="M469" s="16"/>
      <c r="N469" s="16"/>
      <c r="O469" s="16"/>
      <c r="P469" s="9"/>
      <c r="Q469" s="9"/>
      <c r="R469" s="9"/>
      <c r="S469" s="9"/>
      <c r="T469" s="9"/>
      <c r="U469" s="9"/>
      <c r="V469" s="9"/>
      <c r="W469" s="9"/>
      <c r="X469" s="16"/>
      <c r="Y469" s="16"/>
      <c r="Z469" s="16"/>
      <c r="AA469" s="16"/>
      <c r="AB469" s="9"/>
      <c r="AP469" s="9"/>
      <c r="AQ469" s="9"/>
      <c r="AR469" s="16"/>
      <c r="AS469" s="9"/>
    </row>
    <row r="470" spans="7:45" x14ac:dyDescent="0.25">
      <c r="G470" s="9"/>
      <c r="H470" s="9"/>
      <c r="I470" s="9"/>
      <c r="J470" s="9"/>
      <c r="K470" s="9"/>
      <c r="L470" s="9"/>
      <c r="M470" s="16"/>
      <c r="N470" s="16"/>
      <c r="O470" s="16"/>
      <c r="P470" s="9"/>
      <c r="Q470" s="9"/>
      <c r="R470" s="9"/>
      <c r="S470" s="9"/>
      <c r="T470" s="9"/>
      <c r="U470" s="9"/>
      <c r="V470" s="9"/>
      <c r="W470" s="9"/>
      <c r="X470" s="16"/>
      <c r="Y470" s="16"/>
      <c r="Z470" s="16"/>
      <c r="AA470" s="16"/>
      <c r="AB470" s="9"/>
      <c r="AP470" s="9"/>
      <c r="AQ470" s="9"/>
      <c r="AR470" s="16"/>
      <c r="AS470" s="9"/>
    </row>
    <row r="471" spans="7:45" x14ac:dyDescent="0.25">
      <c r="G471" s="9"/>
      <c r="H471" s="9"/>
      <c r="I471" s="9"/>
      <c r="J471" s="9"/>
      <c r="K471" s="9"/>
      <c r="L471" s="9"/>
      <c r="M471" s="16"/>
      <c r="N471" s="16"/>
      <c r="O471" s="16"/>
      <c r="P471" s="9"/>
      <c r="Q471" s="9"/>
      <c r="R471" s="9"/>
      <c r="S471" s="9"/>
      <c r="T471" s="9"/>
      <c r="U471" s="9"/>
      <c r="V471" s="9"/>
      <c r="W471" s="9"/>
      <c r="X471" s="16"/>
      <c r="Y471" s="16"/>
      <c r="Z471" s="16"/>
      <c r="AA471" s="16"/>
      <c r="AB471" s="9"/>
      <c r="AP471" s="9"/>
      <c r="AQ471" s="9"/>
      <c r="AR471" s="16"/>
      <c r="AS471" s="9"/>
    </row>
    <row r="472" spans="7:45" x14ac:dyDescent="0.25">
      <c r="G472" s="9"/>
      <c r="H472" s="9"/>
      <c r="I472" s="9"/>
      <c r="J472" s="9"/>
      <c r="K472" s="9"/>
      <c r="L472" s="9"/>
      <c r="M472" s="16"/>
      <c r="N472" s="16"/>
      <c r="O472" s="16"/>
      <c r="P472" s="9"/>
      <c r="Q472" s="9"/>
      <c r="R472" s="9"/>
      <c r="S472" s="9"/>
      <c r="T472" s="9"/>
      <c r="U472" s="9"/>
      <c r="V472" s="9"/>
      <c r="W472" s="9"/>
      <c r="X472" s="16"/>
      <c r="Y472" s="16"/>
      <c r="Z472" s="16"/>
      <c r="AA472" s="16"/>
      <c r="AB472" s="9"/>
      <c r="AP472" s="9"/>
      <c r="AQ472" s="9"/>
      <c r="AR472" s="16"/>
      <c r="AS472" s="9"/>
    </row>
    <row r="473" spans="7:45" x14ac:dyDescent="0.25">
      <c r="G473" s="9"/>
      <c r="H473" s="9"/>
      <c r="I473" s="9"/>
      <c r="J473" s="9"/>
      <c r="K473" s="9"/>
      <c r="L473" s="9"/>
      <c r="M473" s="16"/>
      <c r="N473" s="16"/>
      <c r="O473" s="16"/>
      <c r="P473" s="9"/>
      <c r="Q473" s="9"/>
      <c r="R473" s="9"/>
      <c r="S473" s="9"/>
      <c r="T473" s="9"/>
      <c r="U473" s="9"/>
      <c r="V473" s="9"/>
      <c r="W473" s="9"/>
      <c r="X473" s="16"/>
      <c r="Y473" s="16"/>
      <c r="Z473" s="16"/>
      <c r="AA473" s="16"/>
      <c r="AB473" s="9"/>
      <c r="AP473" s="9"/>
      <c r="AQ473" s="9"/>
      <c r="AR473" s="16"/>
      <c r="AS473" s="9"/>
    </row>
    <row r="474" spans="7:45" x14ac:dyDescent="0.25">
      <c r="G474" s="9"/>
      <c r="H474" s="9"/>
      <c r="I474" s="9"/>
      <c r="J474" s="9"/>
      <c r="K474" s="9"/>
      <c r="L474" s="9"/>
      <c r="M474" s="16"/>
      <c r="N474" s="16"/>
      <c r="O474" s="16"/>
      <c r="P474" s="9"/>
      <c r="Q474" s="9"/>
      <c r="R474" s="9"/>
      <c r="S474" s="9"/>
      <c r="T474" s="9"/>
      <c r="U474" s="9"/>
      <c r="V474" s="9"/>
      <c r="W474" s="9"/>
      <c r="X474" s="16"/>
      <c r="Y474" s="16"/>
      <c r="Z474" s="16"/>
      <c r="AA474" s="16"/>
      <c r="AB474" s="9"/>
      <c r="AP474" s="9"/>
      <c r="AQ474" s="9"/>
      <c r="AR474" s="16"/>
      <c r="AS474" s="9"/>
    </row>
    <row r="475" spans="7:45" x14ac:dyDescent="0.25">
      <c r="G475" s="9"/>
      <c r="H475" s="9"/>
      <c r="I475" s="9"/>
      <c r="J475" s="9"/>
      <c r="K475" s="9"/>
      <c r="L475" s="9"/>
      <c r="M475" s="16"/>
      <c r="N475" s="16"/>
      <c r="O475" s="16"/>
      <c r="P475" s="9"/>
      <c r="Q475" s="9"/>
      <c r="R475" s="9"/>
      <c r="S475" s="9"/>
      <c r="T475" s="9"/>
      <c r="U475" s="9"/>
      <c r="V475" s="9"/>
      <c r="W475" s="9"/>
      <c r="X475" s="16"/>
      <c r="Y475" s="16"/>
      <c r="Z475" s="16"/>
      <c r="AA475" s="16"/>
      <c r="AB475" s="9"/>
      <c r="AP475" s="9"/>
      <c r="AQ475" s="9"/>
      <c r="AR475" s="16"/>
      <c r="AS475" s="9"/>
    </row>
    <row r="476" spans="7:45" x14ac:dyDescent="0.25">
      <c r="G476" s="9"/>
      <c r="H476" s="9"/>
      <c r="I476" s="9"/>
      <c r="J476" s="9"/>
      <c r="K476" s="9"/>
      <c r="L476" s="9"/>
      <c r="M476" s="16"/>
      <c r="N476" s="16"/>
      <c r="O476" s="16"/>
      <c r="P476" s="9"/>
      <c r="Q476" s="9"/>
      <c r="R476" s="9"/>
      <c r="S476" s="9"/>
      <c r="T476" s="9"/>
      <c r="U476" s="9"/>
      <c r="V476" s="9"/>
      <c r="W476" s="9"/>
      <c r="X476" s="16"/>
      <c r="Y476" s="16"/>
      <c r="Z476" s="16"/>
      <c r="AA476" s="16"/>
      <c r="AB476" s="9"/>
      <c r="AP476" s="9"/>
      <c r="AQ476" s="9"/>
      <c r="AR476" s="16"/>
      <c r="AS476" s="9"/>
    </row>
    <row r="477" spans="7:45" x14ac:dyDescent="0.25">
      <c r="G477" s="9"/>
      <c r="H477" s="9"/>
      <c r="I477" s="9"/>
      <c r="J477" s="9"/>
      <c r="K477" s="9"/>
      <c r="L477" s="9"/>
      <c r="M477" s="16"/>
      <c r="N477" s="16"/>
      <c r="O477" s="16"/>
      <c r="P477" s="9"/>
      <c r="Q477" s="9"/>
      <c r="R477" s="9"/>
      <c r="S477" s="9"/>
      <c r="T477" s="9"/>
      <c r="U477" s="9"/>
      <c r="V477" s="9"/>
      <c r="W477" s="9"/>
      <c r="X477" s="16"/>
      <c r="Y477" s="16"/>
      <c r="Z477" s="16"/>
      <c r="AA477" s="16"/>
      <c r="AB477" s="9"/>
      <c r="AP477" s="9"/>
      <c r="AQ477" s="9"/>
      <c r="AR477" s="16"/>
      <c r="AS477" s="9"/>
    </row>
    <row r="478" spans="7:45" x14ac:dyDescent="0.25">
      <c r="G478" s="9"/>
      <c r="H478" s="9"/>
      <c r="I478" s="9"/>
      <c r="J478" s="9"/>
      <c r="K478" s="9"/>
      <c r="L478" s="9"/>
      <c r="M478" s="16"/>
      <c r="N478" s="16"/>
      <c r="O478" s="16"/>
      <c r="P478" s="9"/>
      <c r="Q478" s="9"/>
      <c r="R478" s="9"/>
      <c r="S478" s="9"/>
      <c r="T478" s="9"/>
      <c r="U478" s="9"/>
      <c r="V478" s="9"/>
      <c r="W478" s="9"/>
      <c r="X478" s="16"/>
      <c r="Y478" s="16"/>
      <c r="Z478" s="16"/>
      <c r="AA478" s="16"/>
      <c r="AB478" s="9"/>
      <c r="AP478" s="9"/>
      <c r="AQ478" s="9"/>
      <c r="AR478" s="16"/>
      <c r="AS478" s="9"/>
    </row>
    <row r="479" spans="7:45" x14ac:dyDescent="0.25">
      <c r="G479" s="9"/>
      <c r="H479" s="9"/>
      <c r="I479" s="9"/>
      <c r="J479" s="9"/>
      <c r="K479" s="9"/>
      <c r="L479" s="9"/>
      <c r="M479" s="16"/>
      <c r="N479" s="16"/>
      <c r="O479" s="16"/>
      <c r="P479" s="9"/>
      <c r="Q479" s="9"/>
      <c r="R479" s="9"/>
      <c r="S479" s="9"/>
      <c r="T479" s="9"/>
      <c r="U479" s="9"/>
      <c r="V479" s="9"/>
      <c r="W479" s="9"/>
      <c r="X479" s="16"/>
      <c r="Y479" s="16"/>
      <c r="Z479" s="16"/>
      <c r="AA479" s="16"/>
      <c r="AB479" s="9"/>
      <c r="AP479" s="9"/>
      <c r="AQ479" s="9"/>
      <c r="AR479" s="16"/>
      <c r="AS479" s="9"/>
    </row>
    <row r="480" spans="7:45" x14ac:dyDescent="0.25">
      <c r="G480" s="9"/>
      <c r="H480" s="9"/>
      <c r="I480" s="9"/>
      <c r="J480" s="9"/>
      <c r="K480" s="9"/>
      <c r="L480" s="9"/>
      <c r="M480" s="16"/>
      <c r="N480" s="16"/>
      <c r="O480" s="16"/>
      <c r="P480" s="9"/>
      <c r="Q480" s="9"/>
      <c r="R480" s="9"/>
      <c r="S480" s="9"/>
      <c r="T480" s="9"/>
      <c r="U480" s="9"/>
      <c r="V480" s="9"/>
      <c r="W480" s="9"/>
      <c r="X480" s="16"/>
      <c r="Y480" s="16"/>
      <c r="Z480" s="16"/>
      <c r="AA480" s="16"/>
      <c r="AB480" s="9"/>
      <c r="AP480" s="9"/>
      <c r="AQ480" s="9"/>
      <c r="AR480" s="16"/>
      <c r="AS480" s="9"/>
    </row>
    <row r="481" spans="7:45" x14ac:dyDescent="0.25">
      <c r="G481" s="9"/>
      <c r="H481" s="9"/>
      <c r="I481" s="9"/>
      <c r="J481" s="9"/>
      <c r="K481" s="9"/>
      <c r="L481" s="9"/>
      <c r="M481" s="16"/>
      <c r="N481" s="16"/>
      <c r="O481" s="16"/>
      <c r="P481" s="9"/>
      <c r="Q481" s="9"/>
      <c r="R481" s="9"/>
      <c r="S481" s="9"/>
      <c r="T481" s="9"/>
      <c r="U481" s="9"/>
      <c r="V481" s="9"/>
      <c r="W481" s="9"/>
      <c r="X481" s="16"/>
      <c r="Y481" s="16"/>
      <c r="Z481" s="16"/>
      <c r="AA481" s="16"/>
      <c r="AB481" s="9"/>
      <c r="AP481" s="9"/>
      <c r="AQ481" s="9"/>
      <c r="AR481" s="16"/>
      <c r="AS481" s="9"/>
    </row>
    <row r="482" spans="7:45" x14ac:dyDescent="0.25">
      <c r="G482" s="9"/>
      <c r="H482" s="9"/>
      <c r="I482" s="9"/>
      <c r="J482" s="9"/>
      <c r="K482" s="9"/>
      <c r="L482" s="9"/>
      <c r="M482" s="16"/>
      <c r="N482" s="16"/>
      <c r="O482" s="16"/>
      <c r="P482" s="9"/>
      <c r="Q482" s="9"/>
      <c r="R482" s="9"/>
      <c r="S482" s="9"/>
      <c r="T482" s="9"/>
      <c r="U482" s="9"/>
      <c r="V482" s="9"/>
      <c r="W482" s="9"/>
      <c r="X482" s="16"/>
      <c r="Y482" s="16"/>
      <c r="Z482" s="16"/>
      <c r="AA482" s="16"/>
      <c r="AB482" s="9"/>
      <c r="AP482" s="9"/>
      <c r="AQ482" s="9"/>
      <c r="AR482" s="16"/>
      <c r="AS482" s="9"/>
    </row>
    <row r="483" spans="7:45" x14ac:dyDescent="0.25">
      <c r="G483" s="9"/>
      <c r="H483" s="9"/>
      <c r="I483" s="9"/>
      <c r="J483" s="9"/>
      <c r="K483" s="9"/>
      <c r="L483" s="9"/>
      <c r="M483" s="16"/>
      <c r="N483" s="16"/>
      <c r="O483" s="16"/>
      <c r="P483" s="9"/>
      <c r="Q483" s="9"/>
      <c r="R483" s="9"/>
      <c r="S483" s="9"/>
      <c r="T483" s="9"/>
      <c r="U483" s="9"/>
      <c r="V483" s="9"/>
      <c r="W483" s="9"/>
      <c r="X483" s="16"/>
      <c r="Y483" s="16"/>
      <c r="Z483" s="16"/>
      <c r="AA483" s="16"/>
      <c r="AB483" s="9"/>
      <c r="AP483" s="9"/>
      <c r="AQ483" s="9"/>
      <c r="AR483" s="16"/>
      <c r="AS483" s="9"/>
    </row>
    <row r="484" spans="7:45" x14ac:dyDescent="0.25">
      <c r="G484" s="9"/>
      <c r="H484" s="9"/>
      <c r="I484" s="9"/>
      <c r="J484" s="9"/>
      <c r="K484" s="9"/>
      <c r="L484" s="9"/>
      <c r="M484" s="16"/>
      <c r="N484" s="16"/>
      <c r="O484" s="16"/>
      <c r="P484" s="9"/>
      <c r="Q484" s="9"/>
      <c r="R484" s="9"/>
      <c r="S484" s="9"/>
      <c r="T484" s="9"/>
      <c r="U484" s="9"/>
      <c r="V484" s="9"/>
      <c r="W484" s="9"/>
      <c r="X484" s="16"/>
      <c r="Y484" s="16"/>
      <c r="Z484" s="16"/>
      <c r="AA484" s="16"/>
      <c r="AB484" s="9"/>
      <c r="AP484" s="9"/>
      <c r="AQ484" s="9"/>
      <c r="AR484" s="16"/>
      <c r="AS484" s="9"/>
    </row>
    <row r="485" spans="7:45" x14ac:dyDescent="0.25">
      <c r="G485" s="9"/>
      <c r="H485" s="9"/>
      <c r="I485" s="9"/>
      <c r="J485" s="9"/>
      <c r="K485" s="9"/>
      <c r="L485" s="9"/>
      <c r="M485" s="16"/>
      <c r="N485" s="16"/>
      <c r="O485" s="16"/>
      <c r="P485" s="9"/>
      <c r="Q485" s="9"/>
      <c r="R485" s="9"/>
      <c r="S485" s="9"/>
      <c r="T485" s="9"/>
      <c r="U485" s="9"/>
      <c r="V485" s="9"/>
      <c r="W485" s="9"/>
      <c r="X485" s="16"/>
      <c r="Y485" s="16"/>
      <c r="Z485" s="16"/>
      <c r="AA485" s="16"/>
      <c r="AB485" s="9"/>
      <c r="AP485" s="9"/>
      <c r="AQ485" s="9"/>
      <c r="AR485" s="16"/>
      <c r="AS485" s="9"/>
    </row>
    <row r="486" spans="7:45" x14ac:dyDescent="0.25">
      <c r="G486" s="9"/>
      <c r="H486" s="9"/>
      <c r="I486" s="9"/>
      <c r="J486" s="9"/>
      <c r="K486" s="9"/>
      <c r="L486" s="9"/>
      <c r="M486" s="16"/>
      <c r="N486" s="16"/>
      <c r="O486" s="16"/>
      <c r="P486" s="9"/>
      <c r="Q486" s="9"/>
      <c r="R486" s="9"/>
      <c r="S486" s="9"/>
      <c r="T486" s="9"/>
      <c r="U486" s="9"/>
      <c r="V486" s="9"/>
      <c r="W486" s="9"/>
      <c r="X486" s="16"/>
      <c r="Y486" s="16"/>
      <c r="Z486" s="16"/>
      <c r="AA486" s="16"/>
      <c r="AB486" s="9"/>
      <c r="AP486" s="9"/>
      <c r="AQ486" s="9"/>
      <c r="AR486" s="16"/>
      <c r="AS486" s="9"/>
    </row>
    <row r="487" spans="7:45" x14ac:dyDescent="0.25">
      <c r="G487" s="9"/>
      <c r="H487" s="9"/>
      <c r="I487" s="9"/>
      <c r="J487" s="9"/>
      <c r="K487" s="9"/>
      <c r="L487" s="9"/>
      <c r="M487" s="16"/>
      <c r="N487" s="16"/>
      <c r="O487" s="16"/>
      <c r="P487" s="9"/>
      <c r="Q487" s="9"/>
      <c r="R487" s="9"/>
      <c r="S487" s="9"/>
      <c r="T487" s="9"/>
      <c r="U487" s="9"/>
      <c r="V487" s="9"/>
      <c r="W487" s="9"/>
      <c r="X487" s="16"/>
      <c r="Y487" s="16"/>
      <c r="Z487" s="16"/>
      <c r="AA487" s="16"/>
      <c r="AB487" s="9"/>
      <c r="AP487" s="9"/>
      <c r="AQ487" s="9"/>
      <c r="AR487" s="16"/>
      <c r="AS487" s="9"/>
    </row>
    <row r="488" spans="7:45" x14ac:dyDescent="0.25">
      <c r="G488" s="9"/>
      <c r="H488" s="9"/>
      <c r="I488" s="9"/>
      <c r="J488" s="9"/>
      <c r="K488" s="9"/>
      <c r="L488" s="9"/>
      <c r="M488" s="16"/>
      <c r="N488" s="16"/>
      <c r="O488" s="16"/>
      <c r="P488" s="9"/>
      <c r="Q488" s="9"/>
      <c r="R488" s="9"/>
      <c r="S488" s="9"/>
      <c r="T488" s="9"/>
      <c r="U488" s="9"/>
      <c r="V488" s="9"/>
      <c r="W488" s="9"/>
      <c r="X488" s="16"/>
      <c r="Y488" s="16"/>
      <c r="Z488" s="16"/>
      <c r="AA488" s="16"/>
      <c r="AB488" s="9"/>
      <c r="AP488" s="9"/>
      <c r="AQ488" s="9"/>
      <c r="AR488" s="16"/>
      <c r="AS488" s="9"/>
    </row>
    <row r="489" spans="7:45" x14ac:dyDescent="0.25">
      <c r="G489" s="9"/>
      <c r="H489" s="9"/>
      <c r="I489" s="9"/>
      <c r="J489" s="9"/>
      <c r="K489" s="9"/>
      <c r="L489" s="9"/>
      <c r="M489" s="16"/>
      <c r="N489" s="16"/>
      <c r="O489" s="16"/>
      <c r="P489" s="9"/>
      <c r="Q489" s="9"/>
      <c r="R489" s="9"/>
      <c r="S489" s="9"/>
      <c r="T489" s="9"/>
      <c r="U489" s="9"/>
      <c r="V489" s="9"/>
      <c r="W489" s="9"/>
      <c r="X489" s="16"/>
      <c r="Y489" s="16"/>
      <c r="Z489" s="16"/>
      <c r="AA489" s="16"/>
      <c r="AB489" s="9"/>
      <c r="AP489" s="9"/>
      <c r="AQ489" s="9"/>
      <c r="AR489" s="16"/>
      <c r="AS489" s="9"/>
    </row>
    <row r="490" spans="7:45" x14ac:dyDescent="0.25">
      <c r="G490" s="9"/>
      <c r="H490" s="9"/>
      <c r="I490" s="9"/>
      <c r="J490" s="9"/>
      <c r="K490" s="9"/>
      <c r="L490" s="9"/>
      <c r="M490" s="16"/>
      <c r="N490" s="16"/>
      <c r="O490" s="16"/>
      <c r="P490" s="9"/>
      <c r="Q490" s="9"/>
      <c r="R490" s="9"/>
      <c r="S490" s="9"/>
      <c r="T490" s="9"/>
      <c r="U490" s="9"/>
      <c r="V490" s="9"/>
      <c r="W490" s="9"/>
      <c r="X490" s="16"/>
      <c r="Y490" s="16"/>
      <c r="Z490" s="16"/>
      <c r="AA490" s="16"/>
      <c r="AB490" s="9"/>
      <c r="AP490" s="9"/>
      <c r="AQ490" s="9"/>
      <c r="AR490" s="16"/>
      <c r="AS490" s="9"/>
    </row>
    <row r="491" spans="7:45" x14ac:dyDescent="0.25">
      <c r="G491" s="9"/>
      <c r="H491" s="9"/>
      <c r="I491" s="9"/>
      <c r="J491" s="9"/>
      <c r="K491" s="9"/>
      <c r="L491" s="9"/>
      <c r="M491" s="16"/>
      <c r="N491" s="16"/>
      <c r="O491" s="16"/>
      <c r="P491" s="9"/>
      <c r="Q491" s="9"/>
      <c r="R491" s="9"/>
      <c r="S491" s="9"/>
      <c r="T491" s="9"/>
      <c r="U491" s="9"/>
      <c r="V491" s="9"/>
      <c r="W491" s="9"/>
      <c r="X491" s="16"/>
      <c r="Y491" s="16"/>
      <c r="Z491" s="16"/>
      <c r="AA491" s="16"/>
      <c r="AB491" s="9"/>
      <c r="AP491" s="9"/>
      <c r="AQ491" s="9"/>
      <c r="AR491" s="16"/>
      <c r="AS491" s="9"/>
    </row>
    <row r="492" spans="7:45" x14ac:dyDescent="0.25">
      <c r="G492" s="9"/>
      <c r="H492" s="9"/>
      <c r="I492" s="9"/>
      <c r="J492" s="9"/>
      <c r="K492" s="9"/>
      <c r="L492" s="9"/>
      <c r="M492" s="16"/>
      <c r="N492" s="16"/>
      <c r="O492" s="16"/>
      <c r="P492" s="9"/>
      <c r="Q492" s="9"/>
      <c r="R492" s="9"/>
      <c r="S492" s="9"/>
      <c r="T492" s="9"/>
      <c r="U492" s="9"/>
      <c r="V492" s="9"/>
      <c r="W492" s="9"/>
      <c r="X492" s="16"/>
      <c r="Y492" s="16"/>
      <c r="Z492" s="16"/>
      <c r="AA492" s="16"/>
      <c r="AB492" s="9"/>
      <c r="AP492" s="9"/>
      <c r="AQ492" s="9"/>
      <c r="AR492" s="16"/>
      <c r="AS492" s="9"/>
    </row>
    <row r="493" spans="7:45" x14ac:dyDescent="0.25">
      <c r="G493" s="9"/>
      <c r="H493" s="9"/>
      <c r="I493" s="9"/>
      <c r="J493" s="9"/>
      <c r="K493" s="9"/>
      <c r="L493" s="9"/>
      <c r="M493" s="16"/>
      <c r="N493" s="16"/>
      <c r="O493" s="16"/>
      <c r="P493" s="9"/>
      <c r="Q493" s="9"/>
      <c r="R493" s="9"/>
      <c r="S493" s="9"/>
      <c r="T493" s="9"/>
      <c r="U493" s="9"/>
      <c r="V493" s="9"/>
      <c r="W493" s="9"/>
      <c r="X493" s="16"/>
      <c r="Y493" s="16"/>
      <c r="Z493" s="16"/>
      <c r="AA493" s="16"/>
      <c r="AB493" s="9"/>
      <c r="AP493" s="9"/>
      <c r="AQ493" s="9"/>
      <c r="AR493" s="16"/>
      <c r="AS493" s="9"/>
    </row>
    <row r="494" spans="7:45" x14ac:dyDescent="0.25">
      <c r="G494" s="9"/>
      <c r="H494" s="9"/>
      <c r="I494" s="9"/>
      <c r="J494" s="9"/>
      <c r="K494" s="9"/>
      <c r="L494" s="9"/>
      <c r="M494" s="16"/>
      <c r="N494" s="16"/>
      <c r="O494" s="16"/>
      <c r="P494" s="9"/>
      <c r="Q494" s="9"/>
      <c r="R494" s="9"/>
      <c r="S494" s="9"/>
      <c r="T494" s="9"/>
      <c r="U494" s="9"/>
      <c r="V494" s="9"/>
      <c r="W494" s="9"/>
      <c r="X494" s="16"/>
      <c r="Y494" s="16"/>
      <c r="Z494" s="16"/>
      <c r="AA494" s="16"/>
      <c r="AB494" s="9"/>
      <c r="AP494" s="9"/>
      <c r="AQ494" s="9"/>
      <c r="AR494" s="16"/>
      <c r="AS494" s="9"/>
    </row>
    <row r="495" spans="7:45" x14ac:dyDescent="0.25">
      <c r="G495" s="9"/>
      <c r="H495" s="9"/>
      <c r="I495" s="9"/>
      <c r="J495" s="9"/>
      <c r="K495" s="9"/>
      <c r="L495" s="9"/>
      <c r="M495" s="16"/>
      <c r="N495" s="16"/>
      <c r="O495" s="16"/>
      <c r="P495" s="9"/>
      <c r="Q495" s="9"/>
      <c r="R495" s="9"/>
      <c r="S495" s="9"/>
      <c r="T495" s="9"/>
      <c r="U495" s="9"/>
      <c r="V495" s="9"/>
      <c r="W495" s="9"/>
      <c r="X495" s="16"/>
      <c r="Y495" s="16"/>
      <c r="Z495" s="16"/>
      <c r="AA495" s="16"/>
      <c r="AB495" s="9"/>
      <c r="AP495" s="9"/>
      <c r="AQ495" s="9"/>
      <c r="AR495" s="16"/>
      <c r="AS495" s="9"/>
    </row>
    <row r="496" spans="7:45" x14ac:dyDescent="0.25">
      <c r="G496" s="9"/>
      <c r="H496" s="9"/>
      <c r="I496" s="9"/>
      <c r="J496" s="9"/>
      <c r="K496" s="9"/>
      <c r="L496" s="9"/>
      <c r="M496" s="16"/>
      <c r="N496" s="16"/>
      <c r="O496" s="16"/>
      <c r="P496" s="9"/>
      <c r="Q496" s="9"/>
      <c r="R496" s="9"/>
      <c r="S496" s="9"/>
      <c r="T496" s="9"/>
      <c r="U496" s="9"/>
      <c r="V496" s="9"/>
      <c r="W496" s="9"/>
      <c r="X496" s="16"/>
      <c r="Y496" s="16"/>
      <c r="Z496" s="16"/>
      <c r="AA496" s="16"/>
      <c r="AB496" s="9"/>
      <c r="AP496" s="9"/>
      <c r="AQ496" s="9"/>
      <c r="AR496" s="16"/>
      <c r="AS496" s="9"/>
    </row>
    <row r="497" spans="7:45" x14ac:dyDescent="0.25">
      <c r="G497" s="9"/>
      <c r="H497" s="9"/>
      <c r="I497" s="9"/>
      <c r="J497" s="9"/>
      <c r="K497" s="9"/>
      <c r="L497" s="9"/>
      <c r="M497" s="16"/>
      <c r="N497" s="16"/>
      <c r="O497" s="16"/>
      <c r="P497" s="9"/>
      <c r="Q497" s="9"/>
      <c r="R497" s="9"/>
      <c r="S497" s="9"/>
      <c r="T497" s="9"/>
      <c r="U497" s="9"/>
      <c r="V497" s="9"/>
      <c r="W497" s="9"/>
      <c r="X497" s="16"/>
      <c r="Y497" s="16"/>
      <c r="Z497" s="16"/>
      <c r="AA497" s="16"/>
      <c r="AB497" s="9"/>
      <c r="AP497" s="9"/>
      <c r="AQ497" s="9"/>
      <c r="AR497" s="16"/>
      <c r="AS497" s="9"/>
    </row>
    <row r="498" spans="7:45" x14ac:dyDescent="0.25">
      <c r="G498" s="9"/>
      <c r="H498" s="9"/>
      <c r="I498" s="9"/>
      <c r="J498" s="9"/>
      <c r="K498" s="9"/>
      <c r="L498" s="9"/>
      <c r="M498" s="16"/>
      <c r="N498" s="16"/>
      <c r="O498" s="16"/>
      <c r="P498" s="9"/>
      <c r="Q498" s="9"/>
      <c r="R498" s="9"/>
      <c r="S498" s="9"/>
      <c r="T498" s="9"/>
      <c r="U498" s="9"/>
      <c r="V498" s="9"/>
      <c r="W498" s="9"/>
      <c r="X498" s="16"/>
      <c r="Y498" s="16"/>
      <c r="Z498" s="16"/>
      <c r="AA498" s="16"/>
      <c r="AB498" s="9"/>
      <c r="AP498" s="9"/>
      <c r="AQ498" s="9"/>
      <c r="AR498" s="16"/>
      <c r="AS498" s="9"/>
    </row>
    <row r="499" spans="7:45" x14ac:dyDescent="0.25">
      <c r="G499" s="9"/>
      <c r="H499" s="9"/>
      <c r="I499" s="9"/>
      <c r="J499" s="9"/>
      <c r="K499" s="9"/>
      <c r="L499" s="9"/>
      <c r="M499" s="16"/>
      <c r="N499" s="16"/>
      <c r="O499" s="16"/>
      <c r="P499" s="9"/>
      <c r="Q499" s="9"/>
      <c r="R499" s="9"/>
      <c r="S499" s="9"/>
      <c r="T499" s="9"/>
      <c r="U499" s="9"/>
      <c r="V499" s="9"/>
      <c r="W499" s="9"/>
      <c r="X499" s="16"/>
      <c r="Y499" s="16"/>
      <c r="Z499" s="16"/>
      <c r="AA499" s="16"/>
      <c r="AB499" s="9"/>
      <c r="AP499" s="9"/>
      <c r="AQ499" s="9"/>
      <c r="AR499" s="16"/>
      <c r="AS499" s="9"/>
    </row>
    <row r="500" spans="7:45" x14ac:dyDescent="0.25">
      <c r="G500" s="9"/>
      <c r="H500" s="9"/>
      <c r="I500" s="9"/>
      <c r="J500" s="9"/>
      <c r="K500" s="9"/>
      <c r="L500" s="9"/>
      <c r="M500" s="16"/>
      <c r="N500" s="16"/>
      <c r="O500" s="16"/>
      <c r="P500" s="9"/>
      <c r="Q500" s="9"/>
      <c r="R500" s="9"/>
      <c r="S500" s="9"/>
      <c r="T500" s="9"/>
      <c r="U500" s="9"/>
      <c r="V500" s="9"/>
      <c r="W500" s="9"/>
      <c r="X500" s="16"/>
      <c r="Y500" s="16"/>
      <c r="Z500" s="16"/>
      <c r="AA500" s="16"/>
      <c r="AB500" s="9"/>
      <c r="AP500" s="9"/>
      <c r="AQ500" s="9"/>
      <c r="AR500" s="16"/>
      <c r="AS500" s="9"/>
    </row>
    <row r="501" spans="7:45" x14ac:dyDescent="0.25">
      <c r="G501" s="9"/>
      <c r="H501" s="9"/>
      <c r="I501" s="9"/>
      <c r="J501" s="9"/>
      <c r="K501" s="9"/>
      <c r="L501" s="9"/>
      <c r="M501" s="16"/>
      <c r="N501" s="16"/>
      <c r="O501" s="16"/>
      <c r="P501" s="9"/>
      <c r="Q501" s="9"/>
      <c r="R501" s="9"/>
      <c r="S501" s="9"/>
      <c r="T501" s="9"/>
      <c r="U501" s="9"/>
      <c r="V501" s="9"/>
      <c r="W501" s="9"/>
      <c r="X501" s="16"/>
      <c r="Y501" s="16"/>
      <c r="Z501" s="16"/>
      <c r="AA501" s="16"/>
      <c r="AB501" s="9"/>
      <c r="AP501" s="9"/>
      <c r="AQ501" s="9"/>
      <c r="AR501" s="16"/>
      <c r="AS501" s="9"/>
    </row>
    <row r="502" spans="7:45" x14ac:dyDescent="0.25">
      <c r="G502" s="9"/>
      <c r="H502" s="9"/>
      <c r="I502" s="9"/>
      <c r="J502" s="9"/>
      <c r="K502" s="9"/>
      <c r="L502" s="9"/>
      <c r="M502" s="16"/>
      <c r="N502" s="16"/>
      <c r="O502" s="16"/>
      <c r="P502" s="9"/>
      <c r="Q502" s="9"/>
      <c r="R502" s="9"/>
      <c r="S502" s="9"/>
      <c r="T502" s="9"/>
      <c r="U502" s="9"/>
      <c r="V502" s="9"/>
      <c r="W502" s="9"/>
      <c r="X502" s="16"/>
      <c r="Y502" s="16"/>
      <c r="Z502" s="16"/>
      <c r="AA502" s="16"/>
      <c r="AB502" s="9"/>
      <c r="AP502" s="9"/>
      <c r="AQ502" s="9"/>
      <c r="AR502" s="16"/>
      <c r="AS502" s="9"/>
    </row>
    <row r="503" spans="7:45" x14ac:dyDescent="0.25">
      <c r="G503" s="9"/>
      <c r="H503" s="9"/>
      <c r="I503" s="9"/>
      <c r="J503" s="9"/>
      <c r="K503" s="9"/>
      <c r="L503" s="9"/>
      <c r="M503" s="16"/>
      <c r="N503" s="16"/>
      <c r="O503" s="16"/>
      <c r="P503" s="9"/>
      <c r="Q503" s="9"/>
      <c r="R503" s="9"/>
      <c r="S503" s="9"/>
      <c r="T503" s="9"/>
      <c r="U503" s="9"/>
      <c r="V503" s="9"/>
      <c r="W503" s="9"/>
      <c r="X503" s="16"/>
      <c r="Y503" s="16"/>
      <c r="Z503" s="16"/>
      <c r="AA503" s="16"/>
      <c r="AB503" s="9"/>
      <c r="AP503" s="9"/>
      <c r="AQ503" s="9"/>
      <c r="AR503" s="16"/>
      <c r="AS503" s="9"/>
    </row>
    <row r="504" spans="7:45" x14ac:dyDescent="0.25">
      <c r="G504" s="9"/>
      <c r="H504" s="9"/>
      <c r="I504" s="9"/>
      <c r="J504" s="9"/>
      <c r="K504" s="9"/>
      <c r="L504" s="9"/>
      <c r="M504" s="16"/>
      <c r="N504" s="16"/>
      <c r="O504" s="16"/>
      <c r="P504" s="9"/>
      <c r="Q504" s="9"/>
      <c r="R504" s="9"/>
      <c r="S504" s="9"/>
      <c r="T504" s="9"/>
      <c r="U504" s="9"/>
      <c r="V504" s="9"/>
      <c r="W504" s="9"/>
      <c r="X504" s="16"/>
      <c r="Y504" s="16"/>
      <c r="Z504" s="16"/>
      <c r="AA504" s="16"/>
      <c r="AB504" s="9"/>
      <c r="AP504" s="9"/>
      <c r="AQ504" s="9"/>
      <c r="AR504" s="16"/>
      <c r="AS504" s="9"/>
    </row>
  </sheetData>
  <mergeCells count="3">
    <mergeCell ref="AR4:AT4"/>
    <mergeCell ref="G4:J4"/>
    <mergeCell ref="R4:U4"/>
  </mergeCells>
  <pageMargins left="0.75" right="0.75" top="0.75" bottom="0.75" header="0.5" footer="0.5"/>
  <pageSetup scale="51" orientation="landscape" r:id="rId1"/>
  <headerFooter alignWithMargins="0">
    <oddFooter>&amp;L&amp;D &amp;T&amp;R&amp;P</oddFooter>
  </headerFooter>
  <rowBreaks count="4" manualBreakCount="4">
    <brk id="70" max="16383" man="1"/>
    <brk id="98" max="16383" man="1"/>
    <brk id="134" max="16383" man="1"/>
    <brk id="172" max="40" man="1"/>
  </rowBreaks>
  <colBreaks count="3" manualBreakCount="3">
    <brk id="17" max="1048575" man="1"/>
    <brk id="28" max="296" man="1"/>
    <brk id="41" max="296" man="1"/>
  </colBreaks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D6" sqref="D6"/>
    </sheetView>
  </sheetViews>
  <sheetFormatPr defaultRowHeight="13.2" x14ac:dyDescent="0.25"/>
  <cols>
    <col min="1" max="1" width="34.109375" customWidth="1"/>
    <col min="2" max="2" width="4.5546875" customWidth="1"/>
    <col min="4" max="4" width="8.44140625" bestFit="1" customWidth="1"/>
    <col min="5" max="5" width="13.88671875" bestFit="1" customWidth="1"/>
  </cols>
  <sheetData>
    <row r="1" spans="1:10" x14ac:dyDescent="0.25">
      <c r="A1" s="430" t="s">
        <v>620</v>
      </c>
      <c r="B1" s="359"/>
      <c r="C1" s="359"/>
      <c r="D1" s="359"/>
      <c r="E1" s="359"/>
      <c r="F1" s="359"/>
      <c r="G1" s="359"/>
      <c r="H1" s="359"/>
      <c r="I1" s="359"/>
      <c r="J1" s="359"/>
    </row>
    <row r="2" spans="1:10" x14ac:dyDescent="0.25">
      <c r="A2" s="359"/>
      <c r="B2" s="359"/>
      <c r="C2" s="359"/>
      <c r="D2" s="359"/>
      <c r="E2" s="359"/>
      <c r="F2" s="359"/>
      <c r="G2" s="359"/>
      <c r="H2" s="359"/>
      <c r="I2" s="359"/>
      <c r="J2" s="359"/>
    </row>
    <row r="3" spans="1:10" s="1" customFormat="1" x14ac:dyDescent="0.25">
      <c r="A3" s="364" t="s">
        <v>615</v>
      </c>
      <c r="B3" s="364"/>
      <c r="C3" s="364" t="s">
        <v>622</v>
      </c>
      <c r="D3" s="364"/>
      <c r="E3" s="364" t="s">
        <v>623</v>
      </c>
      <c r="F3" s="364"/>
      <c r="G3" s="363"/>
      <c r="H3" s="364"/>
      <c r="I3" s="364"/>
      <c r="J3" s="364"/>
    </row>
    <row r="4" spans="1:10" x14ac:dyDescent="0.25">
      <c r="A4" s="359" t="s">
        <v>631</v>
      </c>
      <c r="B4" s="359"/>
      <c r="C4" s="440">
        <v>9.9201789999999992</v>
      </c>
      <c r="D4" s="359"/>
      <c r="E4" s="439">
        <v>243.0443855</v>
      </c>
      <c r="F4" s="359"/>
      <c r="G4" s="363"/>
      <c r="H4" s="359"/>
      <c r="I4" s="359"/>
      <c r="J4" s="359"/>
    </row>
    <row r="5" spans="1:10" x14ac:dyDescent="0.25">
      <c r="A5" s="359" t="s">
        <v>624</v>
      </c>
      <c r="B5" s="359"/>
      <c r="C5" s="440">
        <v>7.4064209999999999</v>
      </c>
      <c r="D5" s="359"/>
      <c r="E5" s="439">
        <v>181.4573145</v>
      </c>
      <c r="F5" s="359"/>
      <c r="G5" s="363"/>
      <c r="H5" s="359"/>
      <c r="I5" s="359"/>
      <c r="J5" s="359"/>
    </row>
    <row r="6" spans="1:10" x14ac:dyDescent="0.25">
      <c r="A6" s="359" t="s">
        <v>625</v>
      </c>
      <c r="B6" s="359"/>
      <c r="C6" s="440">
        <v>6.3252050000000004</v>
      </c>
      <c r="D6" s="359"/>
      <c r="E6" s="439">
        <v>154.9675225</v>
      </c>
      <c r="F6" s="359"/>
      <c r="G6" s="363"/>
      <c r="H6" s="359"/>
      <c r="I6" s="359"/>
      <c r="J6" s="359"/>
    </row>
    <row r="7" spans="1:10" x14ac:dyDescent="0.25">
      <c r="A7" s="359" t="s">
        <v>626</v>
      </c>
      <c r="B7" s="359"/>
      <c r="C7" s="440">
        <v>5.0629749999999998</v>
      </c>
      <c r="D7" s="359"/>
      <c r="E7" s="439">
        <v>124.04288750000001</v>
      </c>
      <c r="F7" s="359"/>
      <c r="G7" s="363"/>
      <c r="H7" s="359"/>
      <c r="I7" s="359"/>
      <c r="J7" s="359"/>
    </row>
    <row r="8" spans="1:10" x14ac:dyDescent="0.25">
      <c r="A8" s="359" t="s">
        <v>627</v>
      </c>
      <c r="B8" s="359"/>
      <c r="C8" s="440">
        <v>4.3960610000000004</v>
      </c>
      <c r="D8" s="359"/>
      <c r="E8" s="439">
        <v>107.70349450000001</v>
      </c>
      <c r="F8" s="359"/>
      <c r="G8" s="363"/>
      <c r="H8" s="359"/>
      <c r="I8" s="359"/>
      <c r="J8" s="359"/>
    </row>
    <row r="9" spans="1:10" x14ac:dyDescent="0.25">
      <c r="A9" s="359" t="s">
        <v>633</v>
      </c>
      <c r="B9" s="359"/>
      <c r="C9" s="440">
        <v>3.4996</v>
      </c>
      <c r="D9" s="359"/>
      <c r="E9" s="439">
        <v>85.740200000000002</v>
      </c>
      <c r="F9" s="359"/>
      <c r="G9" s="363"/>
      <c r="H9" s="359"/>
      <c r="I9" s="359"/>
      <c r="J9" s="359"/>
    </row>
    <row r="10" spans="1:10" x14ac:dyDescent="0.25">
      <c r="A10" s="359" t="s">
        <v>628</v>
      </c>
      <c r="B10" s="359"/>
      <c r="C10" s="440">
        <v>3.4750000000000001</v>
      </c>
      <c r="D10" s="359"/>
      <c r="E10" s="439">
        <v>85.137500000000003</v>
      </c>
      <c r="F10" s="359"/>
      <c r="G10" s="363"/>
      <c r="H10" s="359"/>
      <c r="I10" s="359"/>
      <c r="J10" s="359"/>
    </row>
    <row r="11" spans="1:10" x14ac:dyDescent="0.25">
      <c r="A11" s="359" t="s">
        <v>632</v>
      </c>
      <c r="B11" s="359"/>
      <c r="C11" s="440">
        <v>3.3990779999999998</v>
      </c>
      <c r="D11" s="359"/>
      <c r="E11" s="439">
        <v>83.277411000000001</v>
      </c>
      <c r="F11" s="359"/>
      <c r="G11" s="363"/>
      <c r="H11" s="359"/>
      <c r="I11" s="359"/>
      <c r="J11" s="359"/>
    </row>
    <row r="12" spans="1:10" x14ac:dyDescent="0.25">
      <c r="A12" s="359" t="s">
        <v>629</v>
      </c>
      <c r="B12" s="359"/>
      <c r="C12" s="440">
        <v>3.3477190000000001</v>
      </c>
      <c r="D12" s="359"/>
      <c r="E12" s="439">
        <v>82.019115499999998</v>
      </c>
      <c r="F12" s="359"/>
      <c r="G12" s="363"/>
      <c r="H12" s="359"/>
      <c r="I12" s="359"/>
      <c r="J12" s="359"/>
    </row>
    <row r="13" spans="1:10" x14ac:dyDescent="0.25">
      <c r="A13" s="359" t="s">
        <v>630</v>
      </c>
      <c r="B13" s="359"/>
      <c r="C13" s="440">
        <v>3.1719750000000002</v>
      </c>
      <c r="D13" s="359"/>
      <c r="E13" s="439">
        <v>77.713387499999996</v>
      </c>
      <c r="F13" s="359"/>
      <c r="G13" s="363"/>
      <c r="H13" s="359"/>
      <c r="I13" s="359"/>
      <c r="J13" s="359"/>
    </row>
    <row r="14" spans="1:10" x14ac:dyDescent="0.25">
      <c r="A14" s="359"/>
      <c r="B14" s="359"/>
      <c r="C14" s="359"/>
      <c r="D14" s="359"/>
      <c r="E14" s="433"/>
      <c r="F14" s="359"/>
      <c r="G14" s="359"/>
      <c r="H14" s="359"/>
      <c r="I14" s="359"/>
      <c r="J14" s="359"/>
    </row>
    <row r="15" spans="1:10" x14ac:dyDescent="0.25">
      <c r="A15" s="359"/>
      <c r="B15" s="359"/>
      <c r="C15" s="359"/>
      <c r="D15" s="359"/>
      <c r="E15" s="433"/>
      <c r="F15" s="359"/>
      <c r="G15" s="359"/>
      <c r="H15" s="359"/>
      <c r="I15" s="359"/>
      <c r="J15" s="359"/>
    </row>
    <row r="16" spans="1:10" s="1" customFormat="1" x14ac:dyDescent="0.25">
      <c r="A16" s="364" t="s">
        <v>616</v>
      </c>
      <c r="B16" s="364"/>
      <c r="C16" s="364" t="s">
        <v>617</v>
      </c>
      <c r="D16" s="364"/>
      <c r="E16" s="434"/>
      <c r="F16" s="364"/>
      <c r="G16" s="364"/>
      <c r="H16" s="364"/>
      <c r="I16" s="364"/>
      <c r="J16" s="364"/>
    </row>
    <row r="17" spans="1:10" x14ac:dyDescent="0.25">
      <c r="A17" s="359" t="s">
        <v>583</v>
      </c>
      <c r="B17" s="359"/>
      <c r="C17" s="359" t="s">
        <v>600</v>
      </c>
      <c r="D17" s="359"/>
      <c r="E17" s="359"/>
      <c r="F17" s="359"/>
      <c r="G17" s="359"/>
      <c r="H17" s="359"/>
      <c r="I17" s="359"/>
      <c r="J17" s="359"/>
    </row>
    <row r="18" spans="1:10" x14ac:dyDescent="0.25">
      <c r="A18" s="359" t="s">
        <v>584</v>
      </c>
      <c r="B18" s="359"/>
      <c r="C18" s="359" t="s">
        <v>601</v>
      </c>
      <c r="D18" s="359"/>
      <c r="E18" s="359"/>
      <c r="F18" s="359"/>
      <c r="G18" s="359"/>
      <c r="H18" s="359"/>
      <c r="I18" s="359"/>
      <c r="J18" s="359"/>
    </row>
    <row r="19" spans="1:10" x14ac:dyDescent="0.25">
      <c r="A19" s="359" t="s">
        <v>585</v>
      </c>
      <c r="B19" s="359"/>
      <c r="C19" s="359" t="s">
        <v>602</v>
      </c>
      <c r="D19" s="359"/>
      <c r="E19" s="359"/>
      <c r="F19" s="359"/>
      <c r="G19" s="359"/>
      <c r="H19" s="359"/>
      <c r="I19" s="359"/>
      <c r="J19" s="359"/>
    </row>
    <row r="20" spans="1:10" x14ac:dyDescent="0.25">
      <c r="A20" s="359" t="s">
        <v>586</v>
      </c>
      <c r="B20" s="359"/>
      <c r="C20" s="359" t="s">
        <v>603</v>
      </c>
      <c r="D20" s="359"/>
      <c r="E20" s="359"/>
      <c r="F20" s="359"/>
      <c r="G20" s="359"/>
      <c r="H20" s="359"/>
      <c r="I20" s="359"/>
      <c r="J20" s="359"/>
    </row>
    <row r="21" spans="1:10" x14ac:dyDescent="0.25">
      <c r="A21" s="359" t="s">
        <v>599</v>
      </c>
      <c r="B21" s="359"/>
      <c r="C21" s="359" t="s">
        <v>604</v>
      </c>
      <c r="D21" s="359"/>
      <c r="E21" s="359"/>
      <c r="F21" s="359"/>
      <c r="G21" s="359"/>
      <c r="H21" s="359"/>
      <c r="I21" s="359"/>
      <c r="J21" s="359"/>
    </row>
    <row r="22" spans="1:10" x14ac:dyDescent="0.25">
      <c r="A22" s="359" t="s">
        <v>587</v>
      </c>
      <c r="B22" s="359"/>
      <c r="C22" s="359" t="s">
        <v>621</v>
      </c>
      <c r="D22" s="359"/>
      <c r="E22" s="359"/>
      <c r="F22" s="359"/>
      <c r="G22" s="359"/>
      <c r="H22" s="359"/>
      <c r="I22" s="359"/>
      <c r="J22" s="359"/>
    </row>
    <row r="23" spans="1:10" x14ac:dyDescent="0.25">
      <c r="A23" s="359" t="s">
        <v>588</v>
      </c>
      <c r="B23" s="359"/>
      <c r="C23" s="359" t="s">
        <v>605</v>
      </c>
      <c r="D23" s="359"/>
      <c r="E23" s="359"/>
      <c r="F23" s="359"/>
      <c r="G23" s="359"/>
      <c r="H23" s="359"/>
      <c r="I23" s="359"/>
      <c r="J23" s="359"/>
    </row>
    <row r="24" spans="1:10" x14ac:dyDescent="0.25">
      <c r="A24" s="359" t="s">
        <v>589</v>
      </c>
      <c r="B24" s="359"/>
      <c r="C24" s="359" t="s">
        <v>606</v>
      </c>
      <c r="D24" s="359"/>
      <c r="E24" s="359"/>
      <c r="F24" s="359"/>
      <c r="G24" s="359"/>
      <c r="H24" s="359"/>
      <c r="I24" s="359"/>
      <c r="J24" s="359"/>
    </row>
    <row r="25" spans="1:10" x14ac:dyDescent="0.25">
      <c r="A25" s="359" t="s">
        <v>590</v>
      </c>
      <c r="B25" s="359"/>
      <c r="C25" s="359" t="s">
        <v>607</v>
      </c>
      <c r="D25" s="359"/>
      <c r="E25" s="359"/>
      <c r="F25" s="359"/>
      <c r="G25" s="359"/>
      <c r="H25" s="359"/>
      <c r="I25" s="359"/>
      <c r="J25" s="359"/>
    </row>
    <row r="26" spans="1:10" x14ac:dyDescent="0.25">
      <c r="A26" s="359" t="s">
        <v>591</v>
      </c>
      <c r="B26" s="359"/>
      <c r="C26" s="359" t="s">
        <v>608</v>
      </c>
      <c r="D26" s="359"/>
      <c r="E26" s="359"/>
      <c r="F26" s="359"/>
      <c r="G26" s="359"/>
      <c r="H26" s="359"/>
      <c r="I26" s="359"/>
      <c r="J26" s="359"/>
    </row>
    <row r="27" spans="1:10" x14ac:dyDescent="0.25">
      <c r="A27" s="359" t="s">
        <v>592</v>
      </c>
      <c r="B27" s="359"/>
      <c r="C27" s="359" t="s">
        <v>607</v>
      </c>
      <c r="D27" s="359"/>
      <c r="E27" s="359"/>
      <c r="F27" s="359"/>
      <c r="G27" s="359"/>
      <c r="H27" s="359"/>
      <c r="I27" s="359"/>
      <c r="J27" s="359"/>
    </row>
    <row r="28" spans="1:10" x14ac:dyDescent="0.25">
      <c r="A28" s="359" t="s">
        <v>593</v>
      </c>
      <c r="B28" s="359"/>
      <c r="C28" s="359" t="s">
        <v>609</v>
      </c>
      <c r="D28" s="359"/>
      <c r="E28" s="359"/>
      <c r="F28" s="359"/>
      <c r="G28" s="359"/>
      <c r="H28" s="359"/>
      <c r="I28" s="359"/>
      <c r="J28" s="359"/>
    </row>
    <row r="29" spans="1:10" x14ac:dyDescent="0.25">
      <c r="A29" s="359" t="s">
        <v>594</v>
      </c>
      <c r="B29" s="359"/>
      <c r="C29" s="359" t="s">
        <v>610</v>
      </c>
      <c r="D29" s="359"/>
      <c r="E29" s="359"/>
      <c r="F29" s="359"/>
      <c r="G29" s="359"/>
      <c r="H29" s="359"/>
      <c r="I29" s="359"/>
      <c r="J29" s="359"/>
    </row>
    <row r="30" spans="1:10" x14ac:dyDescent="0.25">
      <c r="A30" s="359" t="s">
        <v>595</v>
      </c>
      <c r="B30" s="359"/>
      <c r="C30" s="359" t="s">
        <v>611</v>
      </c>
      <c r="D30" s="359"/>
      <c r="E30" s="359"/>
      <c r="F30" s="359"/>
      <c r="G30" s="359"/>
      <c r="H30" s="359"/>
      <c r="I30" s="359"/>
      <c r="J30" s="359"/>
    </row>
    <row r="31" spans="1:10" x14ac:dyDescent="0.25">
      <c r="A31" s="359" t="s">
        <v>596</v>
      </c>
      <c r="B31" s="359"/>
      <c r="C31" s="359" t="s">
        <v>612</v>
      </c>
      <c r="D31" s="359"/>
      <c r="E31" s="359"/>
      <c r="F31" s="359"/>
      <c r="G31" s="359"/>
      <c r="H31" s="359"/>
      <c r="I31" s="359"/>
      <c r="J31" s="359"/>
    </row>
    <row r="32" spans="1:10" x14ac:dyDescent="0.25">
      <c r="A32" s="359" t="s">
        <v>597</v>
      </c>
      <c r="B32" s="359"/>
      <c r="C32" s="359" t="s">
        <v>613</v>
      </c>
      <c r="D32" s="359"/>
      <c r="E32" s="359"/>
      <c r="F32" s="359"/>
      <c r="G32" s="359"/>
      <c r="H32" s="359"/>
      <c r="I32" s="359"/>
      <c r="J32" s="359"/>
    </row>
    <row r="33" spans="1:10" x14ac:dyDescent="0.25">
      <c r="A33" s="359" t="s">
        <v>598</v>
      </c>
      <c r="B33" s="359"/>
      <c r="C33" s="359" t="s">
        <v>614</v>
      </c>
      <c r="D33" s="359"/>
      <c r="E33" s="359"/>
      <c r="F33" s="359"/>
      <c r="G33" s="359"/>
      <c r="H33" s="359"/>
      <c r="I33" s="359"/>
      <c r="J33" s="359"/>
    </row>
    <row r="34" spans="1:10" x14ac:dyDescent="0.25">
      <c r="A34" s="359"/>
      <c r="B34" s="359"/>
      <c r="C34" s="359"/>
      <c r="D34" s="359"/>
      <c r="E34" s="359"/>
      <c r="F34" s="359"/>
      <c r="G34" s="359"/>
      <c r="H34" s="359"/>
      <c r="I34" s="359"/>
      <c r="J34" s="359"/>
    </row>
    <row r="51" spans="1:5" x14ac:dyDescent="0.25">
      <c r="A51" s="359" t="s">
        <v>573</v>
      </c>
      <c r="B51" s="359"/>
      <c r="C51" s="433">
        <v>3155000</v>
      </c>
      <c r="D51" s="359"/>
      <c r="E51" s="431">
        <f>+C51*'Corp I-S&amp;B-S'!$D$54</f>
        <v>67635312.5</v>
      </c>
    </row>
    <row r="52" spans="1:5" x14ac:dyDescent="0.25">
      <c r="A52" s="359"/>
      <c r="B52" s="359"/>
      <c r="C52" s="359"/>
      <c r="D52" s="359"/>
      <c r="E52" s="359"/>
    </row>
    <row r="53" spans="1:5" x14ac:dyDescent="0.25">
      <c r="A53" s="359" t="s">
        <v>574</v>
      </c>
      <c r="B53" s="359"/>
      <c r="C53" s="433">
        <v>2616885</v>
      </c>
      <c r="D53" s="359"/>
      <c r="E53" s="431">
        <f>+C53*'Corp I-S&amp;B-S'!$D$54</f>
        <v>56099472.1875</v>
      </c>
    </row>
    <row r="54" spans="1:5" x14ac:dyDescent="0.25">
      <c r="A54" s="359"/>
      <c r="B54" s="359"/>
      <c r="C54" s="359"/>
      <c r="D54" s="359"/>
      <c r="E54" s="359"/>
    </row>
    <row r="55" spans="1:5" x14ac:dyDescent="0.25">
      <c r="A55" s="359" t="s">
        <v>575</v>
      </c>
      <c r="B55" s="359"/>
      <c r="C55" s="433">
        <v>2494100</v>
      </c>
      <c r="D55" s="359"/>
      <c r="E55" s="431">
        <f>+C55*'Corp I-S&amp;B-S'!$D$54</f>
        <v>53467268.75</v>
      </c>
    </row>
    <row r="56" spans="1:5" x14ac:dyDescent="0.25">
      <c r="A56" s="359"/>
      <c r="B56" s="359"/>
      <c r="C56" s="359"/>
      <c r="D56" s="359"/>
      <c r="E56" s="359"/>
    </row>
    <row r="57" spans="1:5" x14ac:dyDescent="0.25">
      <c r="A57" s="359" t="s">
        <v>576</v>
      </c>
      <c r="B57" s="359"/>
      <c r="C57" s="433">
        <v>2400000</v>
      </c>
      <c r="D57" s="359"/>
      <c r="E57" s="431">
        <f>+C57*'Corp I-S&amp;B-S'!$D$54</f>
        <v>51450000</v>
      </c>
    </row>
    <row r="58" spans="1:5" x14ac:dyDescent="0.25">
      <c r="A58" s="359"/>
      <c r="B58" s="359"/>
      <c r="C58" s="359"/>
      <c r="D58" s="359"/>
      <c r="E58" s="359"/>
    </row>
    <row r="59" spans="1:5" x14ac:dyDescent="0.25">
      <c r="A59" s="359" t="s">
        <v>577</v>
      </c>
      <c r="B59" s="359"/>
      <c r="C59" s="433">
        <v>2326600</v>
      </c>
      <c r="D59" s="359"/>
      <c r="E59" s="431">
        <f>+C59*'Corp I-S&amp;B-S'!$D$54</f>
        <v>49876487.5</v>
      </c>
    </row>
    <row r="60" spans="1:5" x14ac:dyDescent="0.25">
      <c r="A60" s="359"/>
      <c r="B60" s="359"/>
      <c r="C60" s="359"/>
      <c r="D60" s="359"/>
      <c r="E60" s="359"/>
    </row>
    <row r="61" spans="1:5" x14ac:dyDescent="0.25">
      <c r="A61" s="359" t="s">
        <v>578</v>
      </c>
      <c r="B61" s="359"/>
      <c r="C61" s="433">
        <v>2073398</v>
      </c>
      <c r="D61" s="359"/>
      <c r="E61" s="431">
        <f>+C61*'Corp I-S&amp;B-S'!$D$54</f>
        <v>44448469.625</v>
      </c>
    </row>
    <row r="62" spans="1:5" x14ac:dyDescent="0.25">
      <c r="A62" s="359"/>
      <c r="B62" s="359"/>
      <c r="C62" s="359"/>
      <c r="D62" s="359"/>
      <c r="E62" s="359"/>
    </row>
    <row r="63" spans="1:5" x14ac:dyDescent="0.25">
      <c r="A63" s="359" t="s">
        <v>579</v>
      </c>
      <c r="B63" s="359"/>
      <c r="C63" s="433">
        <v>2059800</v>
      </c>
      <c r="D63" s="359"/>
      <c r="E63" s="431">
        <f>+C63*'Corp I-S&amp;B-S'!$D$54</f>
        <v>44156962.5</v>
      </c>
    </row>
    <row r="64" spans="1:5" x14ac:dyDescent="0.25">
      <c r="A64" s="359"/>
      <c r="B64" s="359"/>
      <c r="C64" s="359"/>
      <c r="D64" s="359"/>
      <c r="E64" s="359"/>
    </row>
    <row r="65" spans="1:5" x14ac:dyDescent="0.25">
      <c r="A65" s="359" t="s">
        <v>580</v>
      </c>
      <c r="B65" s="359"/>
      <c r="C65" s="433">
        <v>2000000</v>
      </c>
      <c r="D65" s="359"/>
      <c r="E65" s="431">
        <f>+C65*'Corp I-S&amp;B-S'!$D$54</f>
        <v>42875000</v>
      </c>
    </row>
    <row r="66" spans="1:5" x14ac:dyDescent="0.25">
      <c r="A66" s="359"/>
      <c r="B66" s="359"/>
      <c r="C66" s="359"/>
      <c r="D66" s="359"/>
      <c r="E66" s="359"/>
    </row>
    <row r="67" spans="1:5" x14ac:dyDescent="0.25">
      <c r="A67" s="359" t="s">
        <v>581</v>
      </c>
      <c r="B67" s="359"/>
      <c r="C67" s="433">
        <v>2000000</v>
      </c>
      <c r="D67" s="359"/>
      <c r="E67" s="431">
        <f>+C67*'Corp I-S&amp;B-S'!$D$54</f>
        <v>42875000</v>
      </c>
    </row>
    <row r="68" spans="1:5" x14ac:dyDescent="0.25">
      <c r="A68" s="359"/>
      <c r="B68" s="359"/>
      <c r="C68" s="359"/>
      <c r="D68" s="359"/>
      <c r="E68" s="359"/>
    </row>
    <row r="69" spans="1:5" x14ac:dyDescent="0.25">
      <c r="A69" s="359" t="s">
        <v>582</v>
      </c>
      <c r="B69" s="359"/>
      <c r="C69" s="433">
        <v>1305004</v>
      </c>
      <c r="D69" s="359"/>
      <c r="E69" s="431">
        <f>+C69*'Corp I-S&amp;B-S'!$D$54</f>
        <v>27976023.25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12"/>
  <sheetViews>
    <sheetView zoomScale="75" workbookViewId="0"/>
  </sheetViews>
  <sheetFormatPr defaultRowHeight="13.2" x14ac:dyDescent="0.25"/>
  <cols>
    <col min="2" max="2" width="32.33203125" bestFit="1" customWidth="1"/>
    <col min="3" max="5" width="7.44140625" customWidth="1"/>
    <col min="7" max="7" width="8.6640625" customWidth="1"/>
    <col min="8" max="9" width="7.44140625" customWidth="1"/>
    <col min="10" max="11" width="9.33203125" customWidth="1"/>
    <col min="12" max="12" width="11.33203125" customWidth="1"/>
    <col min="13" max="13" width="7.44140625" customWidth="1"/>
    <col min="14" max="14" width="8.44140625" customWidth="1"/>
    <col min="15" max="15" width="9" customWidth="1"/>
    <col min="16" max="16" width="8.6640625" customWidth="1"/>
  </cols>
  <sheetData>
    <row r="1" spans="2:18" x14ac:dyDescent="0.25">
      <c r="B1" s="249" t="s">
        <v>469</v>
      </c>
    </row>
    <row r="2" spans="2:18" x14ac:dyDescent="0.25">
      <c r="C2" s="20"/>
      <c r="D2" s="20" t="s">
        <v>379</v>
      </c>
      <c r="E2" s="20"/>
      <c r="F2" s="20"/>
      <c r="G2" s="20"/>
      <c r="H2" s="20"/>
      <c r="I2" s="20"/>
      <c r="J2" s="20"/>
      <c r="K2" s="20"/>
      <c r="L2" s="20"/>
      <c r="M2" s="153"/>
      <c r="N2" s="20"/>
      <c r="O2" s="20" t="s">
        <v>366</v>
      </c>
      <c r="P2" s="20" t="s">
        <v>367</v>
      </c>
      <c r="Q2" s="20"/>
      <c r="R2" s="20"/>
    </row>
    <row r="3" spans="2:18" x14ac:dyDescent="0.25">
      <c r="C3" s="20" t="s">
        <v>378</v>
      </c>
      <c r="D3" s="20" t="s">
        <v>44</v>
      </c>
      <c r="E3" s="20" t="s">
        <v>380</v>
      </c>
      <c r="F3" s="20" t="s">
        <v>94</v>
      </c>
      <c r="G3" s="20"/>
      <c r="H3" s="20"/>
      <c r="I3" s="20" t="s">
        <v>362</v>
      </c>
      <c r="J3" s="20" t="s">
        <v>24</v>
      </c>
      <c r="K3" s="20" t="s">
        <v>23</v>
      </c>
      <c r="L3" s="20"/>
      <c r="M3" s="153"/>
      <c r="N3" s="20" t="s">
        <v>365</v>
      </c>
      <c r="O3" s="20" t="s">
        <v>115</v>
      </c>
      <c r="P3" s="20" t="s">
        <v>368</v>
      </c>
      <c r="Q3" s="20"/>
      <c r="R3" s="20"/>
    </row>
    <row r="4" spans="2:18" ht="13.8" thickBot="1" x14ac:dyDescent="0.3">
      <c r="B4" s="57" t="s">
        <v>360</v>
      </c>
      <c r="C4" s="264" t="s">
        <v>48</v>
      </c>
      <c r="D4" s="264" t="s">
        <v>53</v>
      </c>
      <c r="E4" s="264" t="s">
        <v>53</v>
      </c>
      <c r="F4" s="264" t="s">
        <v>14</v>
      </c>
      <c r="G4" s="264" t="s">
        <v>141</v>
      </c>
      <c r="H4" s="264" t="s">
        <v>135</v>
      </c>
      <c r="I4" s="264" t="s">
        <v>53</v>
      </c>
      <c r="J4" s="264" t="s">
        <v>14</v>
      </c>
      <c r="K4" s="264" t="s">
        <v>14</v>
      </c>
      <c r="L4" s="264" t="s">
        <v>363</v>
      </c>
      <c r="M4" s="265" t="s">
        <v>364</v>
      </c>
      <c r="N4" s="264" t="s">
        <v>14</v>
      </c>
      <c r="O4" s="264" t="s">
        <v>136</v>
      </c>
      <c r="P4" s="264" t="s">
        <v>136</v>
      </c>
      <c r="Q4" s="264"/>
      <c r="R4" s="264"/>
    </row>
    <row r="5" spans="2:18" x14ac:dyDescent="0.25">
      <c r="B5" t="s">
        <v>361</v>
      </c>
      <c r="C5" s="25">
        <v>33</v>
      </c>
      <c r="D5" s="259">
        <v>3790</v>
      </c>
      <c r="E5" s="259">
        <v>6538</v>
      </c>
      <c r="F5" s="260">
        <v>12.9</v>
      </c>
      <c r="G5" s="260">
        <v>12.7</v>
      </c>
      <c r="H5" s="260">
        <v>12.1</v>
      </c>
      <c r="I5" s="260">
        <v>2.1</v>
      </c>
      <c r="J5" s="260">
        <v>7.1</v>
      </c>
      <c r="K5" s="260">
        <v>10</v>
      </c>
      <c r="L5" s="261">
        <v>5.1999999999999998E-2</v>
      </c>
      <c r="M5" s="262">
        <v>0.67400000000000004</v>
      </c>
      <c r="N5" s="6" t="s">
        <v>376</v>
      </c>
      <c r="O5" s="262">
        <v>3.7999999999999999E-2</v>
      </c>
      <c r="P5" s="262">
        <v>-2.4E-2</v>
      </c>
    </row>
    <row r="6" spans="2:18" x14ac:dyDescent="0.25">
      <c r="B6" t="s">
        <v>369</v>
      </c>
      <c r="C6" s="195">
        <v>38.25</v>
      </c>
      <c r="D6" s="197">
        <v>5248</v>
      </c>
      <c r="E6" s="197">
        <v>8007</v>
      </c>
      <c r="F6" s="263">
        <v>13</v>
      </c>
      <c r="G6" s="263">
        <v>12.9</v>
      </c>
      <c r="H6" s="263">
        <v>12.4</v>
      </c>
      <c r="I6" s="263">
        <v>1.7</v>
      </c>
      <c r="J6" s="263">
        <v>6.6</v>
      </c>
      <c r="K6" s="263">
        <v>9.3000000000000007</v>
      </c>
      <c r="L6" s="262">
        <v>6.6000000000000003E-2</v>
      </c>
      <c r="M6" s="262">
        <v>0.86299999999999999</v>
      </c>
      <c r="N6" s="6">
        <v>12.5</v>
      </c>
      <c r="O6" s="262">
        <v>2.7E-2</v>
      </c>
      <c r="P6" s="262">
        <v>0.02</v>
      </c>
    </row>
    <row r="7" spans="2:18" x14ac:dyDescent="0.25">
      <c r="B7" t="s">
        <v>370</v>
      </c>
      <c r="C7" s="195">
        <v>28.44</v>
      </c>
      <c r="D7" s="197">
        <v>4253</v>
      </c>
      <c r="E7" s="197">
        <v>7887</v>
      </c>
      <c r="F7" s="263">
        <v>11.3</v>
      </c>
      <c r="G7" s="263">
        <v>12</v>
      </c>
      <c r="H7" s="263">
        <v>11.6</v>
      </c>
      <c r="I7" s="263">
        <v>1.4</v>
      </c>
      <c r="J7" s="263">
        <v>6.8</v>
      </c>
      <c r="K7" s="263">
        <v>10</v>
      </c>
      <c r="L7" s="262">
        <v>6.2E-2</v>
      </c>
      <c r="M7" s="262">
        <v>0.66099999999999992</v>
      </c>
      <c r="N7" s="6">
        <v>11.9</v>
      </c>
      <c r="O7" s="262">
        <v>3.3000000000000002E-2</v>
      </c>
      <c r="P7" s="262">
        <v>0.14099999999999999</v>
      </c>
    </row>
    <row r="8" spans="2:18" x14ac:dyDescent="0.25">
      <c r="B8" t="s">
        <v>371</v>
      </c>
      <c r="C8" s="195">
        <v>17.809999999999999</v>
      </c>
      <c r="D8" s="197">
        <v>2837</v>
      </c>
      <c r="E8" s="197">
        <v>4209</v>
      </c>
      <c r="F8" s="263">
        <v>14.7</v>
      </c>
      <c r="G8" s="263">
        <v>13.3</v>
      </c>
      <c r="H8" s="263">
        <v>12.2</v>
      </c>
      <c r="I8" s="263">
        <v>2</v>
      </c>
      <c r="J8" s="263">
        <v>8.9</v>
      </c>
      <c r="K8" s="263">
        <v>13.7</v>
      </c>
      <c r="L8" s="262">
        <v>5.2999999999999999E-2</v>
      </c>
      <c r="M8" s="262">
        <v>0.77300000000000002</v>
      </c>
      <c r="N8" s="6">
        <v>14.1</v>
      </c>
      <c r="O8" s="262">
        <v>5.1999999999999998E-2</v>
      </c>
      <c r="P8" s="262">
        <v>3.9E-2</v>
      </c>
    </row>
    <row r="9" spans="2:18" x14ac:dyDescent="0.25">
      <c r="B9" t="s">
        <v>372</v>
      </c>
      <c r="C9" s="195">
        <v>37</v>
      </c>
      <c r="D9" s="197">
        <v>5367</v>
      </c>
      <c r="E9" s="197">
        <v>10252</v>
      </c>
      <c r="F9" s="263">
        <v>11.6</v>
      </c>
      <c r="G9" s="263">
        <v>11.5</v>
      </c>
      <c r="H9" s="263">
        <v>10.9</v>
      </c>
      <c r="I9" s="263">
        <v>1.4</v>
      </c>
      <c r="J9" s="263">
        <v>6.5</v>
      </c>
      <c r="K9" s="263">
        <v>11.6</v>
      </c>
      <c r="L9" s="262">
        <v>4.3999999999999997E-2</v>
      </c>
      <c r="M9" s="262">
        <v>0.32100000000000001</v>
      </c>
      <c r="N9" s="6">
        <v>12.5</v>
      </c>
      <c r="O9" s="262">
        <v>7.8E-2</v>
      </c>
      <c r="P9" s="262">
        <v>0.19699999999999998</v>
      </c>
    </row>
    <row r="10" spans="2:18" x14ac:dyDescent="0.25">
      <c r="B10" t="s">
        <v>374</v>
      </c>
      <c r="C10" s="195">
        <v>26.5</v>
      </c>
      <c r="D10" s="197">
        <v>4179</v>
      </c>
      <c r="E10" s="197">
        <v>8260</v>
      </c>
      <c r="F10" s="263">
        <v>10.3</v>
      </c>
      <c r="G10" s="263">
        <v>14</v>
      </c>
      <c r="H10" s="263">
        <v>13.4</v>
      </c>
      <c r="I10" s="263" t="s">
        <v>376</v>
      </c>
      <c r="J10" s="263">
        <v>6.8</v>
      </c>
      <c r="K10" s="263">
        <v>9.5</v>
      </c>
      <c r="L10" s="262">
        <v>8.2000000000000003E-2</v>
      </c>
      <c r="M10" s="262">
        <v>0.71299999999999997</v>
      </c>
      <c r="N10" s="6">
        <v>18.3</v>
      </c>
      <c r="O10" s="262">
        <v>4.3999999999999997E-2</v>
      </c>
      <c r="P10" s="262">
        <v>6.2E-2</v>
      </c>
    </row>
    <row r="11" spans="2:18" x14ac:dyDescent="0.25">
      <c r="B11" t="s">
        <v>375</v>
      </c>
      <c r="C11" s="195">
        <v>23.69</v>
      </c>
      <c r="D11" s="197">
        <v>2759</v>
      </c>
      <c r="E11" s="197">
        <v>4926</v>
      </c>
      <c r="F11" s="263">
        <v>14</v>
      </c>
      <c r="G11" s="263">
        <v>12.1</v>
      </c>
      <c r="H11" s="263">
        <v>11.3</v>
      </c>
      <c r="I11" s="263">
        <v>1.4</v>
      </c>
      <c r="J11" s="263">
        <v>7.8</v>
      </c>
      <c r="K11" s="263">
        <v>12.9</v>
      </c>
      <c r="L11" s="262">
        <v>6.3E-2</v>
      </c>
      <c r="M11" s="262">
        <v>1.0659999999999998</v>
      </c>
      <c r="N11" s="6" t="s">
        <v>376</v>
      </c>
      <c r="O11" s="262">
        <v>3.4000000000000002E-2</v>
      </c>
      <c r="P11" s="262" t="s">
        <v>377</v>
      </c>
    </row>
    <row r="12" spans="2:18" x14ac:dyDescent="0.25">
      <c r="C12" s="196"/>
      <c r="D12" s="198"/>
      <c r="E12" s="198"/>
      <c r="M12" s="152"/>
      <c r="P12" s="8"/>
    </row>
    <row r="13" spans="2:18" x14ac:dyDescent="0.25">
      <c r="C13" s="231" t="s">
        <v>381</v>
      </c>
      <c r="D13" s="230"/>
      <c r="E13" s="230"/>
      <c r="F13" s="266">
        <f t="shared" ref="F13:P13" si="0">MAX(F5:F11)</f>
        <v>14.7</v>
      </c>
      <c r="G13" s="266">
        <f t="shared" si="0"/>
        <v>14</v>
      </c>
      <c r="H13" s="266">
        <f t="shared" si="0"/>
        <v>13.4</v>
      </c>
      <c r="I13" s="266">
        <f t="shared" si="0"/>
        <v>2.1</v>
      </c>
      <c r="J13" s="266">
        <f t="shared" si="0"/>
        <v>8.9</v>
      </c>
      <c r="K13" s="266">
        <f t="shared" si="0"/>
        <v>13.7</v>
      </c>
      <c r="L13" s="267">
        <f t="shared" si="0"/>
        <v>8.2000000000000003E-2</v>
      </c>
      <c r="M13" s="268">
        <f t="shared" si="0"/>
        <v>1.0659999999999998</v>
      </c>
      <c r="N13" s="269">
        <f t="shared" si="0"/>
        <v>18.3</v>
      </c>
      <c r="O13" s="268">
        <f t="shared" si="0"/>
        <v>7.8E-2</v>
      </c>
      <c r="P13" s="268">
        <f t="shared" si="0"/>
        <v>0.19699999999999998</v>
      </c>
    </row>
    <row r="14" spans="2:18" x14ac:dyDescent="0.25">
      <c r="C14" s="232" t="s">
        <v>61</v>
      </c>
      <c r="D14" s="30"/>
      <c r="E14" s="30"/>
      <c r="F14" s="270">
        <f t="shared" ref="F14:P14" si="1">MEDIAN(F5:F11)</f>
        <v>12.9</v>
      </c>
      <c r="G14" s="270">
        <f t="shared" si="1"/>
        <v>12.7</v>
      </c>
      <c r="H14" s="270">
        <f t="shared" si="1"/>
        <v>12.1</v>
      </c>
      <c r="I14" s="270">
        <f t="shared" si="1"/>
        <v>1.5499999999999998</v>
      </c>
      <c r="J14" s="270">
        <f t="shared" si="1"/>
        <v>6.8</v>
      </c>
      <c r="K14" s="270">
        <f t="shared" si="1"/>
        <v>10</v>
      </c>
      <c r="L14" s="271">
        <f t="shared" si="1"/>
        <v>6.2E-2</v>
      </c>
      <c r="M14" s="271">
        <f t="shared" si="1"/>
        <v>0.71299999999999997</v>
      </c>
      <c r="N14" s="82">
        <f t="shared" si="1"/>
        <v>12.5</v>
      </c>
      <c r="O14" s="271">
        <f t="shared" si="1"/>
        <v>3.7999999999999999E-2</v>
      </c>
      <c r="P14" s="271">
        <f t="shared" si="1"/>
        <v>5.0500000000000003E-2</v>
      </c>
    </row>
    <row r="15" spans="2:18" x14ac:dyDescent="0.25">
      <c r="C15" s="232" t="s">
        <v>133</v>
      </c>
      <c r="D15" s="30"/>
      <c r="E15" s="30"/>
      <c r="F15" s="270">
        <f t="shared" ref="F15:P15" si="2">AVERAGE(F5:F11)</f>
        <v>12.542857142857144</v>
      </c>
      <c r="G15" s="270">
        <f t="shared" si="2"/>
        <v>12.642857142857142</v>
      </c>
      <c r="H15" s="270">
        <f t="shared" si="2"/>
        <v>11.985714285714284</v>
      </c>
      <c r="I15" s="270">
        <f t="shared" si="2"/>
        <v>1.6666666666666667</v>
      </c>
      <c r="J15" s="270">
        <f t="shared" si="2"/>
        <v>7.2142857142857135</v>
      </c>
      <c r="K15" s="270">
        <f t="shared" si="2"/>
        <v>11</v>
      </c>
      <c r="L15" s="271">
        <f t="shared" si="2"/>
        <v>6.0285714285714283E-2</v>
      </c>
      <c r="M15" s="271">
        <f t="shared" si="2"/>
        <v>0.72442857142857142</v>
      </c>
      <c r="N15" s="270">
        <f t="shared" si="2"/>
        <v>13.86</v>
      </c>
      <c r="O15" s="271">
        <f t="shared" si="2"/>
        <v>4.3714285714285706E-2</v>
      </c>
      <c r="P15" s="271">
        <f t="shared" si="2"/>
        <v>7.2499999999999995E-2</v>
      </c>
    </row>
    <row r="16" spans="2:18" x14ac:dyDescent="0.25">
      <c r="C16" s="233" t="s">
        <v>382</v>
      </c>
      <c r="D16" s="52"/>
      <c r="E16" s="52"/>
      <c r="F16" s="272">
        <f t="shared" ref="F16:P16" si="3">MIN(F5:F11)</f>
        <v>10.3</v>
      </c>
      <c r="G16" s="272">
        <f t="shared" si="3"/>
        <v>11.5</v>
      </c>
      <c r="H16" s="272">
        <f t="shared" si="3"/>
        <v>10.9</v>
      </c>
      <c r="I16" s="272">
        <f t="shared" si="3"/>
        <v>1.4</v>
      </c>
      <c r="J16" s="272">
        <f t="shared" si="3"/>
        <v>6.5</v>
      </c>
      <c r="K16" s="272">
        <f t="shared" si="3"/>
        <v>9.3000000000000007</v>
      </c>
      <c r="L16" s="273">
        <f t="shared" si="3"/>
        <v>4.3999999999999997E-2</v>
      </c>
      <c r="M16" s="273">
        <f t="shared" si="3"/>
        <v>0.32100000000000001</v>
      </c>
      <c r="N16" s="128">
        <f t="shared" si="3"/>
        <v>11.9</v>
      </c>
      <c r="O16" s="273">
        <f t="shared" si="3"/>
        <v>2.7E-2</v>
      </c>
      <c r="P16" s="273">
        <f t="shared" si="3"/>
        <v>-2.4E-2</v>
      </c>
    </row>
    <row r="17" spans="1:16" x14ac:dyDescent="0.25">
      <c r="C17" s="196"/>
    </row>
    <row r="18" spans="1:16" x14ac:dyDescent="0.25">
      <c r="B18" t="s">
        <v>373</v>
      </c>
      <c r="C18" s="195">
        <v>22.13</v>
      </c>
      <c r="D18" s="197">
        <v>2869</v>
      </c>
      <c r="E18" s="197">
        <v>4934</v>
      </c>
      <c r="F18" s="263">
        <v>10.8</v>
      </c>
      <c r="G18" s="263">
        <v>9.9</v>
      </c>
      <c r="H18" s="263">
        <v>8.8000000000000007</v>
      </c>
      <c r="I18" s="263">
        <v>2.2999999999999998</v>
      </c>
      <c r="J18" s="263">
        <v>8.3000000000000007</v>
      </c>
      <c r="K18" s="263">
        <v>12.5</v>
      </c>
      <c r="L18" s="262">
        <v>6.3E-2</v>
      </c>
      <c r="M18" s="262">
        <v>0.88</v>
      </c>
      <c r="N18" s="6">
        <v>19.100000000000001</v>
      </c>
      <c r="O18" s="262">
        <v>4.2999999999999997E-2</v>
      </c>
      <c r="P18" s="262">
        <v>3.6000000000000004E-2</v>
      </c>
    </row>
    <row r="19" spans="1:16" x14ac:dyDescent="0.25">
      <c r="C19" s="196"/>
    </row>
    <row r="20" spans="1:16" x14ac:dyDescent="0.25">
      <c r="A20" t="s">
        <v>394</v>
      </c>
      <c r="C20" s="196"/>
    </row>
    <row r="21" spans="1:16" x14ac:dyDescent="0.25">
      <c r="A21" t="s">
        <v>395</v>
      </c>
      <c r="B21" t="s">
        <v>392</v>
      </c>
      <c r="C21" t="s">
        <v>379</v>
      </c>
      <c r="D21" t="s">
        <v>383</v>
      </c>
      <c r="H21" t="s">
        <v>362</v>
      </c>
      <c r="I21" t="s">
        <v>34</v>
      </c>
      <c r="M21" t="s">
        <v>387</v>
      </c>
      <c r="N21" t="s">
        <v>388</v>
      </c>
    </row>
    <row r="22" spans="1:16" x14ac:dyDescent="0.25">
      <c r="A22" s="52" t="s">
        <v>396</v>
      </c>
      <c r="B22" s="52" t="s">
        <v>393</v>
      </c>
      <c r="C22" s="52" t="s">
        <v>53</v>
      </c>
      <c r="D22" s="52" t="s">
        <v>53</v>
      </c>
      <c r="E22" s="52" t="s">
        <v>14</v>
      </c>
      <c r="F22" s="52" t="s">
        <v>384</v>
      </c>
      <c r="G22" s="52" t="s">
        <v>385</v>
      </c>
      <c r="H22" s="52" t="s">
        <v>53</v>
      </c>
      <c r="I22" s="52" t="s">
        <v>53</v>
      </c>
      <c r="J22" s="52" t="s">
        <v>23</v>
      </c>
      <c r="K22" s="52" t="s">
        <v>24</v>
      </c>
      <c r="L22" s="52" t="s">
        <v>386</v>
      </c>
      <c r="M22" s="52" t="s">
        <v>154</v>
      </c>
      <c r="N22" s="52" t="s">
        <v>389</v>
      </c>
      <c r="O22" s="52" t="s">
        <v>390</v>
      </c>
      <c r="P22" s="52" t="s">
        <v>391</v>
      </c>
    </row>
    <row r="23" spans="1:16" x14ac:dyDescent="0.25">
      <c r="A23" s="90">
        <v>36399</v>
      </c>
      <c r="B23" t="s">
        <v>397</v>
      </c>
      <c r="C23">
        <v>137</v>
      </c>
      <c r="D23">
        <v>419</v>
      </c>
      <c r="E23" t="s">
        <v>377</v>
      </c>
      <c r="F23">
        <v>0</v>
      </c>
      <c r="G23">
        <v>0</v>
      </c>
      <c r="H23">
        <v>8.3000000000000007</v>
      </c>
      <c r="I23" t="s">
        <v>377</v>
      </c>
      <c r="J23">
        <v>17.2</v>
      </c>
      <c r="K23">
        <v>11.4</v>
      </c>
      <c r="L23">
        <v>0</v>
      </c>
      <c r="M23">
        <v>1.7</v>
      </c>
      <c r="N23" s="71">
        <v>0.48699999999999999</v>
      </c>
      <c r="O23" s="71">
        <v>0.439</v>
      </c>
      <c r="P23" s="71">
        <v>0.41799999999999998</v>
      </c>
    </row>
    <row r="24" spans="1:16" x14ac:dyDescent="0.25">
      <c r="A24" t="s">
        <v>398</v>
      </c>
      <c r="B24" t="s">
        <v>399</v>
      </c>
      <c r="N24" s="71"/>
      <c r="O24" s="71"/>
      <c r="P24" s="71"/>
    </row>
    <row r="25" spans="1:16" x14ac:dyDescent="0.25">
      <c r="A25" s="90">
        <v>36395</v>
      </c>
      <c r="B25" t="s">
        <v>400</v>
      </c>
      <c r="C25">
        <v>5303</v>
      </c>
      <c r="D25">
        <v>8053</v>
      </c>
      <c r="E25">
        <v>17.8</v>
      </c>
      <c r="F25">
        <v>17.8</v>
      </c>
      <c r="G25">
        <v>17</v>
      </c>
      <c r="H25">
        <v>2.7</v>
      </c>
      <c r="I25">
        <v>7.6</v>
      </c>
      <c r="J25">
        <v>13.5</v>
      </c>
      <c r="K25">
        <v>8.5</v>
      </c>
      <c r="L25">
        <v>6194</v>
      </c>
      <c r="M25">
        <v>2.2000000000000002</v>
      </c>
      <c r="N25" s="71">
        <v>0.23799999999999999</v>
      </c>
      <c r="O25" s="71">
        <v>0.26700000000000002</v>
      </c>
      <c r="P25" s="71">
        <v>0.29299999999999998</v>
      </c>
    </row>
    <row r="26" spans="1:16" x14ac:dyDescent="0.25">
      <c r="A26" t="s">
        <v>398</v>
      </c>
      <c r="B26" t="s">
        <v>401</v>
      </c>
      <c r="N26" s="71"/>
      <c r="O26" s="71"/>
      <c r="P26" s="71"/>
    </row>
    <row r="27" spans="1:16" x14ac:dyDescent="0.25">
      <c r="A27" s="90">
        <v>36326</v>
      </c>
      <c r="B27" t="s">
        <v>402</v>
      </c>
      <c r="C27">
        <v>964</v>
      </c>
      <c r="D27">
        <v>1541</v>
      </c>
      <c r="E27">
        <v>14</v>
      </c>
      <c r="F27">
        <v>17.5</v>
      </c>
      <c r="G27">
        <v>18.600000000000001</v>
      </c>
      <c r="H27">
        <v>1.7</v>
      </c>
      <c r="I27">
        <v>7.1</v>
      </c>
      <c r="J27">
        <v>10.1</v>
      </c>
      <c r="K27">
        <v>7.3</v>
      </c>
      <c r="L27">
        <v>2908</v>
      </c>
      <c r="M27">
        <v>1.4</v>
      </c>
      <c r="N27" s="71">
        <v>0.47</v>
      </c>
      <c r="O27" s="71">
        <v>0.435</v>
      </c>
      <c r="P27" s="71">
        <v>0.41299999999999998</v>
      </c>
    </row>
    <row r="28" spans="1:16" x14ac:dyDescent="0.25">
      <c r="A28" t="s">
        <v>398</v>
      </c>
      <c r="B28" t="s">
        <v>239</v>
      </c>
      <c r="N28" s="71"/>
      <c r="O28" s="71"/>
      <c r="P28" s="71"/>
    </row>
    <row r="29" spans="1:16" x14ac:dyDescent="0.25">
      <c r="A29" s="90">
        <v>36325</v>
      </c>
      <c r="B29" t="s">
        <v>403</v>
      </c>
      <c r="C29">
        <v>1770</v>
      </c>
      <c r="D29">
        <v>4651</v>
      </c>
      <c r="E29" t="s">
        <v>377</v>
      </c>
      <c r="F29">
        <v>23.2</v>
      </c>
      <c r="G29">
        <v>12.5</v>
      </c>
      <c r="H29">
        <v>1.5</v>
      </c>
      <c r="I29">
        <v>22.2</v>
      </c>
      <c r="J29" t="s">
        <v>377</v>
      </c>
      <c r="K29">
        <v>19.600000000000001</v>
      </c>
      <c r="L29">
        <v>7156</v>
      </c>
      <c r="M29">
        <v>1</v>
      </c>
      <c r="N29" s="71"/>
      <c r="O29" s="71">
        <v>1.9E-2</v>
      </c>
      <c r="P29" s="71">
        <v>0.04</v>
      </c>
    </row>
    <row r="30" spans="1:16" x14ac:dyDescent="0.25">
      <c r="A30" t="s">
        <v>398</v>
      </c>
      <c r="B30" t="s">
        <v>404</v>
      </c>
      <c r="N30" s="71"/>
      <c r="O30" s="71"/>
      <c r="P30" s="71"/>
    </row>
    <row r="31" spans="1:16" x14ac:dyDescent="0.25">
      <c r="A31" s="90">
        <v>36325</v>
      </c>
      <c r="B31" t="s">
        <v>405</v>
      </c>
      <c r="C31">
        <v>965</v>
      </c>
      <c r="D31">
        <v>1297</v>
      </c>
      <c r="E31">
        <v>20.7</v>
      </c>
      <c r="F31">
        <v>19.5</v>
      </c>
      <c r="G31">
        <v>18.2</v>
      </c>
      <c r="H31">
        <v>2.6</v>
      </c>
      <c r="N31" s="71"/>
      <c r="O31" s="71"/>
      <c r="P31" s="71"/>
    </row>
    <row r="32" spans="1:16" x14ac:dyDescent="0.25">
      <c r="A32" t="s">
        <v>398</v>
      </c>
      <c r="B32" t="s">
        <v>240</v>
      </c>
      <c r="N32" s="71"/>
      <c r="O32" s="71"/>
      <c r="P32" s="71"/>
    </row>
    <row r="33" spans="2:25" x14ac:dyDescent="0.25">
      <c r="N33" s="71"/>
      <c r="O33" s="71"/>
      <c r="P33" s="71"/>
    </row>
    <row r="34" spans="2:25" x14ac:dyDescent="0.25">
      <c r="N34" s="71"/>
      <c r="O34" s="71"/>
      <c r="P34" s="71"/>
    </row>
    <row r="35" spans="2:25" x14ac:dyDescent="0.25">
      <c r="N35" s="71"/>
      <c r="O35" s="71"/>
      <c r="P35" s="71"/>
    </row>
    <row r="36" spans="2:25" x14ac:dyDescent="0.25">
      <c r="N36" s="71"/>
      <c r="O36" s="71"/>
      <c r="P36" s="71"/>
    </row>
    <row r="37" spans="2:25" x14ac:dyDescent="0.25">
      <c r="N37" s="71"/>
      <c r="O37" s="71"/>
      <c r="P37" s="71"/>
    </row>
    <row r="38" spans="2:25" ht="15.6" x14ac:dyDescent="0.3">
      <c r="B38" s="2" t="s">
        <v>809</v>
      </c>
    </row>
    <row r="39" spans="2:25" x14ac:dyDescent="0.25">
      <c r="B39" s="1" t="s">
        <v>127</v>
      </c>
    </row>
    <row r="40" spans="2:25" x14ac:dyDescent="0.25">
      <c r="B40" t="s">
        <v>17</v>
      </c>
      <c r="F40" s="192" t="s">
        <v>379</v>
      </c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192"/>
      <c r="U40" s="192"/>
      <c r="V40" s="192"/>
      <c r="W40" s="192"/>
      <c r="X40" s="192"/>
      <c r="Y40" s="192"/>
    </row>
    <row r="41" spans="2:25" x14ac:dyDescent="0.25">
      <c r="B41" s="21"/>
      <c r="C41" s="21"/>
      <c r="D41" s="186">
        <v>36599</v>
      </c>
      <c r="E41" s="21" t="s">
        <v>43</v>
      </c>
      <c r="F41" s="832" t="s">
        <v>44</v>
      </c>
      <c r="G41" s="832"/>
      <c r="H41" s="832"/>
      <c r="I41" s="832"/>
      <c r="J41" s="832" t="s">
        <v>45</v>
      </c>
      <c r="K41" s="833" t="s">
        <v>104</v>
      </c>
      <c r="L41" s="833" t="s">
        <v>810</v>
      </c>
      <c r="M41" s="833" t="s">
        <v>811</v>
      </c>
      <c r="N41" s="833" t="s">
        <v>23</v>
      </c>
      <c r="O41" s="833" t="s">
        <v>23</v>
      </c>
      <c r="P41" s="832" t="s">
        <v>24</v>
      </c>
      <c r="Q41" s="832" t="s">
        <v>24</v>
      </c>
      <c r="R41" s="834" t="s">
        <v>812</v>
      </c>
      <c r="S41" s="834" t="s">
        <v>812</v>
      </c>
      <c r="T41" s="834" t="s">
        <v>33</v>
      </c>
      <c r="U41" s="834" t="s">
        <v>33</v>
      </c>
      <c r="V41" s="192" t="s">
        <v>115</v>
      </c>
      <c r="W41" s="192" t="s">
        <v>116</v>
      </c>
      <c r="X41" s="192" t="s">
        <v>115</v>
      </c>
      <c r="Y41" s="192" t="s">
        <v>116</v>
      </c>
    </row>
    <row r="42" spans="2:25" x14ac:dyDescent="0.25">
      <c r="B42" s="839" t="s">
        <v>815</v>
      </c>
      <c r="C42" s="22" t="s">
        <v>47</v>
      </c>
      <c r="D42" s="22" t="s">
        <v>48</v>
      </c>
      <c r="E42" s="22" t="s">
        <v>49</v>
      </c>
      <c r="F42" s="835" t="s">
        <v>53</v>
      </c>
      <c r="G42" s="835" t="s">
        <v>51</v>
      </c>
      <c r="H42" s="835" t="s">
        <v>34</v>
      </c>
      <c r="I42" s="835" t="s">
        <v>52</v>
      </c>
      <c r="J42" s="835" t="s">
        <v>53</v>
      </c>
      <c r="K42" s="836">
        <v>1998</v>
      </c>
      <c r="L42" s="836">
        <v>1999</v>
      </c>
      <c r="M42" s="836"/>
      <c r="N42" s="836">
        <v>1999</v>
      </c>
      <c r="O42" s="836">
        <v>2000</v>
      </c>
      <c r="P42" s="836">
        <v>1999</v>
      </c>
      <c r="Q42" s="836">
        <v>2000</v>
      </c>
      <c r="R42" s="836">
        <v>1999</v>
      </c>
      <c r="S42" s="836">
        <v>2000</v>
      </c>
      <c r="T42" s="836">
        <v>1999</v>
      </c>
      <c r="U42" s="836">
        <v>2000</v>
      </c>
      <c r="V42" s="837">
        <v>1999</v>
      </c>
      <c r="W42" s="837">
        <v>1999</v>
      </c>
      <c r="X42" s="837">
        <v>2000</v>
      </c>
      <c r="Y42" s="837">
        <v>2000</v>
      </c>
    </row>
    <row r="43" spans="2:25" x14ac:dyDescent="0.25">
      <c r="B43" s="838" t="s">
        <v>56</v>
      </c>
      <c r="C43" s="21" t="s">
        <v>57</v>
      </c>
      <c r="D43" s="819">
        <v>26.875</v>
      </c>
      <c r="E43" s="75">
        <v>192</v>
      </c>
      <c r="F43" s="51">
        <f t="shared" ref="F43:F48" si="4">D43*E43</f>
        <v>5160</v>
      </c>
      <c r="G43" s="75">
        <f>626+490+6542</f>
        <v>7658</v>
      </c>
      <c r="H43" s="75">
        <v>280</v>
      </c>
      <c r="I43" s="75">
        <v>174</v>
      </c>
      <c r="J43" s="51">
        <f t="shared" ref="J43:J48" si="5">F43+G43-H43+I43</f>
        <v>12712</v>
      </c>
      <c r="K43" s="74">
        <v>536.18299999999999</v>
      </c>
      <c r="L43" s="9">
        <v>25.82</v>
      </c>
      <c r="M43" s="46">
        <f t="shared" ref="M43:M48" si="6">D43/L43</f>
        <v>1.040859798605732</v>
      </c>
      <c r="N43" s="9">
        <v>2432</v>
      </c>
      <c r="O43" s="9">
        <v>2311.54</v>
      </c>
      <c r="P43" s="21">
        <v>3584</v>
      </c>
      <c r="Q43" s="21">
        <v>3463</v>
      </c>
      <c r="R43" s="46">
        <f t="shared" ref="R43:S48" si="7">$J43/N43</f>
        <v>5.2269736842105265</v>
      </c>
      <c r="S43" s="46">
        <f t="shared" si="7"/>
        <v>5.4993640603234208</v>
      </c>
      <c r="T43" s="46">
        <f t="shared" ref="T43:T48" si="8">J43/P43</f>
        <v>3.546875</v>
      </c>
      <c r="U43" s="46">
        <f t="shared" ref="U43:U48" si="9">J43/Q43</f>
        <v>3.6708056598325149</v>
      </c>
      <c r="V43" s="196">
        <v>2.69</v>
      </c>
      <c r="W43" s="9">
        <f t="shared" ref="W43:W48" si="10">D43/V43</f>
        <v>9.9907063197026016</v>
      </c>
      <c r="X43" s="196">
        <v>2.4</v>
      </c>
      <c r="Y43" s="9">
        <f t="shared" ref="Y43:Y48" si="11">D43/X43</f>
        <v>11.197916666666668</v>
      </c>
    </row>
    <row r="44" spans="2:25" x14ac:dyDescent="0.25">
      <c r="B44" s="838" t="s">
        <v>84</v>
      </c>
      <c r="C44" s="21" t="s">
        <v>91</v>
      </c>
      <c r="D44" s="819">
        <v>17.9375</v>
      </c>
      <c r="E44" s="75">
        <v>229.14</v>
      </c>
      <c r="F44" s="51">
        <f t="shared" si="4"/>
        <v>4110.1987499999996</v>
      </c>
      <c r="G44" s="75">
        <f>841.513+265.734+6335.289</f>
        <v>7442.5360000000001</v>
      </c>
      <c r="H44" s="75">
        <v>45.612000000000002</v>
      </c>
      <c r="I44" s="75">
        <f>660.195+174.71+120</f>
        <v>954.90500000000009</v>
      </c>
      <c r="J44" s="51">
        <f t="shared" si="5"/>
        <v>12462.027750000001</v>
      </c>
      <c r="K44" s="74">
        <v>441.39600000000002</v>
      </c>
      <c r="L44" s="27">
        <v>20.22</v>
      </c>
      <c r="M44" s="46">
        <f t="shared" si="6"/>
        <v>0.88711671612265086</v>
      </c>
      <c r="N44" s="27">
        <v>1435</v>
      </c>
      <c r="O44" s="27">
        <v>1450</v>
      </c>
      <c r="P44" s="21">
        <v>2385</v>
      </c>
      <c r="Q44" s="21">
        <v>2520</v>
      </c>
      <c r="R44" s="46">
        <f t="shared" si="7"/>
        <v>8.6843398954703837</v>
      </c>
      <c r="S44" s="46">
        <f t="shared" si="7"/>
        <v>8.5945018965517246</v>
      </c>
      <c r="T44" s="46">
        <f t="shared" si="8"/>
        <v>5.2251688679245287</v>
      </c>
      <c r="U44" s="46">
        <f t="shared" si="9"/>
        <v>4.9452491071428577</v>
      </c>
      <c r="V44" s="196">
        <v>2.5</v>
      </c>
      <c r="W44" s="9">
        <f t="shared" si="10"/>
        <v>7.1749999999999998</v>
      </c>
      <c r="X44" s="196">
        <v>2.65</v>
      </c>
      <c r="Y44" s="9">
        <f t="shared" si="11"/>
        <v>6.7688679245283021</v>
      </c>
    </row>
    <row r="45" spans="2:25" x14ac:dyDescent="0.25">
      <c r="B45" s="838" t="s">
        <v>87</v>
      </c>
      <c r="C45" s="21" t="s">
        <v>92</v>
      </c>
      <c r="D45" s="819">
        <v>21.25</v>
      </c>
      <c r="E45" s="75">
        <f>209.789/0.74</f>
        <v>283.49864864864861</v>
      </c>
      <c r="F45" s="51">
        <f t="shared" si="4"/>
        <v>6024.3462837837833</v>
      </c>
      <c r="G45" s="75">
        <f>6973.697+375.497</f>
        <v>7349.1940000000004</v>
      </c>
      <c r="H45" s="75">
        <v>83.795000000000002</v>
      </c>
      <c r="I45" s="75">
        <f>717.268+9.74</f>
        <v>727.00800000000004</v>
      </c>
      <c r="J45" s="51">
        <f t="shared" si="5"/>
        <v>14016.753283783783</v>
      </c>
      <c r="K45" s="820">
        <f>-141.092</f>
        <v>-141.09200000000001</v>
      </c>
      <c r="L45" s="56">
        <v>15.16</v>
      </c>
      <c r="M45" s="46">
        <f t="shared" si="6"/>
        <v>1.4017150395778364</v>
      </c>
      <c r="N45" s="56">
        <v>1429</v>
      </c>
      <c r="O45" s="56">
        <v>1499</v>
      </c>
      <c r="P45" s="21">
        <v>2292</v>
      </c>
      <c r="Q45" s="21">
        <v>2389</v>
      </c>
      <c r="R45" s="46">
        <f t="shared" si="7"/>
        <v>9.8087846632496731</v>
      </c>
      <c r="S45" s="46">
        <f t="shared" si="7"/>
        <v>9.3507360131979862</v>
      </c>
      <c r="T45" s="46">
        <f t="shared" si="8"/>
        <v>6.115511903919626</v>
      </c>
      <c r="U45" s="46">
        <f t="shared" si="9"/>
        <v>5.8672052255269076</v>
      </c>
      <c r="V45" s="196">
        <v>2.09</v>
      </c>
      <c r="W45" s="9">
        <f t="shared" si="10"/>
        <v>10.167464114832537</v>
      </c>
      <c r="X45" s="196">
        <v>2.37</v>
      </c>
      <c r="Y45" s="9">
        <f t="shared" si="11"/>
        <v>8.966244725738397</v>
      </c>
    </row>
    <row r="46" spans="2:25" x14ac:dyDescent="0.25">
      <c r="B46" s="838" t="s">
        <v>85</v>
      </c>
      <c r="C46" s="21" t="s">
        <v>90</v>
      </c>
      <c r="D46" s="819">
        <f>20.5625</f>
        <v>20.5625</v>
      </c>
      <c r="E46" s="75">
        <v>698.52700000000004</v>
      </c>
      <c r="F46" s="51">
        <f t="shared" si="4"/>
        <v>14363.4614375</v>
      </c>
      <c r="G46" s="75">
        <f>9952.508+1136.05</f>
        <v>11088.557999999999</v>
      </c>
      <c r="H46" s="75">
        <v>554.09500000000003</v>
      </c>
      <c r="I46" s="75">
        <f>369.061+2426.965</f>
        <v>2796.0260000000003</v>
      </c>
      <c r="J46" s="51">
        <f t="shared" si="5"/>
        <v>27693.9504375</v>
      </c>
      <c r="K46" s="74">
        <v>977</v>
      </c>
      <c r="L46" s="27">
        <v>14.04</v>
      </c>
      <c r="M46" s="46">
        <f t="shared" si="6"/>
        <v>1.4645655270655271</v>
      </c>
      <c r="N46" s="27">
        <v>2965.89</v>
      </c>
      <c r="O46" s="27">
        <v>3175.36</v>
      </c>
      <c r="P46" s="21">
        <v>4234</v>
      </c>
      <c r="Q46" s="21">
        <v>4535.08</v>
      </c>
      <c r="R46" s="46">
        <f t="shared" si="7"/>
        <v>9.3374840056441748</v>
      </c>
      <c r="S46" s="46">
        <f t="shared" si="7"/>
        <v>8.721515178593922</v>
      </c>
      <c r="T46" s="46">
        <f t="shared" si="8"/>
        <v>6.5408480012990076</v>
      </c>
      <c r="U46" s="46">
        <f t="shared" si="9"/>
        <v>6.1066068156460309</v>
      </c>
      <c r="V46" s="196">
        <v>1.9</v>
      </c>
      <c r="W46" s="9">
        <f t="shared" si="10"/>
        <v>10.822368421052632</v>
      </c>
      <c r="X46" s="196">
        <v>2.0499999999999998</v>
      </c>
      <c r="Y46" s="9">
        <f t="shared" si="11"/>
        <v>10.030487804878049</v>
      </c>
    </row>
    <row r="47" spans="2:25" x14ac:dyDescent="0.25">
      <c r="B47" s="838" t="s">
        <v>95</v>
      </c>
      <c r="C47" s="21" t="s">
        <v>86</v>
      </c>
      <c r="D47" s="819">
        <v>26.8125</v>
      </c>
      <c r="E47" s="75">
        <v>282</v>
      </c>
      <c r="F47" s="51">
        <f t="shared" si="4"/>
        <v>7561.125</v>
      </c>
      <c r="G47" s="75">
        <f>16486+1072</f>
        <v>17558</v>
      </c>
      <c r="H47" s="75">
        <v>750</v>
      </c>
      <c r="I47" s="75">
        <f>190+21+1193</f>
        <v>1404</v>
      </c>
      <c r="J47" s="51">
        <f t="shared" si="5"/>
        <v>25773.125</v>
      </c>
      <c r="K47" s="74">
        <v>740</v>
      </c>
      <c r="L47" s="27">
        <v>29.99</v>
      </c>
      <c r="M47" s="46">
        <f t="shared" si="6"/>
        <v>0.89404801600533512</v>
      </c>
      <c r="N47" s="27">
        <v>2865</v>
      </c>
      <c r="O47" s="27">
        <v>2906</v>
      </c>
      <c r="P47" s="21">
        <v>4182</v>
      </c>
      <c r="Q47" s="21">
        <v>4331</v>
      </c>
      <c r="R47" s="46">
        <f t="shared" si="7"/>
        <v>8.9958551483420592</v>
      </c>
      <c r="S47" s="46">
        <f t="shared" si="7"/>
        <v>8.8689349621472822</v>
      </c>
      <c r="T47" s="46">
        <f t="shared" si="8"/>
        <v>6.162870636059302</v>
      </c>
      <c r="U47" s="46">
        <f t="shared" si="9"/>
        <v>5.9508485338259058</v>
      </c>
      <c r="V47" s="196">
        <v>3.19</v>
      </c>
      <c r="W47" s="9">
        <f t="shared" si="10"/>
        <v>8.4051724137931032</v>
      </c>
      <c r="X47" s="196">
        <v>3.4</v>
      </c>
      <c r="Y47" s="9">
        <f t="shared" si="11"/>
        <v>7.8860294117647065</v>
      </c>
    </row>
    <row r="48" spans="2:25" x14ac:dyDescent="0.25">
      <c r="B48" s="256" t="s">
        <v>813</v>
      </c>
      <c r="C48" s="6" t="s">
        <v>814</v>
      </c>
      <c r="D48" s="819">
        <v>17.3125</v>
      </c>
      <c r="E48" s="102">
        <v>117.2</v>
      </c>
      <c r="F48" s="51">
        <f t="shared" si="4"/>
        <v>2029.0250000000001</v>
      </c>
      <c r="G48" s="75">
        <f>2230.43039+40.131</f>
        <v>2270.5613899999998</v>
      </c>
      <c r="H48" s="75">
        <v>40.131</v>
      </c>
      <c r="I48" s="75">
        <v>200</v>
      </c>
      <c r="J48" s="51">
        <f t="shared" si="5"/>
        <v>4459.4553900000001</v>
      </c>
      <c r="K48" s="74">
        <v>209</v>
      </c>
      <c r="L48">
        <v>16.920000000000002</v>
      </c>
      <c r="M48" s="46">
        <f t="shared" si="6"/>
        <v>1.0231973995271866</v>
      </c>
      <c r="N48">
        <v>556.9</v>
      </c>
      <c r="O48">
        <v>605.79999999999995</v>
      </c>
      <c r="P48">
        <v>807.2</v>
      </c>
      <c r="Q48">
        <v>871.1</v>
      </c>
      <c r="R48" s="46">
        <f t="shared" si="7"/>
        <v>8.0076412102711441</v>
      </c>
      <c r="S48" s="46">
        <f t="shared" si="7"/>
        <v>7.3612667381974255</v>
      </c>
      <c r="T48" s="46">
        <f t="shared" si="8"/>
        <v>5.5245978567888994</v>
      </c>
      <c r="U48" s="46">
        <f t="shared" si="9"/>
        <v>5.1193380668120767</v>
      </c>
      <c r="V48">
        <v>1.96</v>
      </c>
      <c r="W48" s="9">
        <f t="shared" si="10"/>
        <v>8.8329081632653068</v>
      </c>
      <c r="X48">
        <v>2.13</v>
      </c>
      <c r="Y48" s="9">
        <f t="shared" si="11"/>
        <v>8.1279342723004699</v>
      </c>
    </row>
    <row r="49" spans="2:25" x14ac:dyDescent="0.25">
      <c r="B49" s="21"/>
      <c r="C49" s="21"/>
      <c r="D49" s="25"/>
      <c r="E49" s="21"/>
      <c r="F49" s="21"/>
      <c r="G49" s="21"/>
      <c r="H49" s="21"/>
      <c r="I49" s="21"/>
      <c r="J49" s="21"/>
      <c r="K49" s="9"/>
      <c r="L49" s="9"/>
      <c r="M49" s="9"/>
      <c r="N49" s="9"/>
      <c r="O49" s="9"/>
      <c r="P49" s="21"/>
      <c r="Q49" s="21"/>
      <c r="R49" s="46"/>
      <c r="S49" s="46"/>
      <c r="T49" s="46"/>
      <c r="U49" s="46"/>
      <c r="V49" s="9"/>
      <c r="W49" s="9"/>
      <c r="X49" s="9"/>
      <c r="Y49" s="9"/>
    </row>
    <row r="50" spans="2:25" x14ac:dyDescent="0.25">
      <c r="B50" s="21"/>
      <c r="C50" s="21"/>
      <c r="D50" s="25"/>
      <c r="E50" s="21"/>
      <c r="F50" s="21"/>
      <c r="G50" s="21"/>
      <c r="H50" s="21"/>
      <c r="I50" s="21"/>
      <c r="J50" s="21"/>
      <c r="K50" s="9"/>
      <c r="L50" s="821" t="s">
        <v>133</v>
      </c>
      <c r="M50" s="822">
        <f>AVERAGE(M43:M48)</f>
        <v>1.1185837494840447</v>
      </c>
      <c r="N50" s="823"/>
      <c r="O50" s="823"/>
      <c r="P50" s="824"/>
      <c r="Q50" s="230"/>
      <c r="R50" s="822">
        <f>AVERAGE(R43:R48)</f>
        <v>8.3435131011979937</v>
      </c>
      <c r="S50" s="822">
        <f>AVERAGE(S43:S48)</f>
        <v>8.0660531415019605</v>
      </c>
      <c r="T50" s="822">
        <f>AVERAGE(T43:T48)</f>
        <v>5.5193120443318939</v>
      </c>
      <c r="U50" s="822">
        <f>AVERAGE(U43:U48)</f>
        <v>5.2766755681310489</v>
      </c>
      <c r="V50" s="823"/>
      <c r="W50" s="822">
        <f>AVERAGE(W43:W48)</f>
        <v>9.2322699054410311</v>
      </c>
      <c r="X50" s="823"/>
      <c r="Y50" s="825">
        <f>AVERAGE(Y43:Y48)</f>
        <v>8.8295801343127653</v>
      </c>
    </row>
    <row r="51" spans="2:25" x14ac:dyDescent="0.25">
      <c r="B51" s="21"/>
      <c r="C51" s="21"/>
      <c r="D51" s="25"/>
      <c r="E51" s="21"/>
      <c r="F51" s="21"/>
      <c r="G51" s="21"/>
      <c r="H51" s="21"/>
      <c r="I51" s="21"/>
      <c r="J51" s="21"/>
      <c r="K51" s="9"/>
      <c r="L51" s="826" t="s">
        <v>61</v>
      </c>
      <c r="M51" s="827">
        <f>MEDIAN(M43:M48)</f>
        <v>1.0320285990664593</v>
      </c>
      <c r="N51" s="27"/>
      <c r="O51" s="27"/>
      <c r="P51" s="45"/>
      <c r="Q51" s="30"/>
      <c r="R51" s="827">
        <f>MEDIAN(R43:R48)</f>
        <v>8.8400975219062214</v>
      </c>
      <c r="S51" s="827">
        <f>MEDIAN(S43:S48)</f>
        <v>8.6580085375728224</v>
      </c>
      <c r="T51" s="827">
        <f>MEDIAN(T43:T48)</f>
        <v>5.8200548803542631</v>
      </c>
      <c r="U51" s="827">
        <f>MEDIAN(U43:U48)</f>
        <v>5.4932716461694922</v>
      </c>
      <c r="V51" s="27"/>
      <c r="W51" s="827">
        <f>MEDIAN(W43:W48)</f>
        <v>9.4118072414839542</v>
      </c>
      <c r="X51" s="27"/>
      <c r="Y51" s="828">
        <f>MEDIAN(Y43:Y48)</f>
        <v>8.5470894990194335</v>
      </c>
    </row>
    <row r="52" spans="2:25" x14ac:dyDescent="0.25">
      <c r="B52" s="21"/>
      <c r="C52" s="21"/>
      <c r="D52" s="25"/>
      <c r="E52" s="21"/>
      <c r="F52" s="21"/>
      <c r="G52" s="21"/>
      <c r="H52" s="21"/>
      <c r="I52" s="21"/>
      <c r="J52" s="21"/>
      <c r="K52" s="9"/>
      <c r="L52" s="826" t="s">
        <v>381</v>
      </c>
      <c r="M52" s="827">
        <f>MAX(M43:M48)</f>
        <v>1.4645655270655271</v>
      </c>
      <c r="N52" s="27"/>
      <c r="O52" s="27"/>
      <c r="P52" s="45"/>
      <c r="Q52" s="30"/>
      <c r="R52" s="827">
        <f>MAX(R43:R48)</f>
        <v>9.8087846632496731</v>
      </c>
      <c r="S52" s="827">
        <f>MAX(S43:S48)</f>
        <v>9.3507360131979862</v>
      </c>
      <c r="T52" s="827">
        <f>MAX(T43:T48)</f>
        <v>6.5408480012990076</v>
      </c>
      <c r="U52" s="827">
        <f>MAX(U43:U48)</f>
        <v>6.1066068156460309</v>
      </c>
      <c r="V52" s="27"/>
      <c r="W52" s="827">
        <f>MAX(W43:W48)</f>
        <v>10.822368421052632</v>
      </c>
      <c r="X52" s="27"/>
      <c r="Y52" s="828">
        <f>MAX(Y43:Y48)</f>
        <v>11.197916666666668</v>
      </c>
    </row>
    <row r="53" spans="2:25" x14ac:dyDescent="0.25">
      <c r="B53" s="21"/>
      <c r="C53" s="21"/>
      <c r="D53" s="25"/>
      <c r="E53" s="21"/>
      <c r="F53" s="21"/>
      <c r="G53" s="21"/>
      <c r="H53" s="21"/>
      <c r="I53" s="21"/>
      <c r="J53" s="21"/>
      <c r="K53" s="9"/>
      <c r="L53" s="829" t="s">
        <v>382</v>
      </c>
      <c r="M53" s="830">
        <f>MIN(M43:M48)</f>
        <v>0.88711671612265086</v>
      </c>
      <c r="N53" s="10"/>
      <c r="O53" s="10"/>
      <c r="P53" s="22"/>
      <c r="Q53" s="52"/>
      <c r="R53" s="830">
        <f>MIN(R43:R48)</f>
        <v>5.2269736842105265</v>
      </c>
      <c r="S53" s="830">
        <f>MIN(S43:S48)</f>
        <v>5.4993640603234208</v>
      </c>
      <c r="T53" s="830">
        <f>MIN(T43:T48)</f>
        <v>3.546875</v>
      </c>
      <c r="U53" s="830">
        <f>MIN(U43:U48)</f>
        <v>3.6708056598325149</v>
      </c>
      <c r="V53" s="10"/>
      <c r="W53" s="830">
        <f>MIN(W43:W48)</f>
        <v>7.1749999999999998</v>
      </c>
      <c r="X53" s="10"/>
      <c r="Y53" s="831">
        <f>MIN(Y43:Y48)</f>
        <v>6.7688679245283021</v>
      </c>
    </row>
    <row r="54" spans="2:25" x14ac:dyDescent="0.25">
      <c r="N54" s="71"/>
      <c r="O54" s="71"/>
      <c r="P54" s="71"/>
    </row>
    <row r="55" spans="2:25" x14ac:dyDescent="0.25">
      <c r="N55" s="71"/>
      <c r="O55" s="71"/>
      <c r="P55" s="71"/>
    </row>
    <row r="56" spans="2:25" x14ac:dyDescent="0.25">
      <c r="N56" s="71"/>
      <c r="O56" s="71"/>
      <c r="P56" s="71"/>
    </row>
    <row r="57" spans="2:25" x14ac:dyDescent="0.25">
      <c r="N57" s="71"/>
      <c r="O57" s="71"/>
      <c r="P57" s="71"/>
    </row>
    <row r="58" spans="2:25" x14ac:dyDescent="0.25">
      <c r="N58" s="71"/>
      <c r="O58" s="71"/>
      <c r="P58" s="71"/>
    </row>
    <row r="59" spans="2:25" x14ac:dyDescent="0.25">
      <c r="N59" s="71"/>
      <c r="O59" s="71"/>
      <c r="P59" s="71"/>
    </row>
    <row r="60" spans="2:25" x14ac:dyDescent="0.25">
      <c r="N60" s="71"/>
      <c r="O60" s="71"/>
      <c r="P60" s="71"/>
    </row>
    <row r="61" spans="2:25" x14ac:dyDescent="0.25">
      <c r="N61" s="71"/>
      <c r="O61" s="71"/>
      <c r="P61" s="71"/>
    </row>
    <row r="62" spans="2:25" x14ac:dyDescent="0.25">
      <c r="N62" s="71"/>
      <c r="O62" s="71"/>
      <c r="P62" s="71"/>
    </row>
    <row r="63" spans="2:25" x14ac:dyDescent="0.25">
      <c r="N63" s="71"/>
      <c r="O63" s="71"/>
      <c r="P63" s="71"/>
    </row>
    <row r="64" spans="2:25" x14ac:dyDescent="0.25">
      <c r="N64" s="71"/>
      <c r="O64" s="71"/>
      <c r="P64" s="71"/>
    </row>
    <row r="65" spans="14:16" x14ac:dyDescent="0.25">
      <c r="N65" s="71"/>
      <c r="O65" s="71"/>
      <c r="P65" s="71"/>
    </row>
    <row r="66" spans="14:16" x14ac:dyDescent="0.25">
      <c r="N66" s="71"/>
      <c r="O66" s="71"/>
      <c r="P66" s="71"/>
    </row>
    <row r="67" spans="14:16" x14ac:dyDescent="0.25">
      <c r="N67" s="71"/>
      <c r="O67" s="71"/>
      <c r="P67" s="71"/>
    </row>
    <row r="68" spans="14:16" x14ac:dyDescent="0.25">
      <c r="N68" s="71"/>
      <c r="O68" s="71"/>
      <c r="P68" s="71"/>
    </row>
    <row r="69" spans="14:16" x14ac:dyDescent="0.25">
      <c r="N69" s="71"/>
      <c r="O69" s="71"/>
      <c r="P69" s="71"/>
    </row>
    <row r="70" spans="14:16" x14ac:dyDescent="0.25">
      <c r="N70" s="71"/>
      <c r="O70" s="71"/>
      <c r="P70" s="71"/>
    </row>
    <row r="71" spans="14:16" x14ac:dyDescent="0.25">
      <c r="N71" s="71"/>
      <c r="O71" s="71"/>
      <c r="P71" s="71"/>
    </row>
    <row r="72" spans="14:16" x14ac:dyDescent="0.25">
      <c r="N72" s="71"/>
      <c r="O72" s="71"/>
      <c r="P72" s="71"/>
    </row>
    <row r="73" spans="14:16" x14ac:dyDescent="0.25">
      <c r="N73" s="71"/>
      <c r="O73" s="71"/>
      <c r="P73" s="71"/>
    </row>
    <row r="74" spans="14:16" x14ac:dyDescent="0.25">
      <c r="N74" s="71"/>
      <c r="O74" s="71"/>
      <c r="P74" s="71"/>
    </row>
    <row r="75" spans="14:16" x14ac:dyDescent="0.25">
      <c r="N75" s="71"/>
      <c r="O75" s="71"/>
      <c r="P75" s="71"/>
    </row>
    <row r="76" spans="14:16" x14ac:dyDescent="0.25">
      <c r="N76" s="71"/>
      <c r="O76" s="71"/>
      <c r="P76" s="71"/>
    </row>
    <row r="77" spans="14:16" x14ac:dyDescent="0.25">
      <c r="N77" s="71"/>
      <c r="O77" s="71"/>
      <c r="P77" s="71"/>
    </row>
    <row r="78" spans="14:16" x14ac:dyDescent="0.25">
      <c r="N78" s="71"/>
      <c r="O78" s="71"/>
      <c r="P78" s="71"/>
    </row>
    <row r="79" spans="14:16" x14ac:dyDescent="0.25">
      <c r="N79" s="71"/>
      <c r="O79" s="71"/>
      <c r="P79" s="71"/>
    </row>
    <row r="80" spans="14:16" x14ac:dyDescent="0.25">
      <c r="N80" s="71"/>
      <c r="O80" s="71"/>
      <c r="P80" s="71"/>
    </row>
    <row r="81" spans="14:16" x14ac:dyDescent="0.25">
      <c r="N81" s="152"/>
      <c r="O81" s="152"/>
      <c r="P81" s="152"/>
    </row>
    <row r="82" spans="14:16" x14ac:dyDescent="0.25">
      <c r="N82" s="152"/>
      <c r="O82" s="152"/>
      <c r="P82" s="152"/>
    </row>
    <row r="83" spans="14:16" x14ac:dyDescent="0.25">
      <c r="N83" s="152"/>
      <c r="O83" s="152"/>
      <c r="P83" s="152"/>
    </row>
    <row r="84" spans="14:16" x14ac:dyDescent="0.25">
      <c r="N84" s="152"/>
      <c r="O84" s="152"/>
      <c r="P84" s="152"/>
    </row>
    <row r="85" spans="14:16" x14ac:dyDescent="0.25">
      <c r="N85" s="152"/>
      <c r="O85" s="152"/>
      <c r="P85" s="152"/>
    </row>
    <row r="86" spans="14:16" x14ac:dyDescent="0.25">
      <c r="N86" s="152"/>
      <c r="O86" s="152"/>
      <c r="P86" s="152"/>
    </row>
    <row r="87" spans="14:16" x14ac:dyDescent="0.25">
      <c r="N87" s="152"/>
      <c r="O87" s="152"/>
      <c r="P87" s="152"/>
    </row>
    <row r="88" spans="14:16" x14ac:dyDescent="0.25">
      <c r="N88" s="152"/>
      <c r="O88" s="152"/>
      <c r="P88" s="152"/>
    </row>
    <row r="89" spans="14:16" x14ac:dyDescent="0.25">
      <c r="N89" s="152"/>
      <c r="O89" s="152"/>
      <c r="P89" s="152"/>
    </row>
    <row r="90" spans="14:16" x14ac:dyDescent="0.25">
      <c r="N90" s="152"/>
      <c r="O90" s="152"/>
      <c r="P90" s="152"/>
    </row>
    <row r="91" spans="14:16" x14ac:dyDescent="0.25">
      <c r="N91" s="152"/>
      <c r="O91" s="152"/>
      <c r="P91" s="152"/>
    </row>
    <row r="92" spans="14:16" x14ac:dyDescent="0.25">
      <c r="N92" s="152"/>
      <c r="O92" s="152"/>
      <c r="P92" s="152"/>
    </row>
    <row r="93" spans="14:16" x14ac:dyDescent="0.25">
      <c r="N93" s="152"/>
      <c r="O93" s="152"/>
      <c r="P93" s="152"/>
    </row>
    <row r="94" spans="14:16" x14ac:dyDescent="0.25">
      <c r="N94" s="152"/>
      <c r="O94" s="152"/>
      <c r="P94" s="152"/>
    </row>
    <row r="95" spans="14:16" x14ac:dyDescent="0.25">
      <c r="N95" s="152"/>
      <c r="O95" s="152"/>
      <c r="P95" s="152"/>
    </row>
    <row r="96" spans="14:16" x14ac:dyDescent="0.25">
      <c r="N96" s="152"/>
      <c r="O96" s="152"/>
      <c r="P96" s="152"/>
    </row>
    <row r="97" spans="14:16" x14ac:dyDescent="0.25">
      <c r="N97" s="152"/>
      <c r="O97" s="152"/>
      <c r="P97" s="152"/>
    </row>
    <row r="98" spans="14:16" x14ac:dyDescent="0.25">
      <c r="N98" s="152"/>
      <c r="O98" s="152"/>
      <c r="P98" s="152"/>
    </row>
    <row r="99" spans="14:16" x14ac:dyDescent="0.25">
      <c r="N99" s="152"/>
      <c r="O99" s="152"/>
      <c r="P99" s="152"/>
    </row>
    <row r="100" spans="14:16" x14ac:dyDescent="0.25">
      <c r="N100" s="152"/>
      <c r="O100" s="152"/>
      <c r="P100" s="152"/>
    </row>
    <row r="101" spans="14:16" x14ac:dyDescent="0.25">
      <c r="N101" s="152"/>
      <c r="O101" s="152"/>
      <c r="P101" s="152"/>
    </row>
    <row r="102" spans="14:16" x14ac:dyDescent="0.25">
      <c r="N102" s="152"/>
      <c r="O102" s="152"/>
      <c r="P102" s="152"/>
    </row>
    <row r="103" spans="14:16" x14ac:dyDescent="0.25">
      <c r="N103" s="152"/>
      <c r="O103" s="152"/>
      <c r="P103" s="152"/>
    </row>
    <row r="104" spans="14:16" x14ac:dyDescent="0.25">
      <c r="N104" s="152"/>
      <c r="O104" s="152"/>
      <c r="P104" s="152"/>
    </row>
    <row r="105" spans="14:16" x14ac:dyDescent="0.25">
      <c r="N105" s="152"/>
      <c r="O105" s="152"/>
      <c r="P105" s="152"/>
    </row>
    <row r="106" spans="14:16" x14ac:dyDescent="0.25">
      <c r="N106" s="152"/>
      <c r="O106" s="152"/>
      <c r="P106" s="152"/>
    </row>
    <row r="107" spans="14:16" x14ac:dyDescent="0.25">
      <c r="N107" s="152"/>
      <c r="O107" s="152"/>
      <c r="P107" s="152"/>
    </row>
    <row r="108" spans="14:16" x14ac:dyDescent="0.25">
      <c r="N108" s="152"/>
      <c r="O108" s="152"/>
      <c r="P108" s="152"/>
    </row>
    <row r="109" spans="14:16" x14ac:dyDescent="0.25">
      <c r="N109" s="152"/>
      <c r="O109" s="152"/>
      <c r="P109" s="152"/>
    </row>
    <row r="110" spans="14:16" x14ac:dyDescent="0.25">
      <c r="N110" s="152"/>
      <c r="O110" s="152"/>
      <c r="P110" s="152"/>
    </row>
    <row r="111" spans="14:16" x14ac:dyDescent="0.25">
      <c r="N111" s="152"/>
      <c r="O111" s="152"/>
      <c r="P111" s="152"/>
    </row>
    <row r="112" spans="14:16" x14ac:dyDescent="0.25">
      <c r="N112" s="152"/>
      <c r="O112" s="152"/>
      <c r="P112" s="152"/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K83"/>
  <sheetViews>
    <sheetView zoomScale="75" zoomScaleNormal="75" workbookViewId="0">
      <selection activeCell="D49" sqref="D48:D49"/>
    </sheetView>
  </sheetViews>
  <sheetFormatPr defaultRowHeight="13.2" x14ac:dyDescent="0.25"/>
  <cols>
    <col min="1" max="1" width="22.33203125" customWidth="1"/>
    <col min="2" max="2" width="13.88671875" customWidth="1"/>
    <col min="3" max="3" width="12" customWidth="1"/>
    <col min="4" max="4" width="13.44140625" customWidth="1"/>
    <col min="5" max="5" width="14.88671875" customWidth="1"/>
    <col min="6" max="6" width="12.6640625" customWidth="1"/>
    <col min="7" max="7" width="12.5546875" customWidth="1"/>
    <col min="8" max="8" width="12.109375" bestFit="1" customWidth="1"/>
    <col min="9" max="9" width="10.5546875" bestFit="1" customWidth="1"/>
    <col min="10" max="10" width="10.33203125" bestFit="1" customWidth="1"/>
  </cols>
  <sheetData>
    <row r="2" spans="1:11" ht="13.8" thickBot="1" x14ac:dyDescent="0.3">
      <c r="B2" s="83"/>
      <c r="C2" s="83"/>
      <c r="D2" s="83"/>
      <c r="E2" s="83"/>
      <c r="F2" s="83"/>
      <c r="G2" s="83"/>
      <c r="H2" s="83"/>
      <c r="I2" s="83"/>
      <c r="J2" s="83"/>
      <c r="K2" s="30"/>
    </row>
    <row r="3" spans="1:11" ht="17.399999999999999" thickBot="1" x14ac:dyDescent="0.35">
      <c r="A3" s="311" t="s">
        <v>259</v>
      </c>
      <c r="B3" s="312"/>
      <c r="C3" s="312"/>
      <c r="D3" s="312"/>
      <c r="E3" s="312"/>
      <c r="F3" s="68"/>
      <c r="G3" s="68"/>
      <c r="H3" s="68"/>
      <c r="I3" s="68"/>
      <c r="J3" s="68"/>
      <c r="K3" s="30"/>
    </row>
    <row r="4" spans="1:11" ht="15.6" x14ac:dyDescent="0.3">
      <c r="B4" s="30"/>
      <c r="C4" s="30"/>
      <c r="D4" s="30"/>
      <c r="E4" s="30"/>
      <c r="F4" s="30"/>
      <c r="G4" s="30"/>
      <c r="H4" s="30"/>
      <c r="I4" s="30"/>
      <c r="J4" s="68"/>
      <c r="K4" s="30"/>
    </row>
    <row r="5" spans="1:11" ht="15.6" x14ac:dyDescent="0.3">
      <c r="A5" s="93"/>
      <c r="B5" s="951" t="s">
        <v>258</v>
      </c>
      <c r="C5" s="951"/>
      <c r="D5" s="951"/>
      <c r="E5" s="951"/>
      <c r="F5" s="68"/>
      <c r="G5" s="952" t="s">
        <v>37</v>
      </c>
      <c r="H5" s="952"/>
      <c r="I5" s="952"/>
      <c r="J5" s="58"/>
      <c r="K5" s="94"/>
    </row>
    <row r="6" spans="1:11" ht="15.6" x14ac:dyDescent="0.3">
      <c r="A6" s="93"/>
      <c r="B6" s="68"/>
      <c r="C6" s="68"/>
      <c r="D6" s="68"/>
      <c r="E6" s="68"/>
      <c r="F6" s="68"/>
      <c r="G6" s="68"/>
      <c r="H6" s="68"/>
      <c r="I6" s="68"/>
      <c r="J6" s="58"/>
      <c r="K6" s="94"/>
    </row>
    <row r="7" spans="1:11" x14ac:dyDescent="0.25">
      <c r="B7" s="5" t="s">
        <v>152</v>
      </c>
      <c r="C7" s="5" t="s">
        <v>266</v>
      </c>
      <c r="D7" s="5"/>
      <c r="E7" s="5"/>
      <c r="F7" s="5"/>
      <c r="G7" s="155">
        <v>4146</v>
      </c>
      <c r="H7" s="208" t="s">
        <v>119</v>
      </c>
      <c r="I7" s="193">
        <v>5407</v>
      </c>
      <c r="J7" s="56"/>
      <c r="K7" s="30"/>
    </row>
    <row r="8" spans="1:11" x14ac:dyDescent="0.25">
      <c r="B8" s="5" t="s">
        <v>153</v>
      </c>
      <c r="C8" s="5"/>
      <c r="D8" s="5"/>
      <c r="E8" s="5"/>
      <c r="F8" s="5"/>
      <c r="G8" s="56"/>
      <c r="H8" s="208" t="s">
        <v>119</v>
      </c>
      <c r="I8" s="56"/>
      <c r="J8" s="56"/>
      <c r="K8" s="30"/>
    </row>
    <row r="9" spans="1:11" x14ac:dyDescent="0.25">
      <c r="B9" s="5" t="s">
        <v>214</v>
      </c>
      <c r="C9" s="5"/>
      <c r="D9" s="5"/>
      <c r="E9" s="5"/>
      <c r="F9" s="5"/>
      <c r="G9" s="56"/>
      <c r="H9" s="208" t="s">
        <v>119</v>
      </c>
      <c r="I9" s="56">
        <f>'Sum of Parts-Slide'!L17</f>
        <v>6489.6</v>
      </c>
      <c r="J9" s="123"/>
      <c r="K9" s="30"/>
    </row>
    <row r="10" spans="1:11" ht="15" x14ac:dyDescent="0.4">
      <c r="B10" s="5" t="s">
        <v>13</v>
      </c>
      <c r="C10" s="5"/>
      <c r="D10" s="5"/>
      <c r="E10" s="5"/>
      <c r="F10" s="5"/>
      <c r="G10" s="121"/>
      <c r="H10" s="208" t="s">
        <v>119</v>
      </c>
      <c r="I10" s="121">
        <v>171</v>
      </c>
      <c r="J10" s="26"/>
      <c r="K10" s="30"/>
    </row>
    <row r="11" spans="1:11" x14ac:dyDescent="0.25">
      <c r="B11" s="5"/>
      <c r="C11" s="5" t="s">
        <v>120</v>
      </c>
      <c r="D11" s="5"/>
      <c r="E11" s="5"/>
      <c r="F11" s="5"/>
      <c r="G11" s="59">
        <f>SUM(G7:G10)</f>
        <v>4146</v>
      </c>
      <c r="H11" s="208" t="s">
        <v>119</v>
      </c>
      <c r="I11" s="59">
        <f>SUM(I7:I10)</f>
        <v>12067.6</v>
      </c>
      <c r="J11" s="84"/>
      <c r="K11" s="30"/>
    </row>
    <row r="12" spans="1:11" x14ac:dyDescent="0.25">
      <c r="B12" s="5"/>
      <c r="C12" s="5"/>
      <c r="D12" s="5"/>
      <c r="E12" s="5"/>
      <c r="F12" s="5"/>
      <c r="G12" s="51"/>
      <c r="H12" s="16"/>
      <c r="I12" s="51"/>
      <c r="J12" s="84"/>
      <c r="K12" s="30"/>
    </row>
    <row r="13" spans="1:11" x14ac:dyDescent="0.25">
      <c r="B13" s="5"/>
      <c r="C13" s="5" t="s">
        <v>121</v>
      </c>
      <c r="D13" s="5"/>
      <c r="E13" s="5"/>
      <c r="F13" s="16"/>
      <c r="G13" s="5"/>
      <c r="H13" s="213"/>
      <c r="I13" s="51"/>
      <c r="J13" s="26"/>
      <c r="K13" s="30"/>
    </row>
    <row r="14" spans="1:11" x14ac:dyDescent="0.25">
      <c r="B14" s="5"/>
      <c r="C14" s="5"/>
      <c r="D14" s="5"/>
      <c r="E14" s="5"/>
      <c r="F14" s="16"/>
      <c r="G14" s="226"/>
      <c r="H14" s="213"/>
      <c r="I14" s="226"/>
      <c r="J14" s="26"/>
      <c r="K14" s="30"/>
    </row>
    <row r="15" spans="1:11" ht="15" x14ac:dyDescent="0.4">
      <c r="B15" s="5"/>
      <c r="C15" s="5" t="s">
        <v>471</v>
      </c>
      <c r="D15" s="5"/>
      <c r="E15" s="5"/>
      <c r="F15" s="16"/>
      <c r="G15" s="212"/>
      <c r="H15" s="56"/>
      <c r="I15" s="190"/>
      <c r="J15" s="26"/>
      <c r="K15" s="30"/>
    </row>
    <row r="16" spans="1:11" x14ac:dyDescent="0.25">
      <c r="B16" s="5"/>
      <c r="C16" s="5"/>
      <c r="D16" s="61" t="s">
        <v>122</v>
      </c>
      <c r="E16" s="5"/>
      <c r="F16" s="5"/>
      <c r="G16" s="227">
        <f>G11-H13-G14-G15</f>
        <v>4146</v>
      </c>
      <c r="H16" s="120">
        <f>[4]Summary!H56</f>
        <v>0</v>
      </c>
      <c r="I16" s="227">
        <f>I11-H13-I14-I15</f>
        <v>12067.6</v>
      </c>
      <c r="J16" s="84"/>
      <c r="K16" s="30"/>
    </row>
    <row r="17" spans="2:11" x14ac:dyDescent="0.25">
      <c r="B17" s="5"/>
      <c r="C17" s="5"/>
      <c r="D17" s="35"/>
      <c r="E17" s="5"/>
      <c r="F17" s="5"/>
      <c r="G17" s="5"/>
      <c r="H17" s="51"/>
      <c r="I17" s="51"/>
      <c r="J17" s="84"/>
      <c r="K17" s="30"/>
    </row>
    <row r="18" spans="2:11" x14ac:dyDescent="0.25">
      <c r="B18" s="5"/>
      <c r="C18" s="5"/>
      <c r="D18" s="5" t="s">
        <v>123</v>
      </c>
      <c r="E18" s="5"/>
      <c r="F18" s="5"/>
      <c r="G18" s="5"/>
      <c r="H18" s="137">
        <f>'Sum of Parts-Slide'!$N$48</f>
        <v>159.24600000000001</v>
      </c>
      <c r="I18" s="51"/>
      <c r="J18" s="84"/>
      <c r="K18" s="30"/>
    </row>
    <row r="19" spans="2:11" x14ac:dyDescent="0.25">
      <c r="B19" s="5"/>
      <c r="C19" s="5"/>
      <c r="D19" s="5"/>
      <c r="E19" s="5"/>
      <c r="F19" s="5"/>
      <c r="G19" s="15"/>
      <c r="H19" s="16"/>
      <c r="I19" s="15"/>
      <c r="J19" s="124"/>
      <c r="K19" s="30"/>
    </row>
    <row r="20" spans="2:11" ht="13.8" thickBot="1" x14ac:dyDescent="0.3">
      <c r="B20" s="5"/>
      <c r="C20" s="5"/>
      <c r="D20" s="5" t="s">
        <v>124</v>
      </c>
      <c r="E20" s="5"/>
      <c r="F20" s="5"/>
      <c r="G20" s="62">
        <f>G16/H18</f>
        <v>26.035190836818504</v>
      </c>
      <c r="H20" s="60">
        <f>[4]Summary!H60</f>
        <v>0</v>
      </c>
      <c r="I20" s="62">
        <f>I16/H18</f>
        <v>75.779611418811143</v>
      </c>
      <c r="J20" s="83"/>
      <c r="K20" s="30"/>
    </row>
    <row r="21" spans="2:11" ht="13.8" thickTop="1" x14ac:dyDescent="0.25">
      <c r="B21" s="5"/>
      <c r="C21" s="5"/>
      <c r="D21" s="5"/>
      <c r="E21" s="5"/>
      <c r="F21" s="5"/>
      <c r="G21" s="15"/>
      <c r="H21" s="16"/>
      <c r="I21" s="15"/>
      <c r="J21" s="83"/>
      <c r="K21" s="30"/>
    </row>
    <row r="22" spans="2:11" x14ac:dyDescent="0.25">
      <c r="B22" s="5"/>
      <c r="C22" s="5"/>
      <c r="D22" s="5" t="s">
        <v>125</v>
      </c>
      <c r="E22" s="5"/>
      <c r="F22" s="63"/>
      <c r="G22" s="72"/>
      <c r="H22" s="64">
        <f>'Segment Fin Proj'!$J$194</f>
        <v>24.5</v>
      </c>
      <c r="I22" s="64"/>
      <c r="J22" s="83"/>
      <c r="K22" s="30"/>
    </row>
    <row r="23" spans="2:11" x14ac:dyDescent="0.25">
      <c r="B23" s="5"/>
      <c r="C23" s="5"/>
      <c r="D23" s="5"/>
      <c r="E23" s="5"/>
      <c r="F23" s="63"/>
      <c r="G23" s="72"/>
      <c r="H23" s="64"/>
      <c r="I23" s="64"/>
      <c r="J23" s="83"/>
      <c r="K23" s="30"/>
    </row>
    <row r="24" spans="2:11" x14ac:dyDescent="0.25">
      <c r="B24" s="5"/>
      <c r="C24" s="5"/>
      <c r="D24" s="5"/>
      <c r="E24" s="5"/>
      <c r="F24" s="156"/>
      <c r="G24" s="72"/>
      <c r="H24" s="64"/>
      <c r="I24" s="64"/>
      <c r="J24" s="83"/>
      <c r="K24" s="30"/>
    </row>
    <row r="25" spans="2:11" x14ac:dyDescent="0.25">
      <c r="B25" s="5"/>
      <c r="C25" s="5"/>
      <c r="D25" s="5"/>
      <c r="E25" s="5"/>
      <c r="F25" s="5"/>
      <c r="G25" s="15"/>
      <c r="H25" s="16"/>
      <c r="I25" s="15"/>
      <c r="J25" s="125"/>
      <c r="K25" s="30"/>
    </row>
    <row r="26" spans="2:11" ht="13.8" thickBot="1" x14ac:dyDescent="0.3">
      <c r="B26" s="5"/>
      <c r="C26" s="5"/>
      <c r="D26" s="5" t="s">
        <v>529</v>
      </c>
      <c r="E26" s="5"/>
      <c r="F26" s="5"/>
      <c r="G26" s="310">
        <f>-(H22-G20)/H22</f>
        <v>6.2660850482387925E-2</v>
      </c>
      <c r="H26" s="60" t="s">
        <v>119</v>
      </c>
      <c r="I26" s="310">
        <f>-(H22-I20)/H22</f>
        <v>2.0930453640331077</v>
      </c>
      <c r="J26" s="83"/>
      <c r="K26" s="30"/>
    </row>
    <row r="27" spans="2:11" ht="13.8" thickTop="1" x14ac:dyDescent="0.25">
      <c r="G27" s="65"/>
      <c r="I27" s="65"/>
      <c r="J27" s="126"/>
      <c r="K27" s="30"/>
    </row>
    <row r="28" spans="2:11" x14ac:dyDescent="0.25">
      <c r="J28" s="126"/>
      <c r="K28" s="30"/>
    </row>
    <row r="29" spans="2:11" x14ac:dyDescent="0.25">
      <c r="G29" s="66"/>
      <c r="H29" s="60"/>
      <c r="I29" s="66"/>
      <c r="J29" s="126"/>
      <c r="K29" s="30"/>
    </row>
    <row r="30" spans="2:11" x14ac:dyDescent="0.25">
      <c r="G30" s="66"/>
      <c r="H30" s="60"/>
      <c r="I30" s="66"/>
      <c r="J30" s="126"/>
      <c r="K30" s="30"/>
    </row>
    <row r="31" spans="2:11" x14ac:dyDescent="0.25">
      <c r="G31" s="66"/>
      <c r="H31" s="60"/>
      <c r="I31" s="66"/>
      <c r="J31" s="83"/>
      <c r="K31" s="30"/>
    </row>
    <row r="32" spans="2:11" x14ac:dyDescent="0.25">
      <c r="B32" t="s">
        <v>438</v>
      </c>
      <c r="C32" s="83"/>
      <c r="D32" s="83"/>
      <c r="E32" s="83"/>
      <c r="F32" s="83"/>
      <c r="G32" s="83"/>
      <c r="H32" s="83"/>
      <c r="I32" s="83"/>
    </row>
    <row r="33" spans="1:5" x14ac:dyDescent="0.25">
      <c r="B33" t="s">
        <v>439</v>
      </c>
    </row>
    <row r="34" spans="1:5" ht="13.8" thickBot="1" x14ac:dyDescent="0.3">
      <c r="B34" s="57" t="s">
        <v>472</v>
      </c>
    </row>
    <row r="35" spans="1:5" ht="17.399999999999999" thickBot="1" x14ac:dyDescent="0.35">
      <c r="A35" s="311" t="s">
        <v>267</v>
      </c>
      <c r="B35" s="312"/>
      <c r="C35" s="312"/>
      <c r="D35" s="312"/>
      <c r="E35" s="312"/>
    </row>
    <row r="37" spans="1:5" x14ac:dyDescent="0.25">
      <c r="A37" t="s">
        <v>268</v>
      </c>
      <c r="C37" s="326">
        <v>100</v>
      </c>
      <c r="D37" t="s">
        <v>475</v>
      </c>
    </row>
    <row r="38" spans="1:5" x14ac:dyDescent="0.25">
      <c r="A38" t="s">
        <v>269</v>
      </c>
      <c r="C38" s="325">
        <v>0.02</v>
      </c>
      <c r="D38" t="s">
        <v>474</v>
      </c>
    </row>
    <row r="39" spans="1:5" x14ac:dyDescent="0.25">
      <c r="A39" t="s">
        <v>270</v>
      </c>
      <c r="C39" s="221">
        <v>32</v>
      </c>
      <c r="D39" t="s">
        <v>473</v>
      </c>
    </row>
    <row r="40" spans="1:5" x14ac:dyDescent="0.25">
      <c r="A40" t="s">
        <v>271</v>
      </c>
      <c r="C40" s="95">
        <v>0.01</v>
      </c>
      <c r="D40" t="s">
        <v>474</v>
      </c>
    </row>
    <row r="41" spans="1:5" x14ac:dyDescent="0.25">
      <c r="A41" t="s">
        <v>272</v>
      </c>
      <c r="C41" s="229">
        <v>0.53</v>
      </c>
      <c r="E41" s="192"/>
    </row>
    <row r="42" spans="1:5" x14ac:dyDescent="0.25">
      <c r="A42" t="s">
        <v>273</v>
      </c>
      <c r="C42" s="325">
        <v>0.01</v>
      </c>
      <c r="D42" t="s">
        <v>474</v>
      </c>
    </row>
    <row r="43" spans="1:5" x14ac:dyDescent="0.25">
      <c r="A43" t="s">
        <v>274</v>
      </c>
      <c r="C43" s="325">
        <v>0.02</v>
      </c>
      <c r="D43" t="s">
        <v>476</v>
      </c>
    </row>
    <row r="44" spans="1:5" x14ac:dyDescent="0.25">
      <c r="A44" t="s">
        <v>275</v>
      </c>
      <c r="C44" t="s">
        <v>24</v>
      </c>
    </row>
    <row r="45" spans="1:5" x14ac:dyDescent="0.25">
      <c r="A45" t="s">
        <v>276</v>
      </c>
      <c r="C45" t="s">
        <v>277</v>
      </c>
    </row>
    <row r="46" spans="1:5" x14ac:dyDescent="0.25">
      <c r="A46" t="s">
        <v>289</v>
      </c>
      <c r="C46" s="327">
        <v>0.39</v>
      </c>
    </row>
    <row r="49" spans="1:10" x14ac:dyDescent="0.25">
      <c r="A49" s="220" t="s">
        <v>278</v>
      </c>
      <c r="B49" s="220"/>
      <c r="C49" s="220"/>
      <c r="D49" s="220"/>
      <c r="E49" s="220">
        <v>2000</v>
      </c>
      <c r="F49" s="220">
        <v>2001</v>
      </c>
      <c r="G49" s="220">
        <v>2002</v>
      </c>
      <c r="H49" s="220">
        <v>2003</v>
      </c>
      <c r="I49" s="220">
        <v>2004</v>
      </c>
      <c r="J49" s="220">
        <v>2005</v>
      </c>
    </row>
    <row r="50" spans="1:10" x14ac:dyDescent="0.25">
      <c r="A50" t="s">
        <v>279</v>
      </c>
    </row>
    <row r="51" spans="1:10" x14ac:dyDescent="0.25">
      <c r="B51" t="s">
        <v>280</v>
      </c>
      <c r="E51" s="196">
        <f>$C$39</f>
        <v>32</v>
      </c>
      <c r="F51" s="196">
        <f>E51*(1+$C$40)</f>
        <v>32.32</v>
      </c>
      <c r="G51" s="196">
        <f>F51*(1+$C$40)</f>
        <v>32.6432</v>
      </c>
      <c r="H51" s="196">
        <f>G51*(1+$C$40)</f>
        <v>32.969631999999997</v>
      </c>
      <c r="I51" s="196">
        <f>H51*(1+$C$40)</f>
        <v>33.299328320000001</v>
      </c>
      <c r="J51" s="196">
        <f>I51*(1+$C$40)</f>
        <v>33.632321603199998</v>
      </c>
    </row>
    <row r="52" spans="1:10" ht="15" x14ac:dyDescent="0.4">
      <c r="B52" t="s">
        <v>262</v>
      </c>
      <c r="E52" s="328">
        <v>42941</v>
      </c>
      <c r="F52" s="202">
        <f>$E$52</f>
        <v>42941</v>
      </c>
      <c r="G52" s="202">
        <f>$E$52</f>
        <v>42941</v>
      </c>
      <c r="H52" s="202">
        <f>$E$52</f>
        <v>42941</v>
      </c>
      <c r="I52" s="202">
        <f>$E$52</f>
        <v>42941</v>
      </c>
      <c r="J52" s="202">
        <f>$E$52</f>
        <v>42941</v>
      </c>
    </row>
    <row r="53" spans="1:10" x14ac:dyDescent="0.25">
      <c r="B53" t="s">
        <v>281</v>
      </c>
      <c r="E53" s="189">
        <f t="shared" ref="E53:J53" si="0">E52*E51/1000</f>
        <v>1374.1120000000001</v>
      </c>
      <c r="F53" s="189">
        <f t="shared" si="0"/>
        <v>1387.8531200000002</v>
      </c>
      <c r="G53" s="189">
        <f t="shared" si="0"/>
        <v>1401.7316512</v>
      </c>
      <c r="H53" s="189">
        <f t="shared" si="0"/>
        <v>1415.7489677119997</v>
      </c>
      <c r="I53" s="189">
        <f t="shared" si="0"/>
        <v>1429.9064573891201</v>
      </c>
      <c r="J53" s="189">
        <f t="shared" si="0"/>
        <v>1444.2055219630111</v>
      </c>
    </row>
    <row r="55" spans="1:10" x14ac:dyDescent="0.25">
      <c r="A55" t="s">
        <v>282</v>
      </c>
    </row>
    <row r="56" spans="1:10" x14ac:dyDescent="0.25">
      <c r="B56" t="s">
        <v>283</v>
      </c>
      <c r="E56" s="172">
        <v>556.89099999999996</v>
      </c>
      <c r="F56" s="189">
        <f>E56*(1+$C$42)</f>
        <v>562.45990999999992</v>
      </c>
      <c r="G56" s="189">
        <f>F56*(1+$C$42)</f>
        <v>568.08450909999988</v>
      </c>
      <c r="H56" s="189">
        <f>G56*(1+$C$42)</f>
        <v>573.76535419099991</v>
      </c>
      <c r="I56" s="189">
        <f>H56*(1+$C$42)</f>
        <v>579.50300773290996</v>
      </c>
      <c r="J56" s="189">
        <f>I56*(1+$C$42)</f>
        <v>585.29803781023907</v>
      </c>
    </row>
    <row r="57" spans="1:10" ht="15" x14ac:dyDescent="0.4">
      <c r="B57" t="s">
        <v>284</v>
      </c>
      <c r="E57" s="329">
        <v>179.78800000000001</v>
      </c>
      <c r="F57" s="190">
        <f>E57*(1+$C$43)</f>
        <v>183.38376000000002</v>
      </c>
      <c r="G57" s="190">
        <f>F57*(1+$C$43)</f>
        <v>187.05143520000001</v>
      </c>
      <c r="H57" s="190">
        <f>G57*(1+$C$43)</f>
        <v>190.79246390400002</v>
      </c>
      <c r="I57" s="190">
        <f>H57*(1+$C$43)</f>
        <v>194.60831318208002</v>
      </c>
      <c r="J57" s="190">
        <f>I57*(1+$C$43)</f>
        <v>198.50047944572162</v>
      </c>
    </row>
    <row r="58" spans="1:10" x14ac:dyDescent="0.25">
      <c r="B58" t="s">
        <v>285</v>
      </c>
      <c r="E58" s="201">
        <f t="shared" ref="E58:J58" si="1">SUM(E56:E57)</f>
        <v>736.67899999999997</v>
      </c>
      <c r="F58" s="201">
        <f t="shared" si="1"/>
        <v>745.84366999999997</v>
      </c>
      <c r="G58" s="201">
        <f t="shared" si="1"/>
        <v>755.13594429999989</v>
      </c>
      <c r="H58" s="201">
        <f t="shared" si="1"/>
        <v>764.5578180949999</v>
      </c>
      <c r="I58" s="201">
        <f t="shared" si="1"/>
        <v>774.11132091498996</v>
      </c>
      <c r="J58" s="201">
        <f t="shared" si="1"/>
        <v>783.79851725596063</v>
      </c>
    </row>
    <row r="60" spans="1:10" x14ac:dyDescent="0.25">
      <c r="A60" t="s">
        <v>24</v>
      </c>
      <c r="E60" s="189">
        <f t="shared" ref="E60:J60" si="2">E53-E58</f>
        <v>637.43300000000011</v>
      </c>
      <c r="F60" s="189">
        <f t="shared" si="2"/>
        <v>642.00945000000024</v>
      </c>
      <c r="G60" s="189">
        <f t="shared" si="2"/>
        <v>646.5957069000001</v>
      </c>
      <c r="H60" s="189">
        <f t="shared" si="2"/>
        <v>651.19114961699984</v>
      </c>
      <c r="I60" s="189">
        <f t="shared" si="2"/>
        <v>655.79513647413012</v>
      </c>
      <c r="J60" s="189">
        <f t="shared" si="2"/>
        <v>660.40700470705042</v>
      </c>
    </row>
    <row r="61" spans="1:10" ht="15" x14ac:dyDescent="0.4">
      <c r="A61" t="s">
        <v>286</v>
      </c>
      <c r="E61" s="190">
        <f>$C$37</f>
        <v>100</v>
      </c>
      <c r="F61" s="34">
        <f>E61*(1+$C$38)</f>
        <v>102</v>
      </c>
      <c r="G61" s="34">
        <f>F61*(1+$C$38)</f>
        <v>104.04</v>
      </c>
      <c r="H61" s="34">
        <f>G61*(1+$C$38)</f>
        <v>106.1208</v>
      </c>
      <c r="I61" s="34">
        <f>H61*(1+$C$38)</f>
        <v>108.243216</v>
      </c>
      <c r="J61" s="34">
        <f>I61*(1+$C$38)</f>
        <v>110.40808032000001</v>
      </c>
    </row>
    <row r="62" spans="1:10" x14ac:dyDescent="0.25">
      <c r="A62" t="s">
        <v>287</v>
      </c>
      <c r="E62" s="201">
        <f t="shared" ref="E62:J62" si="3">E60-E61</f>
        <v>537.43300000000011</v>
      </c>
      <c r="F62" s="201">
        <f t="shared" si="3"/>
        <v>540.00945000000024</v>
      </c>
      <c r="G62" s="201">
        <f t="shared" si="3"/>
        <v>542.55570690000013</v>
      </c>
      <c r="H62" s="201">
        <f t="shared" si="3"/>
        <v>545.07034961699981</v>
      </c>
      <c r="I62" s="201">
        <f t="shared" si="3"/>
        <v>547.55192047413016</v>
      </c>
      <c r="J62" s="201">
        <f t="shared" si="3"/>
        <v>549.99892438705047</v>
      </c>
    </row>
    <row r="63" spans="1:10" x14ac:dyDescent="0.25">
      <c r="A63" t="s">
        <v>288</v>
      </c>
      <c r="E63" s="201">
        <f t="shared" ref="E63:J63" si="4">(1-$C$46)*E62</f>
        <v>327.83413000000007</v>
      </c>
      <c r="F63" s="201">
        <f t="shared" si="4"/>
        <v>329.40576450000015</v>
      </c>
      <c r="G63" s="201">
        <f t="shared" si="4"/>
        <v>330.95898120900006</v>
      </c>
      <c r="H63" s="201">
        <f t="shared" si="4"/>
        <v>332.4929132663699</v>
      </c>
      <c r="I63" s="201">
        <f t="shared" si="4"/>
        <v>334.0066714892194</v>
      </c>
      <c r="J63" s="201">
        <f t="shared" si="4"/>
        <v>335.4993438761008</v>
      </c>
    </row>
    <row r="65" spans="1:10" hidden="1" x14ac:dyDescent="0.25">
      <c r="E65">
        <v>0</v>
      </c>
      <c r="F65">
        <v>0</v>
      </c>
      <c r="G65">
        <v>0</v>
      </c>
      <c r="H65">
        <v>0</v>
      </c>
      <c r="I65">
        <v>0</v>
      </c>
      <c r="J65" s="201">
        <f>J60</f>
        <v>660.40700470705042</v>
      </c>
    </row>
    <row r="66" spans="1:10" x14ac:dyDescent="0.25">
      <c r="E66" t="s">
        <v>260</v>
      </c>
      <c r="G66" s="244"/>
    </row>
    <row r="67" spans="1:10" x14ac:dyDescent="0.25">
      <c r="E67" s="192" t="s">
        <v>290</v>
      </c>
    </row>
    <row r="68" spans="1:10" x14ac:dyDescent="0.25">
      <c r="C68" s="192" t="s">
        <v>276</v>
      </c>
      <c r="D68" s="245">
        <v>7</v>
      </c>
      <c r="E68" s="246">
        <v>8</v>
      </c>
      <c r="F68" s="247">
        <v>9</v>
      </c>
      <c r="J68" s="244"/>
    </row>
    <row r="69" spans="1:10" x14ac:dyDescent="0.25">
      <c r="C69" s="254">
        <v>7.4999999999999997E-2</v>
      </c>
      <c r="D69" s="234">
        <f>NPV($C69,$E$63:$J$63)+NPV($C69,$E$65:$J$65)*D$68</f>
        <v>4550.8615052861996</v>
      </c>
      <c r="E69" s="235">
        <f t="shared" ref="E69:F73" si="5">NPV($C69,$E$63:$J$63)+NPV($C69,$E$65:$J$65)*E$68</f>
        <v>4978.779830861251</v>
      </c>
      <c r="F69" s="236">
        <f t="shared" si="5"/>
        <v>5406.6981564363014</v>
      </c>
      <c r="G69" s="244"/>
      <c r="H69" s="244"/>
    </row>
    <row r="70" spans="1:10" x14ac:dyDescent="0.25">
      <c r="C70" s="254">
        <v>0.08</v>
      </c>
      <c r="D70" s="237">
        <f>NPV($C70,$E$63:$J$63)+NPV($C70,$E$65:$J$65)*D$68</f>
        <v>4445.0004716336225</v>
      </c>
      <c r="E70" s="204">
        <f t="shared" si="5"/>
        <v>4861.1689073808539</v>
      </c>
      <c r="F70" s="238">
        <f t="shared" si="5"/>
        <v>5277.3373431280834</v>
      </c>
    </row>
    <row r="71" spans="1:10" x14ac:dyDescent="0.25">
      <c r="C71" s="254">
        <v>8.5000000000000006E-2</v>
      </c>
      <c r="D71" s="237">
        <f>NPV($C71,$E$63:$J$63)+NPV($C71,$E$65:$J$65)*D$68</f>
        <v>4342.3204458206383</v>
      </c>
      <c r="E71" s="204">
        <f t="shared" si="5"/>
        <v>4747.1136771460278</v>
      </c>
      <c r="F71" s="238">
        <f t="shared" si="5"/>
        <v>5151.9069084714192</v>
      </c>
    </row>
    <row r="72" spans="1:10" x14ac:dyDescent="0.25">
      <c r="C72" s="254">
        <v>0.09</v>
      </c>
      <c r="D72" s="237">
        <f>NPV($C72,$E$63:$J$63)+NPV($C72,$E$65:$J$65)*D$68</f>
        <v>4242.7094700723965</v>
      </c>
      <c r="E72" s="204">
        <f t="shared" si="5"/>
        <v>4636.4885894213785</v>
      </c>
      <c r="F72" s="238">
        <f t="shared" si="5"/>
        <v>5030.2677087703614</v>
      </c>
    </row>
    <row r="73" spans="1:10" x14ac:dyDescent="0.25">
      <c r="C73" s="254">
        <v>9.5000000000000001E-2</v>
      </c>
      <c r="D73" s="239">
        <f>NPV($C73,$E$63:$J$63)+NPV($C73,$E$65:$J$65)*D$68</f>
        <v>4146.0600527613669</v>
      </c>
      <c r="E73" s="240">
        <f t="shared" si="5"/>
        <v>4529.1731118808621</v>
      </c>
      <c r="F73" s="241">
        <f t="shared" si="5"/>
        <v>4912.2861710003572</v>
      </c>
    </row>
    <row r="76" spans="1:10" x14ac:dyDescent="0.25">
      <c r="A76" s="1"/>
    </row>
    <row r="78" spans="1:10" x14ac:dyDescent="0.25">
      <c r="B78" s="205"/>
      <c r="C78" s="69"/>
      <c r="D78" s="205"/>
    </row>
    <row r="79" spans="1:10" x14ac:dyDescent="0.25">
      <c r="A79" s="52"/>
      <c r="B79" s="255"/>
      <c r="C79" s="52"/>
      <c r="D79" s="255"/>
    </row>
    <row r="80" spans="1:10" x14ac:dyDescent="0.25">
      <c r="B80" s="155"/>
      <c r="D80" s="155"/>
    </row>
    <row r="81" spans="1:4" x14ac:dyDescent="0.25">
      <c r="A81" s="52"/>
      <c r="B81" s="255"/>
      <c r="C81" s="255"/>
      <c r="D81" s="240"/>
    </row>
    <row r="82" spans="1:4" x14ac:dyDescent="0.25">
      <c r="B82" s="201"/>
      <c r="C82" s="201"/>
      <c r="D82" s="201"/>
    </row>
    <row r="83" spans="1:4" x14ac:dyDescent="0.25">
      <c r="B83" s="155"/>
      <c r="D83" s="155"/>
    </row>
  </sheetData>
  <mergeCells count="2">
    <mergeCell ref="B5:E5"/>
    <mergeCell ref="G5:I5"/>
  </mergeCells>
  <pageMargins left="0.75" right="0.75" top="1" bottom="1" header="0.5" footer="0.5"/>
  <pageSetup scale="72" orientation="landscape" r:id="rId1"/>
  <headerFooter alignWithMargins="0">
    <oddFooter>Page &amp;P of &amp;N</oddFooter>
  </headerFooter>
  <rowBreaks count="1" manualBreakCount="1">
    <brk id="34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workbookViewId="0">
      <selection activeCell="E47" sqref="E47"/>
    </sheetView>
  </sheetViews>
  <sheetFormatPr defaultColWidth="9.109375" defaultRowHeight="13.8" x14ac:dyDescent="0.3"/>
  <cols>
    <col min="1" max="1" width="32.109375" style="352" customWidth="1"/>
    <col min="2" max="2" width="9.5546875" style="352" customWidth="1"/>
    <col min="3" max="3" width="9" style="352" customWidth="1"/>
    <col min="4" max="4" width="7.5546875" style="353" customWidth="1"/>
    <col min="5" max="5" width="9.109375" style="353"/>
    <col min="6" max="6" width="23.6640625" style="353" customWidth="1"/>
    <col min="7" max="7" width="8.5546875" style="353" customWidth="1"/>
    <col min="8" max="9" width="6.5546875" style="353" customWidth="1"/>
    <col min="10" max="13" width="9.109375" style="353"/>
    <col min="14" max="14" width="20.6640625" style="353" customWidth="1"/>
    <col min="15" max="15" width="10" style="353" customWidth="1"/>
    <col min="16" max="16" width="12" style="353" customWidth="1"/>
    <col min="17" max="18" width="11.109375" style="353" customWidth="1"/>
    <col min="19" max="46" width="9.109375" style="353"/>
    <col min="47" max="16384" width="9.109375" style="352"/>
  </cols>
  <sheetData>
    <row r="1" spans="1:10" x14ac:dyDescent="0.3">
      <c r="A1" s="457" t="s">
        <v>221</v>
      </c>
      <c r="B1" s="441"/>
      <c r="C1" s="441"/>
      <c r="D1" s="442"/>
      <c r="E1" s="442"/>
      <c r="F1" s="442"/>
      <c r="G1" s="442"/>
      <c r="H1" s="442"/>
      <c r="I1" s="442"/>
      <c r="J1" s="442"/>
    </row>
    <row r="2" spans="1:10" x14ac:dyDescent="0.3">
      <c r="A2" s="441"/>
      <c r="B2" s="441"/>
      <c r="C2" s="441"/>
      <c r="D2" s="442"/>
      <c r="E2" s="442"/>
      <c r="F2" s="442"/>
      <c r="G2" s="442"/>
      <c r="H2" s="442"/>
      <c r="I2" s="442"/>
      <c r="J2" s="442"/>
    </row>
    <row r="3" spans="1:10" x14ac:dyDescent="0.3">
      <c r="A3" s="441"/>
      <c r="B3" s="441"/>
      <c r="C3" s="442"/>
      <c r="D3" s="442"/>
      <c r="E3" s="442"/>
      <c r="F3" s="442"/>
      <c r="G3" s="442"/>
      <c r="H3" s="442"/>
      <c r="I3" s="442"/>
      <c r="J3" s="442"/>
    </row>
    <row r="4" spans="1:10" x14ac:dyDescent="0.3">
      <c r="A4" s="441"/>
      <c r="B4" s="443"/>
      <c r="C4" s="443"/>
      <c r="D4" s="444"/>
      <c r="E4" s="444"/>
      <c r="F4" s="444"/>
      <c r="G4" s="444"/>
      <c r="H4" s="442"/>
      <c r="I4" s="442"/>
      <c r="J4" s="442"/>
    </row>
    <row r="5" spans="1:10" x14ac:dyDescent="0.3">
      <c r="A5" s="445" t="s">
        <v>671</v>
      </c>
      <c r="B5" s="446" t="s">
        <v>279</v>
      </c>
      <c r="C5" s="446" t="s">
        <v>672</v>
      </c>
      <c r="D5" s="447" t="s">
        <v>512</v>
      </c>
      <c r="E5" s="442"/>
      <c r="F5" s="442"/>
      <c r="G5" s="442"/>
      <c r="H5" s="442"/>
      <c r="I5" s="442"/>
      <c r="J5" s="442"/>
    </row>
    <row r="6" spans="1:10" x14ac:dyDescent="0.3">
      <c r="A6" s="448" t="s">
        <v>513</v>
      </c>
      <c r="B6" s="458">
        <v>1999</v>
      </c>
      <c r="C6" s="458">
        <v>1999</v>
      </c>
      <c r="D6" s="449" t="s">
        <v>2</v>
      </c>
      <c r="E6" s="442"/>
      <c r="F6" s="442"/>
      <c r="G6" s="442"/>
      <c r="H6" s="442"/>
      <c r="I6" s="442"/>
      <c r="J6" s="442"/>
    </row>
    <row r="7" spans="1:10" x14ac:dyDescent="0.3">
      <c r="A7" s="450" t="s">
        <v>667</v>
      </c>
      <c r="B7" s="459">
        <v>43611</v>
      </c>
      <c r="C7" s="459">
        <v>519</v>
      </c>
      <c r="D7" s="460">
        <f>C7/$C$11</f>
        <v>0.8693467336683417</v>
      </c>
      <c r="E7" s="451"/>
      <c r="F7" s="451"/>
      <c r="G7" s="452"/>
      <c r="H7" s="442"/>
      <c r="I7" s="442"/>
      <c r="J7" s="442"/>
    </row>
    <row r="8" spans="1:10" x14ac:dyDescent="0.3">
      <c r="A8" s="450" t="s">
        <v>668</v>
      </c>
      <c r="B8" s="459">
        <v>1817</v>
      </c>
      <c r="C8" s="459">
        <v>29</v>
      </c>
      <c r="D8" s="460">
        <f>C8/$C$11</f>
        <v>4.8576214405360134E-2</v>
      </c>
      <c r="E8" s="451"/>
      <c r="F8" s="451"/>
      <c r="G8" s="452"/>
      <c r="H8" s="442"/>
      <c r="I8" s="442"/>
      <c r="J8" s="442"/>
    </row>
    <row r="9" spans="1:10" x14ac:dyDescent="0.3">
      <c r="A9" s="450" t="s">
        <v>669</v>
      </c>
      <c r="B9" s="459">
        <v>286</v>
      </c>
      <c r="C9" s="459">
        <v>-181</v>
      </c>
      <c r="D9" s="460">
        <f>C9/$C$11</f>
        <v>-0.30318257956448913</v>
      </c>
      <c r="E9" s="451"/>
      <c r="F9" s="451"/>
      <c r="G9" s="452"/>
      <c r="H9" s="442"/>
      <c r="I9" s="442"/>
      <c r="J9" s="442"/>
    </row>
    <row r="10" spans="1:10" x14ac:dyDescent="0.3">
      <c r="A10" s="450" t="s">
        <v>670</v>
      </c>
      <c r="B10" s="461"/>
      <c r="C10" s="461">
        <f>377-147</f>
        <v>230</v>
      </c>
      <c r="D10" s="460"/>
      <c r="E10" s="451"/>
      <c r="F10" s="451"/>
      <c r="G10" s="452"/>
      <c r="H10" s="442"/>
      <c r="I10" s="442"/>
      <c r="J10" s="442"/>
    </row>
    <row r="11" spans="1:10" x14ac:dyDescent="0.3">
      <c r="A11" s="453" t="s">
        <v>511</v>
      </c>
      <c r="B11" s="462">
        <f>SUM(B7:B10)</f>
        <v>45714</v>
      </c>
      <c r="C11" s="462">
        <f>SUM(C7:C10)</f>
        <v>597</v>
      </c>
      <c r="D11" s="463">
        <f>SUM(D7:D10)</f>
        <v>0.61474036850921265</v>
      </c>
      <c r="E11" s="451"/>
      <c r="F11" s="451"/>
      <c r="G11" s="452"/>
      <c r="H11" s="442"/>
      <c r="I11" s="442"/>
      <c r="J11" s="442"/>
    </row>
    <row r="12" spans="1:10" x14ac:dyDescent="0.3">
      <c r="A12" s="450" t="s">
        <v>653</v>
      </c>
      <c r="B12" s="455"/>
      <c r="C12" s="455"/>
      <c r="D12" s="456"/>
      <c r="E12" s="442"/>
      <c r="F12" s="442"/>
      <c r="G12" s="442"/>
      <c r="H12" s="442"/>
      <c r="I12" s="442"/>
      <c r="J12" s="442"/>
    </row>
    <row r="13" spans="1:10" x14ac:dyDescent="0.3">
      <c r="A13" s="450" t="s">
        <v>652</v>
      </c>
      <c r="B13" s="454"/>
      <c r="C13" s="454"/>
      <c r="D13" s="442"/>
      <c r="E13" s="442"/>
      <c r="F13" s="442"/>
      <c r="G13" s="442"/>
      <c r="H13" s="442"/>
      <c r="I13" s="442"/>
      <c r="J13" s="442"/>
    </row>
    <row r="14" spans="1:10" ht="7.5" customHeight="1" x14ac:dyDescent="0.3">
      <c r="A14" s="442"/>
      <c r="B14" s="442"/>
      <c r="C14" s="442"/>
      <c r="D14" s="442"/>
      <c r="E14" s="442"/>
      <c r="F14" s="442"/>
      <c r="G14" s="442"/>
      <c r="H14" s="442"/>
      <c r="I14" s="442"/>
      <c r="J14" s="442"/>
    </row>
    <row r="15" spans="1:10" x14ac:dyDescent="0.3">
      <c r="A15" s="441"/>
      <c r="B15" s="441"/>
      <c r="C15" s="441"/>
      <c r="D15" s="442"/>
      <c r="E15" s="442"/>
      <c r="F15" s="442"/>
      <c r="G15" s="442"/>
      <c r="H15" s="442"/>
      <c r="I15" s="442"/>
      <c r="J15" s="44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23</vt:i4>
      </vt:variant>
    </vt:vector>
  </HeadingPairs>
  <TitlesOfParts>
    <vt:vector size="55" baseType="lpstr">
      <vt:lpstr>Financial Data Slide</vt:lpstr>
      <vt:lpstr>Tax Basis</vt:lpstr>
      <vt:lpstr>Sum of Parts-Slide</vt:lpstr>
      <vt:lpstr>New Powerdat Asset info</vt:lpstr>
      <vt:lpstr>Full BreakUp</vt:lpstr>
      <vt:lpstr>Full BreakupTable-high</vt:lpstr>
      <vt:lpstr>FullBreakupTable-low</vt:lpstr>
      <vt:lpstr>Expected Transaction</vt:lpstr>
      <vt:lpstr>Expected Table-high</vt:lpstr>
      <vt:lpstr>Expected Table-low</vt:lpstr>
      <vt:lpstr>Valuation Slide</vt:lpstr>
      <vt:lpstr>Corp I-S&amp;B-S</vt:lpstr>
      <vt:lpstr>Trading Comps</vt:lpstr>
      <vt:lpstr>Issues-Slide</vt:lpstr>
      <vt:lpstr>Remaining Assets</vt:lpstr>
      <vt:lpstr>Asset Overview Slide</vt:lpstr>
      <vt:lpstr>Corporate Comparable Trading</vt:lpstr>
      <vt:lpstr>Corporate Compac Valuation</vt:lpstr>
      <vt:lpstr>transaction comps Database</vt:lpstr>
      <vt:lpstr>Segment Compco Valuation</vt:lpstr>
      <vt:lpstr>Segment CompAc Comps</vt:lpstr>
      <vt:lpstr>accretion-dilutionIQ</vt:lpstr>
      <vt:lpstr>Net PPE</vt:lpstr>
      <vt:lpstr>Comp Summary</vt:lpstr>
      <vt:lpstr>Divestiture Comps</vt:lpstr>
      <vt:lpstr>Consolidated</vt:lpstr>
      <vt:lpstr>Stock Data</vt:lpstr>
      <vt:lpstr>Segment Fin Proj</vt:lpstr>
      <vt:lpstr>management&amp;holdings</vt:lpstr>
      <vt:lpstr>SSB Comps</vt:lpstr>
      <vt:lpstr>DCF of Generation</vt:lpstr>
      <vt:lpstr>Business Seg Slide</vt:lpstr>
      <vt:lpstr>'accretion-dilutionIQ'!Print_Area</vt:lpstr>
      <vt:lpstr>'Asset Overview Slide'!Print_Area</vt:lpstr>
      <vt:lpstr>'Corp I-S&amp;B-S'!Print_Area</vt:lpstr>
      <vt:lpstr>'Corporate Comparable Trading'!Print_Area</vt:lpstr>
      <vt:lpstr>'Expected Table-high'!Print_Area</vt:lpstr>
      <vt:lpstr>'Expected Table-low'!Print_Area</vt:lpstr>
      <vt:lpstr>'Expected Transaction'!Print_Area</vt:lpstr>
      <vt:lpstr>'Financial Data Slide'!Print_Area</vt:lpstr>
      <vt:lpstr>'Full BreakUp'!Print_Area</vt:lpstr>
      <vt:lpstr>'Full BreakupTable-high'!Print_Area</vt:lpstr>
      <vt:lpstr>'FullBreakupTable-low'!Print_Area</vt:lpstr>
      <vt:lpstr>'Issues-Slide'!Print_Area</vt:lpstr>
      <vt:lpstr>'New Powerdat Asset info'!Print_Area</vt:lpstr>
      <vt:lpstr>'Remaining Assets'!Print_Area</vt:lpstr>
      <vt:lpstr>'Segment Compco Valuation'!Print_Area</vt:lpstr>
      <vt:lpstr>'Segment Fin Proj'!Print_Area</vt:lpstr>
      <vt:lpstr>'Sum of Parts-Slide'!Print_Area</vt:lpstr>
      <vt:lpstr>'Tax Basis'!Print_Area</vt:lpstr>
      <vt:lpstr>'Trading Comps'!Print_Area</vt:lpstr>
      <vt:lpstr>'Valuation Slide'!Print_Area</vt:lpstr>
      <vt:lpstr>'Segment Fin Proj'!Print_Titles</vt:lpstr>
      <vt:lpstr>'Trading Comps'!Print_Titles</vt:lpstr>
      <vt:lpstr>'Stock Data'!TABLE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dkhamap</dc:creator>
  <cp:lastModifiedBy>Havlíček Jan</cp:lastModifiedBy>
  <cp:lastPrinted>2000-03-22T19:13:33Z</cp:lastPrinted>
  <dcterms:created xsi:type="dcterms:W3CDTF">1999-02-12T21:32:10Z</dcterms:created>
  <dcterms:modified xsi:type="dcterms:W3CDTF">2023-09-10T11:58:24Z</dcterms:modified>
</cp:coreProperties>
</file>