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2" activeTab="3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U11" i="9"/>
  <c r="V11" i="9"/>
  <c r="Z11" i="9"/>
  <c r="AB11" i="9"/>
  <c r="AC11" i="9"/>
  <c r="P12" i="9"/>
  <c r="Q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U16" i="9"/>
  <c r="V16" i="9"/>
  <c r="W16" i="9"/>
  <c r="Z16" i="9"/>
  <c r="AB16" i="9"/>
  <c r="AC16" i="9"/>
  <c r="U17" i="9"/>
  <c r="V17" i="9"/>
  <c r="Z17" i="9"/>
  <c r="AB17" i="9"/>
  <c r="AC17" i="9"/>
  <c r="U18" i="9"/>
  <c r="V18" i="9"/>
  <c r="Z18" i="9"/>
  <c r="AB18" i="9"/>
  <c r="AC18" i="9"/>
  <c r="U19" i="9"/>
  <c r="V19" i="9"/>
  <c r="Z19" i="9"/>
  <c r="AB19" i="9"/>
  <c r="AC19" i="9"/>
  <c r="Z20" i="9"/>
  <c r="AB20" i="9"/>
  <c r="AC20" i="9"/>
  <c r="Q21" i="9"/>
  <c r="V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U32" i="9"/>
  <c r="V32" i="9"/>
  <c r="W32" i="9"/>
  <c r="Z32" i="9"/>
  <c r="O33" i="9"/>
  <c r="P33" i="9"/>
  <c r="U33" i="9"/>
  <c r="V33" i="9"/>
  <c r="Z33" i="9"/>
  <c r="P34" i="9"/>
  <c r="V34" i="9"/>
  <c r="W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Y11" i="7"/>
  <c r="AA11" i="7"/>
  <c r="AB11" i="7"/>
  <c r="T12" i="7"/>
  <c r="U12" i="7"/>
  <c r="V12" i="7"/>
  <c r="W12" i="7"/>
  <c r="Y12" i="7"/>
  <c r="AA12" i="7"/>
  <c r="AB12" i="7"/>
  <c r="T13" i="7"/>
  <c r="U13" i="7"/>
  <c r="V13" i="7"/>
  <c r="W13" i="7"/>
  <c r="Y13" i="7"/>
  <c r="AA13" i="7"/>
  <c r="AB13" i="7"/>
  <c r="T14" i="7"/>
  <c r="U14" i="7"/>
  <c r="V14" i="7"/>
  <c r="W14" i="7"/>
  <c r="Y14" i="7"/>
  <c r="AA14" i="7"/>
  <c r="AB14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T23" i="7"/>
  <c r="Y23" i="7"/>
  <c r="Z23" i="7"/>
  <c r="AA23" i="7"/>
  <c r="AB23" i="7"/>
  <c r="L24" i="7"/>
  <c r="Y24" i="7"/>
  <c r="Y25" i="7"/>
  <c r="Z25" i="7"/>
  <c r="U26" i="7"/>
  <c r="V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Y16" i="5"/>
  <c r="Z16" i="5"/>
  <c r="AA16" i="5"/>
  <c r="AB16" i="5"/>
  <c r="Y17" i="5"/>
  <c r="Z17" i="5"/>
  <c r="AA17" i="5"/>
  <c r="AB17" i="5"/>
  <c r="Y18" i="5"/>
  <c r="Z18" i="5"/>
  <c r="AA18" i="5"/>
  <c r="AB18" i="5"/>
  <c r="T19" i="5"/>
  <c r="Y19" i="5"/>
  <c r="Z19" i="5"/>
  <c r="AA19" i="5"/>
  <c r="AB19" i="5"/>
  <c r="U20" i="5"/>
  <c r="Y20" i="5"/>
  <c r="Z20" i="5"/>
  <c r="AA20" i="5"/>
  <c r="AB20" i="5"/>
  <c r="Y21" i="5"/>
  <c r="AA21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U25" i="5"/>
  <c r="Y25" i="5"/>
  <c r="Z25" i="5"/>
  <c r="Y26" i="5"/>
  <c r="AA26" i="5"/>
  <c r="AB26" i="5"/>
  <c r="Y27" i="5"/>
  <c r="AA27" i="5"/>
  <c r="AB27" i="5"/>
  <c r="T28" i="5"/>
  <c r="Y28" i="5"/>
  <c r="AA28" i="5"/>
  <c r="AB28" i="5"/>
  <c r="Y29" i="5"/>
  <c r="Z29" i="5"/>
  <c r="AA29" i="5"/>
  <c r="AB29" i="5"/>
  <c r="Y30" i="5"/>
  <c r="AA30" i="5"/>
  <c r="AB30" i="5"/>
  <c r="T31" i="5"/>
  <c r="U31" i="5"/>
  <c r="Y31" i="5"/>
  <c r="I32" i="5"/>
  <c r="J32" i="5"/>
  <c r="L32" i="5"/>
  <c r="T32" i="5"/>
  <c r="U32" i="5"/>
  <c r="Y32" i="5"/>
  <c r="O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<sst xmlns="http://schemas.openxmlformats.org/spreadsheetml/2006/main" count="565" uniqueCount="125">
  <si>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</si>
  <si>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</si>
  <si>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</si>
  <si>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</si>
  <si>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</si>
  <si>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</si>
  <si>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</si>
  <si>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</si>
  <si>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</si>
  <si>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</si>
  <si>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</si>
  <si>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</si>
  <si>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</si>
  <si>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</si>
  <si>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</si>
  <si>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</si>
  <si>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</si>
  <si>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</si>
  <si>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</si>
  <si>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</si>
  <si>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</si>
  <si>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</si>
  <si>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</si>
  <si>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</si>
  <si>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</si>
  <si>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</si>
  <si>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</si>
  <si>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</si>
  <si>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</si>
  <si>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</si>
  <si>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</si>
  <si>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</si>
  <si>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</si>
  <si>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</si>
  <si>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</si>
  <si>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</si>
  <si>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</si>
  <si>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</si>
  <si>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</si>
  <si>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</si>
  <si>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</si>
  <si>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</si>
  <si>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</si>
  <si>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</si>
  <si>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</si>
  <si>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</si>
  <si>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</si>
  <si>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</si>
  <si>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</si>
  <si>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</si>
  <si>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</si>
  <si>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</si>
  <si>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</si>
  <si>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</si>
  <si>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</si>
  <si>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</si>
  <si>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</si>
  <si>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</si>
  <si>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</si>
  <si>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</si>
  <si>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</si>
  <si>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</si>
  <si>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</si>
  <si>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</si>
  <si>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</si>
  <si>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</si>
  <si>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</si>
  <si>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</si>
  <si>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</si>
  <si>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</si>
  <si>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</si>
  <si>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</si>
  <si>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</si>
  <si>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</si>
  <si>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</si>
  <si>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</si>
  <si>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</si>
  <si>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</si>
  <si>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</si>
  <si>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</si>
  <si>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</si>
  <si>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</si>
  <si>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</si>
  <si>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</si>
  <si>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</si>
  <si>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</si>
  <si>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</si>
  <si>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</si>
  <si>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</si>
  <si>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</si>
  <si>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</si>
  <si>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</si>
  <si>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</si>
  <si>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</si>
  <si>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</si>
  <si>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</si>
  <si>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</si>
  <si>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</si>
  <si>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</si>
  <si>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</si>
  <si>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</si>
  <si>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</si>
  <si>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</si>
  <si>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</si>
  <si>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</si>
  <si>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</si>
  <si>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</si>
  <si>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</si>
  <si>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</si>
  <si>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</si>
  <si>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</si>
  <si>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</si>
  <si>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</si>
  <si>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</si>
  <si>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</si>
  <si>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</si>
  <si>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</si>
  <si>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</si>
  <si>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</si>
  <si>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</si>
  <si>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</si>
  <si>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</si>
  <si>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</si>
  <si>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 xml:space="preserve">Sales Tax </t>
  </si>
  <si>
    <t>Last updated:  Actuals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</si>
</sst>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503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19510321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10900000</v>
          </cell>
        </row>
        <row r="146">
          <cell r="BR146">
            <v>1500000</v>
          </cell>
        </row>
        <row r="150">
          <cell r="BR150">
            <v>271248.5</v>
          </cell>
        </row>
        <row r="152">
          <cell r="BR152">
            <v>200000</v>
          </cell>
        </row>
        <row r="161">
          <cell r="BR161">
            <v>1127107.5699999998</v>
          </cell>
        </row>
        <row r="168">
          <cell r="BR168">
            <v>558423.13</v>
          </cell>
        </row>
        <row r="200">
          <cell r="BR200">
            <v>293990243.44923753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7581128.5599999987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731829.32000000007</v>
          </cell>
        </row>
        <row r="182">
          <cell r="BT182">
            <v>3913800.84</v>
          </cell>
        </row>
        <row r="184">
          <cell r="BT184">
            <v>1100000</v>
          </cell>
        </row>
        <row r="190">
          <cell r="BT190">
            <v>500000</v>
          </cell>
        </row>
        <row r="192">
          <cell r="BT192">
            <v>200935.25</v>
          </cell>
        </row>
        <row r="203">
          <cell r="BT203">
            <v>897104.88</v>
          </cell>
        </row>
        <row r="209">
          <cell r="BT209">
            <v>752208.46</v>
          </cell>
        </row>
        <row r="225">
          <cell r="BT225">
            <v>185433544.03279948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1907102.57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834146.91999999993</v>
          </cell>
        </row>
        <row r="167">
          <cell r="BR167">
            <v>701672.13</v>
          </cell>
        </row>
        <row r="200">
          <cell r="BR200">
            <v>162950397.57649666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- 050300.xls]Gleason</v>
      </c>
    </row>
    <row r="3" spans="1:23" s="2" customFormat="1" ht="15.6" x14ac:dyDescent="0.3">
      <c r="A3" s="1" t="s">
        <v>2</v>
      </c>
      <c r="F3" s="3"/>
      <c r="V3" s="24">
        <f ca="1">NOW()</f>
        <v>36648.571862500001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47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46"/>
    </row>
    <row r="2" spans="1:26" s="2" customFormat="1" ht="15.6" x14ac:dyDescent="0.3">
      <c r="A2" s="1" t="s">
        <v>1</v>
      </c>
      <c r="D2" s="1" t="str">
        <f>Wilton!D2</f>
        <v>Last updated:  Actuals through April 14, 2000</v>
      </c>
      <c r="L2" s="46"/>
      <c r="X2" s="25" t="str">
        <f ca="1">CELL("filename")</f>
        <v>O:\Fin_Ops\Engysvc\PowerPlants\2000 Plants\Draw Schedule\[Draw Sched - 050300.xls]Gleason</v>
      </c>
    </row>
    <row r="3" spans="1:26" s="2" customFormat="1" ht="15.6" x14ac:dyDescent="0.3">
      <c r="A3" s="1" t="s">
        <v>2</v>
      </c>
      <c r="D3" s="26"/>
      <c r="F3" s="3"/>
      <c r="L3" s="46"/>
      <c r="X3" s="24">
        <f ca="1">NOW()</f>
        <v>36648.571862500001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2"/>
      <c r="X47" s="11"/>
    </row>
    <row r="48" spans="1:25" s="4" customFormat="1" x14ac:dyDescent="0.25">
      <c r="L48" s="52"/>
    </row>
    <row r="49" spans="1:27" s="4" customFormat="1" x14ac:dyDescent="0.25">
      <c r="L49" s="52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2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2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workbookViewId="0">
      <pane xSplit="2" ySplit="6" topLeftCell="S52" activePane="bottomRight" state="frozen"/>
      <selection pane="topRight"/>
      <selection pane="bottomLeft"/>
      <selection pane="bottomRight" activeCell="U57" sqref="U5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3" width="12.33203125" style="18" customWidth="1"/>
    <col min="14" max="14" width="12.88671875" style="18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hidden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124</v>
      </c>
      <c r="Y2" s="25" t="str">
        <f ca="1">CELL("filename")</f>
        <v>O:\Fin_Ops\Engysvc\PowerPlants\2000 Plants\Draw Schedule\[Draw Sched - 050300.xls]Gleason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36648.571862500001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0</v>
      </c>
      <c r="T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5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5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5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5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5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T16" s="18">
        <v>1746094</v>
      </c>
      <c r="U16" s="18">
        <v>11227031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5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T17" s="18">
        <v>231962</v>
      </c>
      <c r="U17" s="18">
        <v>2997991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5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T18" s="18">
        <v>3000000</v>
      </c>
      <c r="U18" s="18">
        <v>26498294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5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T19" s="18">
        <f>199984-63285</f>
        <v>136699</v>
      </c>
      <c r="U19" s="17">
        <v>1947413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5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S20" s="18">
        <v>19510321</v>
      </c>
      <c r="U20" s="18">
        <f>-37566984+19510321</f>
        <v>-18056663</v>
      </c>
      <c r="Y20" s="11">
        <f t="shared" si="0"/>
        <v>18325692</v>
      </c>
      <c r="Z20" s="19" t="e">
        <f>#REF!</f>
        <v>#REF!</v>
      </c>
      <c r="AA20" s="18">
        <f>[1]Wilton!$BR$86</f>
        <v>19510321</v>
      </c>
      <c r="AB20" s="18">
        <f t="shared" si="1"/>
        <v>-1184629</v>
      </c>
    </row>
    <row r="21" spans="1:28" x14ac:dyDescent="0.25">
      <c r="A21" s="17" t="s">
        <v>123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5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v>151712</v>
      </c>
      <c r="T22" s="18">
        <f>125000+113000</f>
        <v>238000</v>
      </c>
      <c r="U22" s="17">
        <f>908786-625000-16652+73288</f>
        <v>340422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F23" s="8"/>
      <c r="S23" s="18">
        <v>0</v>
      </c>
      <c r="T23" s="18">
        <v>500000</v>
      </c>
      <c r="U23" s="18">
        <f>1253881-1000000+500000</f>
        <v>753881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5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S25" s="18">
        <v>3856</v>
      </c>
      <c r="T25" s="18">
        <v>73458</v>
      </c>
      <c r="U25" s="18">
        <f>48750-3856</f>
        <v>44894</v>
      </c>
      <c r="Y25" s="11">
        <f t="shared" si="0"/>
        <v>349954.45999999996</v>
      </c>
      <c r="Z25" s="19" t="str">
        <f>Z24</f>
        <v>Scott Healy</v>
      </c>
    </row>
    <row r="26" spans="1:28" x14ac:dyDescent="0.25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5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0</v>
      </c>
      <c r="T27" s="18">
        <v>200000</v>
      </c>
      <c r="U27" s="18">
        <v>220337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5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>2750000+3250000</f>
        <v>6000000</v>
      </c>
      <c r="U28" s="18">
        <v>4900000</v>
      </c>
      <c r="Y28" s="11">
        <f t="shared" si="0"/>
        <v>10900000</v>
      </c>
      <c r="Z28" s="19" t="s">
        <v>53</v>
      </c>
      <c r="AA28" s="18">
        <f>[1]Wilton!$BR$142</f>
        <v>10900000</v>
      </c>
      <c r="AB28" s="18">
        <f t="shared" si="1"/>
        <v>0</v>
      </c>
    </row>
    <row r="29" spans="1:28" x14ac:dyDescent="0.25">
      <c r="A29" s="17" t="s">
        <v>27</v>
      </c>
      <c r="C29" s="4">
        <v>0</v>
      </c>
      <c r="F29" s="8"/>
      <c r="S29" s="18">
        <v>0</v>
      </c>
      <c r="T29" s="18">
        <v>1000000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S30" s="18">
        <v>5000</v>
      </c>
      <c r="Y30" s="11">
        <f t="shared" si="0"/>
        <v>271248.5</v>
      </c>
      <c r="Z30" s="19" t="s">
        <v>52</v>
      </c>
      <c r="AA30" s="18">
        <f>[1]Wilton!$BR$150</f>
        <v>271248.5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v>9717.4500000000007</v>
      </c>
      <c r="T31" s="18">
        <f>5588+13333</f>
        <v>18921</v>
      </c>
      <c r="U31" s="17">
        <f>6742+33723+13333-9119.08+13818-9717.45</f>
        <v>48779.47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5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101690</v>
      </c>
      <c r="T32" s="17">
        <f>1786+68710-42019</f>
        <v>28477</v>
      </c>
      <c r="U32" s="18">
        <f>36960-8586+14604+3310+635</f>
        <v>46923</v>
      </c>
      <c r="Y32" s="11">
        <f t="shared" si="0"/>
        <v>783114.98</v>
      </c>
      <c r="Z32" s="19" t="s">
        <v>52</v>
      </c>
    </row>
    <row r="33" spans="1:27" x14ac:dyDescent="0.25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v>0</v>
      </c>
      <c r="T33" s="18">
        <f>54925-5848.5+50000</f>
        <v>99076.5</v>
      </c>
      <c r="U33" s="18">
        <f>15544+19571+73404</f>
        <v>108519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5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20522879.783333331</v>
      </c>
      <c r="T34" s="21">
        <f t="shared" si="5"/>
        <v>14369626.833333334</v>
      </c>
      <c r="U34" s="21">
        <f t="shared" si="5"/>
        <v>36074752.803333335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280753261.54666662</v>
      </c>
    </row>
    <row r="35" spans="1:27" x14ac:dyDescent="0.25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230308881.90999997</v>
      </c>
      <c r="T35" s="21">
        <f t="shared" si="6"/>
        <v>244678508.74333331</v>
      </c>
      <c r="U35" s="21">
        <f t="shared" si="6"/>
        <v>280753261.54666662</v>
      </c>
      <c r="V35" s="21">
        <f>+U35+V34</f>
        <v>280753261.54666662</v>
      </c>
      <c r="W35" s="21">
        <f>+V35+W34</f>
        <v>280753261.54666662</v>
      </c>
      <c r="X35" s="21">
        <f>+W35+X34</f>
        <v>280753261.54666662</v>
      </c>
      <c r="Y35" s="13"/>
    </row>
    <row r="36" spans="1:27" x14ac:dyDescent="0.25">
      <c r="A36" s="17" t="s">
        <v>64</v>
      </c>
      <c r="F36" s="8"/>
      <c r="Y36" s="16">
        <f>+Y34/C51/1000</f>
        <v>461.76523280701747</v>
      </c>
      <c r="Z36" s="20"/>
    </row>
    <row r="37" spans="1:27" x14ac:dyDescent="0.25">
      <c r="F37" s="8"/>
      <c r="Y37" s="11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1292974.4199749937</v>
      </c>
      <c r="T39" s="30">
        <f>(T35+S44)*$C49/12</f>
        <v>1377813.5100970806</v>
      </c>
      <c r="U39" s="30">
        <f>(U35+T44)*$C49/12</f>
        <v>1580681.5776281618</v>
      </c>
      <c r="V39" s="30"/>
      <c r="W39" s="30"/>
      <c r="X39" s="30"/>
      <c r="Y39" s="11">
        <f>SUM(C39:X39)</f>
        <v>12650445.939237578</v>
      </c>
      <c r="Z39" s="19">
        <f>Z52</f>
        <v>0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5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5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1292974.4199749937</v>
      </c>
      <c r="T43" s="21">
        <f t="shared" si="7"/>
        <v>1377813.5100970806</v>
      </c>
      <c r="U43" s="21">
        <f t="shared" si="7"/>
        <v>1580681.5776281618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12645557.439237578</v>
      </c>
      <c r="Z43" s="20"/>
    </row>
    <row r="44" spans="1:27" x14ac:dyDescent="0.25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9687062.3515123352</v>
      </c>
      <c r="T44" s="21">
        <f t="shared" si="9"/>
        <v>11064875.861609416</v>
      </c>
      <c r="U44" s="21">
        <f t="shared" si="9"/>
        <v>12645557.439237578</v>
      </c>
      <c r="V44" s="21">
        <f>+V43+U44</f>
        <v>12645557.439237578</v>
      </c>
      <c r="W44" s="21">
        <f>+W43+V44</f>
        <v>12645557.439237578</v>
      </c>
      <c r="X44" s="21">
        <f>+X43+W44</f>
        <v>12645557.439237578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21815854.203308325</v>
      </c>
      <c r="T46" s="4">
        <f t="shared" si="10"/>
        <v>15747440.343430415</v>
      </c>
      <c r="U46" s="4">
        <f t="shared" si="10"/>
        <v>37655434.380961493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293398818.98590422</v>
      </c>
    </row>
    <row r="47" spans="1:27" s="4" customFormat="1" x14ac:dyDescent="0.25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239995944.26151231</v>
      </c>
      <c r="T47" s="4">
        <f t="shared" si="11"/>
        <v>255743384.60494274</v>
      </c>
      <c r="U47" s="4">
        <f t="shared" si="11"/>
        <v>293398818.98590422</v>
      </c>
      <c r="V47" s="4">
        <f>U47+V46</f>
        <v>293398818.98590422</v>
      </c>
      <c r="W47" s="4">
        <f>V47+W46</f>
        <v>293398818.98590422</v>
      </c>
      <c r="X47" s="4">
        <f>W47+X46</f>
        <v>293398818.98590422</v>
      </c>
      <c r="Y47" s="11"/>
    </row>
    <row r="48" spans="1:27" s="4" customFormat="1" x14ac:dyDescent="0.25">
      <c r="A48" s="17" t="s">
        <v>64</v>
      </c>
      <c r="Y48" s="16">
        <f>+Y46/C51/1000</f>
        <v>482.56384701628986</v>
      </c>
    </row>
    <row r="49" spans="1:30" s="4" customFormat="1" x14ac:dyDescent="0.25">
      <c r="A49" s="8" t="s">
        <v>96</v>
      </c>
      <c r="C49" s="12">
        <v>6.5000000000000002E-2</v>
      </c>
      <c r="Y49" s="11"/>
    </row>
    <row r="50" spans="1:30" s="4" customFormat="1" x14ac:dyDescent="0.25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5">
      <c r="A51" s="8"/>
      <c r="C51" s="4">
        <v>608</v>
      </c>
      <c r="D51" s="4" t="s">
        <v>66</v>
      </c>
      <c r="Y51" s="11"/>
    </row>
    <row r="52" spans="1:30" x14ac:dyDescent="0.25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5">
      <c r="A53" s="8"/>
      <c r="C53" s="12"/>
      <c r="Y53" s="11"/>
    </row>
    <row r="54" spans="1:30" x14ac:dyDescent="0.25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20522879.783333331</v>
      </c>
      <c r="T54" s="4">
        <f t="shared" si="12"/>
        <v>14369626.833333334</v>
      </c>
      <c r="U54" s="4">
        <f t="shared" si="12"/>
        <v>36074752.803333327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280748373.04666662</v>
      </c>
    </row>
    <row r="55" spans="1:30" ht="9.75" customHeight="1" x14ac:dyDescent="0.2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5">
      <c r="Y56" s="11"/>
    </row>
    <row r="57" spans="1:30" ht="19.2" x14ac:dyDescent="0.6">
      <c r="A57" s="32" t="s">
        <v>81</v>
      </c>
      <c r="Y57" s="11"/>
      <c r="AB57" s="17" t="s">
        <v>107</v>
      </c>
    </row>
    <row r="58" spans="1:30" x14ac:dyDescent="0.25">
      <c r="A58" s="5" t="s">
        <v>43</v>
      </c>
      <c r="Y58" s="11"/>
      <c r="AB58" s="17" t="s">
        <v>108</v>
      </c>
    </row>
    <row r="59" spans="1:30" x14ac:dyDescent="0.25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5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1127107.3999999999</v>
      </c>
      <c r="AB60" s="18">
        <f>[1]Wilton!$BR$161</f>
        <v>1127107.5699999998</v>
      </c>
      <c r="AC60" s="18">
        <f>AB60-AA60</f>
        <v>0.16999999992549419</v>
      </c>
    </row>
    <row r="61" spans="1:30" x14ac:dyDescent="0.25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5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5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5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5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5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5">
      <c r="A68" s="4" t="s">
        <v>73</v>
      </c>
      <c r="Y68" s="11"/>
    </row>
    <row r="69" spans="1:26" x14ac:dyDescent="0.25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5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5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5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5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5">
      <c r="Y74" s="11"/>
    </row>
    <row r="75" spans="1:26" x14ac:dyDescent="0.25">
      <c r="Y75" s="11"/>
    </row>
    <row r="76" spans="1:26" ht="13.8" thickBot="1" x14ac:dyDescent="0.3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21815854.203308325</v>
      </c>
      <c r="T76" s="33">
        <f t="shared" si="17"/>
        <v>15747440.343430415</v>
      </c>
      <c r="U76" s="33">
        <f>+U46+U66+U73</f>
        <v>37655434.380961493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293990244.39590418</v>
      </c>
    </row>
    <row r="77" spans="1:26" x14ac:dyDescent="0.25">
      <c r="U77"/>
      <c r="V77"/>
      <c r="W77"/>
      <c r="X77"/>
      <c r="Y77" s="45">
        <f>Y76-[1]Wilton!$BR$200</f>
        <v>0.9466666579246521</v>
      </c>
    </row>
    <row r="78" spans="1:26" x14ac:dyDescent="0.25">
      <c r="U78"/>
      <c r="V78"/>
      <c r="W78"/>
      <c r="X78"/>
      <c r="Y78"/>
    </row>
    <row r="79" spans="1:26" x14ac:dyDescent="0.25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customWidth="1"/>
    <col min="13" max="13" width="12.33203125" style="47" customWidth="1"/>
    <col min="14" max="14" width="12.33203125" style="18" customWidth="1"/>
    <col min="15" max="15" width="14" style="18" customWidth="1"/>
    <col min="16" max="16" width="12.33203125" style="18" customWidth="1"/>
    <col min="17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3" width="12.109375" style="18" customWidth="1"/>
    <col min="24" max="25" width="12.109375" style="18" hidden="1" customWidth="1"/>
    <col min="26" max="26" width="13.5546875" style="4" customWidth="1"/>
    <col min="27" max="27" width="28.33203125" style="18" hidden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46"/>
    </row>
    <row r="2" spans="1:29" s="2" customFormat="1" ht="15.6" x14ac:dyDescent="0.3">
      <c r="A2" s="1" t="s">
        <v>1</v>
      </c>
      <c r="D2" s="1" t="str">
        <f>Wilton!D2</f>
        <v>Last updated:  Actuals through April 14, 2000</v>
      </c>
      <c r="M2" s="46"/>
      <c r="Z2" s="25" t="str">
        <f ca="1">CELL("filename")</f>
        <v>O:\Fin_Ops\Engysvc\PowerPlants\2000 Plants\Draw Schedule\[Draw Sched - 050300.xls]Gleason</v>
      </c>
    </row>
    <row r="3" spans="1:29" s="2" customFormat="1" ht="15.6" x14ac:dyDescent="0.3">
      <c r="A3" s="1" t="s">
        <v>2</v>
      </c>
      <c r="D3" s="26"/>
      <c r="F3" s="3"/>
      <c r="M3" s="46"/>
      <c r="Z3" s="24">
        <f ca="1">NOW()</f>
        <v>36648.571862500001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111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U11" s="18">
        <f>1645716+142790</f>
        <v>1788506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v>382350</v>
      </c>
      <c r="U12" s="18">
        <v>530081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5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5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>2840700/12</f>
        <v>236725</v>
      </c>
      <c r="Q14" s="18">
        <v>236722</v>
      </c>
      <c r="R14" s="18">
        <f>2840700/12</f>
        <v>236725</v>
      </c>
      <c r="S14" s="18">
        <v>236722</v>
      </c>
      <c r="T14" s="18">
        <f>2840700/12-3</f>
        <v>236722</v>
      </c>
      <c r="U14" s="18">
        <f>2840700/12+3</f>
        <v>236728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5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5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v>0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f>16939610-12607491</f>
        <v>4332119</v>
      </c>
      <c r="Z16" s="11">
        <f t="shared" si="0"/>
        <v>16939609.578000002</v>
      </c>
      <c r="AA16" s="15"/>
      <c r="AB16" s="18">
        <f>[1]Gleason!$BT$54</f>
        <v>16939610</v>
      </c>
      <c r="AC16" s="18">
        <f t="shared" si="1"/>
        <v>-0.42199999839067459</v>
      </c>
    </row>
    <row r="17" spans="1:29" x14ac:dyDescent="0.25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v>1130446</v>
      </c>
      <c r="Z17" s="11">
        <f t="shared" si="0"/>
        <v>4459131.9736000001</v>
      </c>
      <c r="AA17" s="15"/>
      <c r="AB17" s="18">
        <f>[1]Gleason!$BT$63</f>
        <v>4459132</v>
      </c>
      <c r="AC17" s="18">
        <f t="shared" si="1"/>
        <v>-2.6399999856948853E-2</v>
      </c>
    </row>
    <row r="18" spans="1:29" x14ac:dyDescent="0.25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v>4250639</v>
      </c>
      <c r="Z18" s="11">
        <f t="shared" si="0"/>
        <v>16561167.966400001</v>
      </c>
      <c r="AA18" s="15"/>
      <c r="AB18" s="18">
        <f>[1]Gleason!$BT$86</f>
        <v>16561168</v>
      </c>
      <c r="AC18" s="18">
        <f t="shared" si="1"/>
        <v>-3.359999880194664E-2</v>
      </c>
    </row>
    <row r="19" spans="1:29" x14ac:dyDescent="0.25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v>3383733</v>
      </c>
      <c r="Z19" s="11">
        <f t="shared" si="0"/>
        <v>12136758.3484</v>
      </c>
      <c r="AA19" s="15" t="s">
        <v>50</v>
      </c>
      <c r="AB19" s="18">
        <f>[1]Gleason!$BT$89</f>
        <v>12136758</v>
      </c>
      <c r="AC19" s="18">
        <f t="shared" si="1"/>
        <v>0.34840000048279762</v>
      </c>
    </row>
    <row r="20" spans="1:29" x14ac:dyDescent="0.25">
      <c r="A20" s="17" t="s">
        <v>118</v>
      </c>
      <c r="S20" s="18">
        <v>0</v>
      </c>
      <c r="T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5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T21" s="18">
        <v>7581129</v>
      </c>
      <c r="V21" s="17">
        <f>7112622-3387761</f>
        <v>3724861</v>
      </c>
      <c r="W21" s="18">
        <v>-8983121</v>
      </c>
      <c r="Z21" s="11">
        <f>SUM(C21:Y21)</f>
        <v>4193368</v>
      </c>
      <c r="AA21" s="15" t="s">
        <v>50</v>
      </c>
      <c r="AB21" s="18">
        <f>[1]Gleason!$BT$93+[1]Gleason!$BT$95</f>
        <v>4193367.5599999987</v>
      </c>
      <c r="AC21" s="18">
        <f t="shared" si="1"/>
        <v>0.44000000134110451</v>
      </c>
    </row>
    <row r="22" spans="1:29" x14ac:dyDescent="0.25">
      <c r="A22" s="17" t="s">
        <v>122</v>
      </c>
      <c r="R22" s="18">
        <v>37000</v>
      </c>
      <c r="S22" s="18">
        <v>148482</v>
      </c>
      <c r="T22" s="18">
        <v>175057</v>
      </c>
      <c r="U22" s="18">
        <v>150000</v>
      </c>
      <c r="V22" s="18">
        <f>908786-750000+188000+76518-25057</f>
        <v>398247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5">
      <c r="A23" s="17" t="s">
        <v>22</v>
      </c>
      <c r="U23" s="18">
        <v>500000</v>
      </c>
      <c r="V23" s="18">
        <v>247007</v>
      </c>
      <c r="W23" s="18">
        <v>500000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5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2040</v>
      </c>
      <c r="Z26" s="11">
        <f t="shared" si="0"/>
        <v>731829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0</v>
      </c>
      <c r="U27" s="18">
        <v>375000</v>
      </c>
      <c r="V27" s="17">
        <f>104514+125000+125000</f>
        <v>354514</v>
      </c>
      <c r="W27" s="18">
        <v>350000</v>
      </c>
      <c r="Z27" s="11">
        <f t="shared" si="0"/>
        <v>1100000</v>
      </c>
      <c r="AA27" s="15" t="s">
        <v>53</v>
      </c>
      <c r="AB27" s="18">
        <f>[1]Gleason!$BT$184</f>
        <v>1100000</v>
      </c>
      <c r="AC27" s="18">
        <f>Z27-AB27</f>
        <v>0</v>
      </c>
    </row>
    <row r="28" spans="1:29" x14ac:dyDescent="0.25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2820533</v>
      </c>
      <c r="U28" s="18">
        <v>110183</v>
      </c>
      <c r="V28" s="18">
        <f>2148964+190117+25518-10602-484363-166834-755835</f>
        <v>946965</v>
      </c>
      <c r="Z28" s="11">
        <f t="shared" si="0"/>
        <v>3913801</v>
      </c>
      <c r="AA28" s="15"/>
      <c r="AB28" s="18">
        <f>[1]Gleason!$BT$182</f>
        <v>3913800.84</v>
      </c>
      <c r="AC28" s="18">
        <f>Z28-AB28</f>
        <v>0.16000000014901161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[1]Gleason!$BT$190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[1]Gleason!$BT$192</f>
        <v>200935.25</v>
      </c>
      <c r="AC31" s="18">
        <v>0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13977.09</v>
      </c>
      <c r="U32" s="18">
        <f>31111+11111</f>
        <v>42222</v>
      </c>
      <c r="V32" s="17">
        <f>32312+23870-28687.68+11111-12673.78</f>
        <v>25931.54</v>
      </c>
      <c r="W32" s="17">
        <f>20595-66-13977.09</f>
        <v>6551.91</v>
      </c>
      <c r="X32" s="17"/>
      <c r="Y32" s="17"/>
      <c r="Z32" s="11">
        <f t="shared" si="0"/>
        <v>186820.05000000002</v>
      </c>
      <c r="AA32" s="15"/>
    </row>
    <row r="33" spans="1:27" x14ac:dyDescent="0.25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[1]Gleason!$AT$224</f>
        <v>0</v>
      </c>
      <c r="Q33" s="18">
        <v>80147</v>
      </c>
      <c r="R33" s="18">
        <v>29397</v>
      </c>
      <c r="S33" s="18">
        <v>44082</v>
      </c>
      <c r="T33" s="18">
        <v>165168</v>
      </c>
      <c r="U33" s="18">
        <f>35000+4832</f>
        <v>39832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5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[1]Gleason!$AT$231</f>
        <v>0</v>
      </c>
      <c r="Q34" s="18">
        <v>0</v>
      </c>
      <c r="R34" s="17">
        <v>0</v>
      </c>
      <c r="S34" s="18">
        <v>0</v>
      </c>
      <c r="U34" s="18">
        <v>121058</v>
      </c>
      <c r="V34" s="18">
        <f>253000+994+132585</f>
        <v>386579</v>
      </c>
      <c r="W34" s="18">
        <f>68298+103219</f>
        <v>171517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3">SUM(C9:C34)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21">
        <f t="shared" si="3"/>
        <v>0</v>
      </c>
      <c r="K35" s="21">
        <f t="shared" ref="K35:U35" si="4">SUM(K10:K34)</f>
        <v>0</v>
      </c>
      <c r="L35" s="21">
        <f t="shared" si="4"/>
        <v>88847709.049999997</v>
      </c>
      <c r="M35" s="21">
        <f t="shared" si="4"/>
        <v>206868</v>
      </c>
      <c r="N35" s="21">
        <f t="shared" si="4"/>
        <v>1660822.3333333333</v>
      </c>
      <c r="O35" s="21">
        <f t="shared" si="4"/>
        <v>6962875.333333333</v>
      </c>
      <c r="P35" s="21">
        <f t="shared" si="4"/>
        <v>2046386.6333333333</v>
      </c>
      <c r="Q35" s="21">
        <f t="shared" si="4"/>
        <v>7661034.6333333328</v>
      </c>
      <c r="R35" s="21">
        <f t="shared" si="4"/>
        <v>6966621.0133333327</v>
      </c>
      <c r="S35" s="21">
        <f t="shared" si="4"/>
        <v>10684267.113333331</v>
      </c>
      <c r="T35" s="21">
        <f t="shared" si="4"/>
        <v>11454459.423333332</v>
      </c>
      <c r="U35" s="21">
        <f t="shared" si="4"/>
        <v>8339050.4429333359</v>
      </c>
      <c r="V35" s="21">
        <f>SUM(V10:V34)</f>
        <v>24385856.630133331</v>
      </c>
      <c r="W35" s="21">
        <f>SUM(W10:W34)</f>
        <v>5141884.91</v>
      </c>
      <c r="X35" s="21">
        <f>SUM(X10:X34)</f>
        <v>0</v>
      </c>
      <c r="Y35" s="21">
        <f>SUM(Y10:Y34)</f>
        <v>0</v>
      </c>
      <c r="Z35" s="22">
        <f>SUM(C35:Y35)</f>
        <v>174357835.51639995</v>
      </c>
    </row>
    <row r="36" spans="1:27" x14ac:dyDescent="0.25">
      <c r="A36" s="17" t="s">
        <v>67</v>
      </c>
      <c r="C36" s="21">
        <f>+C35</f>
        <v>0</v>
      </c>
      <c r="D36" s="21">
        <f t="shared" ref="D36:K36" si="5">+D35</f>
        <v>0</v>
      </c>
      <c r="E36" s="21">
        <f t="shared" si="5"/>
        <v>0</v>
      </c>
      <c r="F36" s="21">
        <f t="shared" si="5"/>
        <v>0</v>
      </c>
      <c r="G36" s="21">
        <f t="shared" si="5"/>
        <v>0</v>
      </c>
      <c r="H36" s="21">
        <f t="shared" si="5"/>
        <v>0</v>
      </c>
      <c r="I36" s="21">
        <f t="shared" si="5"/>
        <v>0</v>
      </c>
      <c r="J36" s="21">
        <f t="shared" si="5"/>
        <v>0</v>
      </c>
      <c r="K36" s="21">
        <f t="shared" si="5"/>
        <v>0</v>
      </c>
      <c r="L36" s="21">
        <f t="shared" ref="L36:V36" si="6">+K36+L35</f>
        <v>88847709.049999997</v>
      </c>
      <c r="M36" s="21">
        <f t="shared" si="6"/>
        <v>89054577.049999997</v>
      </c>
      <c r="N36" s="21">
        <f t="shared" si="6"/>
        <v>90715399.383333325</v>
      </c>
      <c r="O36" s="21">
        <f t="shared" si="6"/>
        <v>97678274.716666654</v>
      </c>
      <c r="P36" s="21">
        <f t="shared" si="6"/>
        <v>99724661.349999994</v>
      </c>
      <c r="Q36" s="21">
        <f>+P36+Q35</f>
        <v>107385695.98333332</v>
      </c>
      <c r="R36" s="21">
        <f t="shared" si="6"/>
        <v>114352316.99666665</v>
      </c>
      <c r="S36" s="21">
        <f t="shared" si="6"/>
        <v>125036584.10999998</v>
      </c>
      <c r="T36" s="21">
        <f t="shared" si="6"/>
        <v>136491043.5333333</v>
      </c>
      <c r="U36" s="21">
        <f t="shared" si="6"/>
        <v>144830093.97626662</v>
      </c>
      <c r="V36" s="21">
        <f t="shared" si="6"/>
        <v>169215950.60639995</v>
      </c>
      <c r="W36" s="21">
        <f>+V36+W35</f>
        <v>174357835.51639995</v>
      </c>
      <c r="X36" s="21">
        <f>+W36+X35</f>
        <v>174357835.51639995</v>
      </c>
      <c r="Y36" s="21">
        <f>+X36+Y35</f>
        <v>174357835.51639995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341.87810885568615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7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785204.91003593185</v>
      </c>
      <c r="U40" s="30">
        <f>(U36+T45)*$C52/12</f>
        <v>834627.959864515</v>
      </c>
      <c r="V40" s="30">
        <f>(V36+U45)*$C52/12-5719</f>
        <v>965519.91806033684</v>
      </c>
      <c r="W40" s="30"/>
      <c r="X40" s="30"/>
      <c r="Y40" s="30"/>
      <c r="Z40" s="11">
        <f t="shared" si="7"/>
        <v>11061292.722799484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7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7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7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8">SUM(C39:C43)</f>
        <v>0</v>
      </c>
      <c r="D44" s="21">
        <f t="shared" si="8"/>
        <v>0</v>
      </c>
      <c r="E44" s="21">
        <f t="shared" si="8"/>
        <v>0</v>
      </c>
      <c r="F44" s="21">
        <f t="shared" si="8"/>
        <v>0</v>
      </c>
      <c r="G44" s="21">
        <f t="shared" si="8"/>
        <v>0</v>
      </c>
      <c r="H44" s="21">
        <f t="shared" si="8"/>
        <v>0</v>
      </c>
      <c r="I44" s="21">
        <f t="shared" si="8"/>
        <v>0</v>
      </c>
      <c r="J44" s="21">
        <f t="shared" si="8"/>
        <v>0</v>
      </c>
      <c r="K44" s="21">
        <f t="shared" si="8"/>
        <v>0</v>
      </c>
      <c r="L44" s="21">
        <f t="shared" si="8"/>
        <v>4326863</v>
      </c>
      <c r="M44" s="49">
        <f t="shared" ref="M44:V44" si="9">SUM(M39:M43)</f>
        <v>499591.93</v>
      </c>
      <c r="N44" s="21">
        <f t="shared" si="9"/>
        <v>517447.92267638887</v>
      </c>
      <c r="O44" s="21">
        <f t="shared" si="9"/>
        <v>557933.42322977481</v>
      </c>
      <c r="P44" s="21">
        <f t="shared" si="9"/>
        <v>574337.94527365838</v>
      </c>
      <c r="Q44" s="21">
        <f t="shared" si="9"/>
        <v>616751.79694111284</v>
      </c>
      <c r="R44" s="21">
        <f t="shared" si="9"/>
        <v>657673.00806343276</v>
      </c>
      <c r="S44" s="21">
        <f t="shared" si="9"/>
        <v>719263.90865433181</v>
      </c>
      <c r="T44" s="21">
        <f t="shared" si="9"/>
        <v>785204.91003593185</v>
      </c>
      <c r="U44" s="21">
        <f t="shared" si="9"/>
        <v>834627.959864515</v>
      </c>
      <c r="V44" s="21">
        <f t="shared" si="9"/>
        <v>965519.91806033684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7"/>
        <v>11055215.722799484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0">+D44</f>
        <v>0</v>
      </c>
      <c r="E45" s="21">
        <f t="shared" si="10"/>
        <v>0</v>
      </c>
      <c r="F45" s="21">
        <f t="shared" si="10"/>
        <v>0</v>
      </c>
      <c r="G45" s="21">
        <f t="shared" si="10"/>
        <v>0</v>
      </c>
      <c r="H45" s="21">
        <f t="shared" si="10"/>
        <v>0</v>
      </c>
      <c r="I45" s="21">
        <f t="shared" si="10"/>
        <v>0</v>
      </c>
      <c r="J45" s="21">
        <f t="shared" si="10"/>
        <v>0</v>
      </c>
      <c r="K45" s="21">
        <f t="shared" si="10"/>
        <v>0</v>
      </c>
      <c r="L45" s="21">
        <f t="shared" si="10"/>
        <v>4326863</v>
      </c>
      <c r="M45" s="49">
        <f>L45+M44</f>
        <v>4826454.93</v>
      </c>
      <c r="N45" s="49">
        <f t="shared" ref="N45:V45" si="11">M45+N44</f>
        <v>5343902.8526763888</v>
      </c>
      <c r="O45" s="49">
        <f t="shared" si="11"/>
        <v>5901836.2759061633</v>
      </c>
      <c r="P45" s="49">
        <f t="shared" si="11"/>
        <v>6476174.2211798215</v>
      </c>
      <c r="Q45" s="49">
        <f>P45+Q44</f>
        <v>7092926.0181209343</v>
      </c>
      <c r="R45" s="49">
        <f t="shared" si="11"/>
        <v>7750599.026184367</v>
      </c>
      <c r="S45" s="49">
        <f t="shared" si="11"/>
        <v>8469862.9348386992</v>
      </c>
      <c r="T45" s="49">
        <f t="shared" si="11"/>
        <v>9255067.8448746316</v>
      </c>
      <c r="U45" s="49">
        <f t="shared" si="11"/>
        <v>10089695.804739147</v>
      </c>
      <c r="V45" s="49">
        <f t="shared" si="11"/>
        <v>11055215.722799484</v>
      </c>
      <c r="W45" s="49">
        <f>V45+W44</f>
        <v>11055215.722799484</v>
      </c>
      <c r="X45" s="49">
        <f>W45+X44</f>
        <v>11055215.722799484</v>
      </c>
      <c r="Y45" s="49">
        <f>X45+Y44</f>
        <v>11055215.722799484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2">+D35+D44</f>
        <v>0</v>
      </c>
      <c r="E47" s="4">
        <f t="shared" si="12"/>
        <v>0</v>
      </c>
      <c r="F47" s="4">
        <f t="shared" si="12"/>
        <v>0</v>
      </c>
      <c r="G47" s="4">
        <f t="shared" si="12"/>
        <v>0</v>
      </c>
      <c r="H47" s="4">
        <f t="shared" si="12"/>
        <v>0</v>
      </c>
      <c r="I47" s="4">
        <f t="shared" si="12"/>
        <v>0</v>
      </c>
      <c r="J47" s="4">
        <f t="shared" si="12"/>
        <v>0</v>
      </c>
      <c r="K47" s="4">
        <f t="shared" si="12"/>
        <v>0</v>
      </c>
      <c r="L47" s="4">
        <f t="shared" si="12"/>
        <v>93174572.049999997</v>
      </c>
      <c r="M47" s="52">
        <f t="shared" ref="M47:V47" si="13">+M35+M44</f>
        <v>706459.92999999993</v>
      </c>
      <c r="N47" s="4">
        <f t="shared" si="13"/>
        <v>2178270.2560097221</v>
      </c>
      <c r="O47" s="4">
        <f t="shared" si="13"/>
        <v>7520808.7565631075</v>
      </c>
      <c r="P47" s="4">
        <f t="shared" si="13"/>
        <v>2620724.5786069916</v>
      </c>
      <c r="Q47" s="4">
        <f t="shared" si="13"/>
        <v>8277786.4302744456</v>
      </c>
      <c r="R47" s="4">
        <f t="shared" si="13"/>
        <v>7624294.0213967655</v>
      </c>
      <c r="S47" s="4">
        <f t="shared" si="13"/>
        <v>11403531.021987664</v>
      </c>
      <c r="T47" s="4">
        <f t="shared" si="13"/>
        <v>12239664.333369264</v>
      </c>
      <c r="U47" s="4">
        <f t="shared" si="13"/>
        <v>9173678.4027978517</v>
      </c>
      <c r="V47" s="4">
        <f t="shared" si="13"/>
        <v>25351376.548193667</v>
      </c>
      <c r="W47" s="4">
        <f>+W35+W44</f>
        <v>5141884.91</v>
      </c>
      <c r="X47" s="4">
        <f>+X35+X44</f>
        <v>0</v>
      </c>
      <c r="Y47" s="4">
        <f>+Y35+Y44</f>
        <v>0</v>
      </c>
      <c r="Z47" s="11">
        <f>SUM(C47:W47)</f>
        <v>185413051.23919949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4">D47</f>
        <v>0</v>
      </c>
      <c r="E48" s="4">
        <f t="shared" si="14"/>
        <v>0</v>
      </c>
      <c r="F48" s="4">
        <f t="shared" si="14"/>
        <v>0</v>
      </c>
      <c r="G48" s="4">
        <f t="shared" si="14"/>
        <v>0</v>
      </c>
      <c r="H48" s="4">
        <f t="shared" si="14"/>
        <v>0</v>
      </c>
      <c r="I48" s="4">
        <f t="shared" si="14"/>
        <v>0</v>
      </c>
      <c r="J48" s="4">
        <f t="shared" si="14"/>
        <v>0</v>
      </c>
      <c r="K48" s="4">
        <f t="shared" si="14"/>
        <v>0</v>
      </c>
      <c r="L48" s="4">
        <f t="shared" si="14"/>
        <v>93174572.049999997</v>
      </c>
      <c r="M48" s="52">
        <f>M47+L48</f>
        <v>93881031.980000004</v>
      </c>
      <c r="N48" s="52">
        <f t="shared" ref="N48:V48" si="15">N47+M48</f>
        <v>96059302.236009732</v>
      </c>
      <c r="O48" s="52">
        <f t="shared" si="15"/>
        <v>103580110.99257284</v>
      </c>
      <c r="P48" s="52">
        <f t="shared" si="15"/>
        <v>106200835.57117984</v>
      </c>
      <c r="Q48" s="52">
        <f>Q47+P48</f>
        <v>114478622.00145428</v>
      </c>
      <c r="R48" s="52">
        <f t="shared" si="15"/>
        <v>122102916.02285105</v>
      </c>
      <c r="S48" s="52">
        <f t="shared" si="15"/>
        <v>133506447.04483871</v>
      </c>
      <c r="T48" s="52">
        <f t="shared" si="15"/>
        <v>145746111.37820798</v>
      </c>
      <c r="U48" s="52">
        <f t="shared" si="15"/>
        <v>154919789.78100583</v>
      </c>
      <c r="V48" s="52">
        <f t="shared" si="15"/>
        <v>180271166.32919949</v>
      </c>
      <c r="W48" s="52">
        <f>W47+V48</f>
        <v>185413051.23919949</v>
      </c>
      <c r="X48" s="52">
        <f>X47+W48</f>
        <v>185413051.23919949</v>
      </c>
      <c r="Y48" s="52">
        <f>Y47+X48</f>
        <v>185413051.23919949</v>
      </c>
      <c r="Z48" s="11"/>
    </row>
    <row r="49" spans="1:31" s="4" customFormat="1" x14ac:dyDescent="0.25">
      <c r="M49" s="52"/>
      <c r="Z49" s="11"/>
    </row>
    <row r="50" spans="1:31" s="4" customFormat="1" x14ac:dyDescent="0.25">
      <c r="M50" s="52"/>
    </row>
    <row r="51" spans="1:31" s="4" customFormat="1" x14ac:dyDescent="0.25">
      <c r="M51" s="52"/>
      <c r="Z51" s="16">
        <f>+Z47/C54/1000</f>
        <v>363.55500242980293</v>
      </c>
    </row>
    <row r="52" spans="1:31" s="4" customFormat="1" x14ac:dyDescent="0.25">
      <c r="A52" s="8" t="s">
        <v>96</v>
      </c>
      <c r="C52" s="12">
        <v>6.5000000000000002E-2</v>
      </c>
      <c r="M52" s="52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2"/>
      <c r="Z56" s="11"/>
    </row>
    <row r="57" spans="1:31" x14ac:dyDescent="0.25">
      <c r="A57" s="17" t="s">
        <v>69</v>
      </c>
      <c r="C57" s="4">
        <f t="shared" ref="C57:K57" si="16">+C47-C40</f>
        <v>0</v>
      </c>
      <c r="D57" s="4">
        <f t="shared" si="16"/>
        <v>0</v>
      </c>
      <c r="E57" s="4">
        <f t="shared" si="16"/>
        <v>0</v>
      </c>
      <c r="F57" s="4">
        <f t="shared" si="16"/>
        <v>0</v>
      </c>
      <c r="G57" s="4">
        <f t="shared" si="16"/>
        <v>0</v>
      </c>
      <c r="H57" s="4">
        <f t="shared" si="16"/>
        <v>0</v>
      </c>
      <c r="I57" s="4">
        <f t="shared" si="16"/>
        <v>0</v>
      </c>
      <c r="J57" s="4">
        <f t="shared" si="16"/>
        <v>0</v>
      </c>
      <c r="K57" s="4">
        <f t="shared" si="16"/>
        <v>0</v>
      </c>
      <c r="L57" s="4"/>
      <c r="M57" s="52">
        <f t="shared" ref="M57:Y57" si="17">+M47-M40</f>
        <v>200790.99999999994</v>
      </c>
      <c r="N57" s="4">
        <f t="shared" si="17"/>
        <v>1660822.3333333333</v>
      </c>
      <c r="O57" s="4">
        <f t="shared" si="17"/>
        <v>6962875.333333333</v>
      </c>
      <c r="P57" s="4">
        <f t="shared" si="17"/>
        <v>2046386.6333333333</v>
      </c>
      <c r="Q57" s="4">
        <f t="shared" si="17"/>
        <v>7661034.6333333328</v>
      </c>
      <c r="R57" s="4">
        <f t="shared" si="17"/>
        <v>6966621.0133333327</v>
      </c>
      <c r="S57" s="4">
        <f t="shared" si="17"/>
        <v>10684267.113333331</v>
      </c>
      <c r="T57" s="4">
        <f t="shared" si="17"/>
        <v>11454459.423333332</v>
      </c>
      <c r="U57" s="4">
        <f t="shared" si="17"/>
        <v>8339050.4429333368</v>
      </c>
      <c r="V57" s="4">
        <f t="shared" si="17"/>
        <v>24385856.630133331</v>
      </c>
      <c r="W57" s="4">
        <f t="shared" si="17"/>
        <v>5141884.91</v>
      </c>
      <c r="X57" s="4">
        <f t="shared" si="17"/>
        <v>0</v>
      </c>
      <c r="Y57" s="4">
        <f t="shared" si="17"/>
        <v>0</v>
      </c>
      <c r="Z57" s="11">
        <f>SUM(C57:Y57)</f>
        <v>85504049.466399997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731829</v>
      </c>
      <c r="AD62" s="18">
        <f>[1]Gleason!$BT$159</f>
        <v>731829.32000000007</v>
      </c>
      <c r="AE62" s="18">
        <f>AC62-AD62</f>
        <v>-0.32000000006519258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[1]Gleason!$BT$209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[1]Gleason!$BT$203</f>
        <v>897104.88</v>
      </c>
      <c r="AE65" s="18">
        <f>AC65-AD65</f>
        <v>0.11999999999534339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199999.86000000002</v>
      </c>
      <c r="AD66" s="18">
        <f>[1]Wheatland!$BR$151</f>
        <v>200000</v>
      </c>
      <c r="AE66" s="18">
        <f>AC66-AD66</f>
        <v>-0.13999999998486601</v>
      </c>
    </row>
    <row r="67" spans="1:31" x14ac:dyDescent="0.25">
      <c r="A67" s="4" t="s">
        <v>82</v>
      </c>
      <c r="C67" s="21">
        <f t="shared" ref="C67:L67" si="18">SUM(C62:C66)</f>
        <v>0</v>
      </c>
      <c r="D67" s="21">
        <f t="shared" si="18"/>
        <v>0</v>
      </c>
      <c r="E67" s="21">
        <f t="shared" si="18"/>
        <v>5000</v>
      </c>
      <c r="F67" s="21">
        <f t="shared" si="18"/>
        <v>16264</v>
      </c>
      <c r="G67" s="21">
        <f t="shared" si="18"/>
        <v>8569.5</v>
      </c>
      <c r="H67" s="21">
        <f t="shared" si="18"/>
        <v>190302.26</v>
      </c>
      <c r="I67" s="21">
        <f t="shared" si="18"/>
        <v>0</v>
      </c>
      <c r="J67" s="21">
        <f t="shared" si="18"/>
        <v>2645</v>
      </c>
      <c r="K67" s="21">
        <f t="shared" si="18"/>
        <v>0</v>
      </c>
      <c r="L67" s="21">
        <f t="shared" si="18"/>
        <v>-208356.95</v>
      </c>
      <c r="M67" s="49">
        <f t="shared" ref="M67:V67" si="19">SUM(M62:M66)</f>
        <v>8203</v>
      </c>
      <c r="N67" s="21">
        <f t="shared" si="19"/>
        <v>0</v>
      </c>
      <c r="O67" s="21">
        <f t="shared" si="19"/>
        <v>0</v>
      </c>
      <c r="P67" s="21">
        <f t="shared" si="19"/>
        <v>0</v>
      </c>
      <c r="Q67" s="21">
        <f t="shared" si="19"/>
        <v>0</v>
      </c>
      <c r="R67" s="21">
        <f t="shared" si="19"/>
        <v>0</v>
      </c>
      <c r="S67" s="21">
        <f t="shared" si="19"/>
        <v>0</v>
      </c>
      <c r="T67" s="21">
        <f t="shared" si="19"/>
        <v>0</v>
      </c>
      <c r="U67" s="21">
        <f t="shared" si="19"/>
        <v>0</v>
      </c>
      <c r="V67" s="21">
        <f t="shared" si="19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0">SUM(E67:E69)</f>
        <v>5000</v>
      </c>
      <c r="F70" s="21">
        <f t="shared" si="20"/>
        <v>16264</v>
      </c>
      <c r="G70" s="21">
        <f t="shared" si="20"/>
        <v>8569.5</v>
      </c>
      <c r="H70" s="21">
        <f t="shared" si="20"/>
        <v>190302.26</v>
      </c>
      <c r="I70" s="21">
        <f t="shared" si="20"/>
        <v>0</v>
      </c>
      <c r="J70" s="21">
        <f t="shared" si="20"/>
        <v>2645</v>
      </c>
      <c r="K70" s="21">
        <f t="shared" si="20"/>
        <v>0</v>
      </c>
      <c r="L70" s="21">
        <f t="shared" si="20"/>
        <v>-208356.95</v>
      </c>
      <c r="M70" s="21">
        <f t="shared" si="20"/>
        <v>8203</v>
      </c>
      <c r="N70" s="21">
        <f t="shared" si="20"/>
        <v>0</v>
      </c>
      <c r="O70" s="21">
        <f t="shared" si="20"/>
        <v>0</v>
      </c>
      <c r="P70" s="21">
        <f t="shared" si="20"/>
        <v>-2135</v>
      </c>
      <c r="Q70" s="21">
        <f t="shared" si="20"/>
        <v>0</v>
      </c>
      <c r="R70" s="21">
        <f t="shared" si="20"/>
        <v>0</v>
      </c>
      <c r="S70" s="21">
        <f t="shared" si="20"/>
        <v>0</v>
      </c>
      <c r="T70" s="21">
        <f t="shared" si="20"/>
        <v>0</v>
      </c>
      <c r="U70" s="21">
        <f t="shared" si="20"/>
        <v>0</v>
      </c>
      <c r="V70" s="21">
        <f t="shared" si="20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0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1">+F70+F47</f>
        <v>16264</v>
      </c>
      <c r="G73" s="9">
        <f t="shared" si="21"/>
        <v>8569.5</v>
      </c>
      <c r="H73" s="9">
        <f t="shared" si="21"/>
        <v>190302.26</v>
      </c>
      <c r="I73" s="9">
        <f t="shared" si="21"/>
        <v>0</v>
      </c>
      <c r="J73" s="9">
        <f t="shared" si="21"/>
        <v>2645</v>
      </c>
      <c r="K73" s="9">
        <f t="shared" si="21"/>
        <v>0</v>
      </c>
      <c r="L73" s="9">
        <f>D70:L70+L47</f>
        <v>92966215.099999994</v>
      </c>
      <c r="M73" s="9">
        <f t="shared" si="21"/>
        <v>714662.92999999993</v>
      </c>
      <c r="N73" s="9">
        <f t="shared" si="21"/>
        <v>2178270.2560097221</v>
      </c>
      <c r="O73" s="9">
        <f t="shared" si="21"/>
        <v>7520808.7565631075</v>
      </c>
      <c r="P73" s="9">
        <f t="shared" si="21"/>
        <v>2618589.5786069916</v>
      </c>
      <c r="Q73" s="9">
        <f t="shared" si="21"/>
        <v>8277786.4302744456</v>
      </c>
      <c r="R73" s="9">
        <f t="shared" si="21"/>
        <v>7624294.0213967655</v>
      </c>
      <c r="S73" s="9">
        <f t="shared" si="21"/>
        <v>11403531.021987664</v>
      </c>
      <c r="T73" s="9">
        <f t="shared" si="21"/>
        <v>12239664.333369264</v>
      </c>
      <c r="U73" s="9">
        <f t="shared" si="21"/>
        <v>9173678.4027978517</v>
      </c>
      <c r="V73" s="9">
        <f t="shared" si="21"/>
        <v>25351376.548193667</v>
      </c>
      <c r="W73" s="9">
        <f t="shared" si="21"/>
        <v>5141884.91</v>
      </c>
      <c r="X73" s="9">
        <f t="shared" si="21"/>
        <v>0</v>
      </c>
      <c r="Y73" s="9">
        <f t="shared" si="21"/>
        <v>0</v>
      </c>
      <c r="Z73" s="9">
        <f>SUM(C73:Y73)</f>
        <v>185433543.04919949</v>
      </c>
    </row>
    <row r="74" spans="1:31" x14ac:dyDescent="0.25">
      <c r="Z74" s="4">
        <f>Z73-[1]Gleason!$BT$225</f>
        <v>-0.98359999060630798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U8" activePane="bottomRight" state="frozen"/>
      <selection pane="topRight"/>
      <selection pane="bottomLeft"/>
      <selection pane="bottomRight" activeCell="AB20" sqref="AB20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4" width="13.109375" style="18" customWidth="1"/>
    <col min="25" max="25" width="13.88671875" style="4" customWidth="1"/>
    <col min="26" max="26" width="20" style="18" hidden="1" customWidth="1"/>
    <col min="27" max="27" width="12.33203125" style="18" customWidth="1"/>
    <col min="28" max="28" width="12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April 14, 2000</v>
      </c>
      <c r="Y2" s="25" t="str">
        <f ca="1">CELL("filename")</f>
        <v>O:\Fin_Ops\Engysvc\PowerPlants\2000 Plants\Draw Schedule\[Draw Sched - 050300.xls]Gleason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36648.571862500001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v>0</v>
      </c>
      <c r="U11" s="18"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5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X12" s="18">
        <v>1783657</v>
      </c>
      <c r="Y12" s="11">
        <f t="shared" si="0"/>
        <v>13410951.081699999</v>
      </c>
      <c r="Z12" s="15" t="s">
        <v>50</v>
      </c>
      <c r="AA12" s="18">
        <f>[1]Wheatland!$BR$48</f>
        <v>13410951</v>
      </c>
      <c r="AB12" s="18">
        <f t="shared" si="1"/>
        <v>8.1699999049305916E-2</v>
      </c>
    </row>
    <row r="13" spans="1:28" x14ac:dyDescent="0.25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X13" s="18">
        <v>658321</v>
      </c>
      <c r="Y13" s="11">
        <f t="shared" si="0"/>
        <v>4949776.4592000004</v>
      </c>
      <c r="Z13" s="15"/>
      <c r="AA13" s="18">
        <f>[1]Wheatland!$BR$55</f>
        <v>4949776</v>
      </c>
      <c r="AB13" s="18">
        <f t="shared" si="1"/>
        <v>0.45920000039041042</v>
      </c>
    </row>
    <row r="14" spans="1:28" x14ac:dyDescent="0.25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X14" s="18">
        <v>2144623</v>
      </c>
      <c r="Y14" s="11">
        <f t="shared" si="0"/>
        <v>16124986.6829</v>
      </c>
      <c r="Z14" s="15"/>
      <c r="AA14" s="18">
        <f>[1]Wheatland!$BR$80</f>
        <v>16124987</v>
      </c>
      <c r="AB14" s="18">
        <f t="shared" si="1"/>
        <v>-0.31709999963641167</v>
      </c>
    </row>
    <row r="15" spans="1:28" x14ac:dyDescent="0.25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X15" s="18">
        <v>1349408</v>
      </c>
      <c r="Y15" s="11">
        <f t="shared" si="0"/>
        <v>10145928.814300001</v>
      </c>
      <c r="Z15" s="15"/>
      <c r="AA15" s="18">
        <f>[1]Wheatland!$BR$85</f>
        <v>10145929</v>
      </c>
      <c r="AB15" s="18">
        <f t="shared" si="1"/>
        <v>-0.18569999933242798</v>
      </c>
    </row>
    <row r="16" spans="1:28" x14ac:dyDescent="0.25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S16" s="18">
        <v>6627015</v>
      </c>
      <c r="U16" s="18">
        <f>-1946726-3953393</f>
        <v>-5900119</v>
      </c>
      <c r="W16" s="18">
        <v>-4108675</v>
      </c>
      <c r="X16" s="18">
        <v>-10580408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5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5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5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v>198889</v>
      </c>
      <c r="T19" s="18">
        <f>2386700/12</f>
        <v>198891.66666666666</v>
      </c>
      <c r="U19" s="18">
        <f>2386700/12+6+3-7+5+3</f>
        <v>198901.66666666666</v>
      </c>
      <c r="Y19" s="11">
        <f t="shared" si="0"/>
        <v>2386700.3366666664</v>
      </c>
      <c r="Z19" s="15"/>
      <c r="AA19" s="18">
        <f>[1]Wheatland!$BR96</f>
        <v>2386700</v>
      </c>
      <c r="AB19" s="18">
        <f t="shared" si="1"/>
        <v>0.33666666643694043</v>
      </c>
    </row>
    <row r="20" spans="1:28" x14ac:dyDescent="0.25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5">
      <c r="A21" s="17" t="s">
        <v>122</v>
      </c>
      <c r="C21" s="4">
        <v>0</v>
      </c>
      <c r="Q21" s="18">
        <v>37000</v>
      </c>
      <c r="R21" s="18">
        <v>210320</v>
      </c>
      <c r="S21" s="18">
        <v>162493</v>
      </c>
      <c r="T21" s="18">
        <v>125000</v>
      </c>
      <c r="U21" s="18">
        <f>908786-625000+88000-85320-37493</f>
        <v>248973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0</v>
      </c>
      <c r="T23" s="18">
        <f>500000+500000</f>
        <v>1000000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S24" s="18">
        <v>36475</v>
      </c>
      <c r="U24" s="18">
        <v>0</v>
      </c>
      <c r="Y24" s="11">
        <f t="shared" si="0"/>
        <v>1907103.26</v>
      </c>
      <c r="Z24" s="15" t="s">
        <v>57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v>0</v>
      </c>
      <c r="T26" s="18">
        <v>1500000</v>
      </c>
      <c r="U26" s="18">
        <f>1500000-15000+500000+500000</f>
        <v>2485000</v>
      </c>
      <c r="V26" s="18">
        <f>450000+490000</f>
        <v>940000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T28" s="18">
        <v>500000</v>
      </c>
      <c r="U28" s="18">
        <v>500000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0</v>
      </c>
      <c r="T31" s="18">
        <f>11111.1111111111+11112</f>
        <v>22223.111111111102</v>
      </c>
      <c r="U31" s="17">
        <f>27193+1111+10000-11209.91+11112</f>
        <v>38206.089999999997</v>
      </c>
      <c r="V31" s="17">
        <v>9462</v>
      </c>
      <c r="W31" s="17">
        <v>180</v>
      </c>
      <c r="X31" s="17"/>
      <c r="Y31" s="11">
        <f t="shared" si="0"/>
        <v>185199.07111111109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64331</v>
      </c>
      <c r="T32" s="18">
        <f>80349-6410+2500</f>
        <v>76439</v>
      </c>
      <c r="U32" s="17">
        <f>2688+4280+17317+3169</f>
        <v>27454</v>
      </c>
      <c r="Y32" s="11">
        <f t="shared" si="0"/>
        <v>684431.69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20000</v>
      </c>
      <c r="T33" s="18">
        <f>7559+199999</f>
        <v>207558</v>
      </c>
      <c r="U33" s="18">
        <f>2441+1962+197444+48543+70636-10000</f>
        <v>311026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7186686.333333333</v>
      </c>
      <c r="T34" s="21">
        <f t="shared" si="3"/>
        <v>7842008.0521111097</v>
      </c>
      <c r="U34" s="21">
        <f t="shared" si="3"/>
        <v>20372023.093900003</v>
      </c>
      <c r="V34" s="21">
        <f>SUM(V8:V33)</f>
        <v>3419813.0932</v>
      </c>
      <c r="W34" s="21">
        <f>SUM(W8:W33)</f>
        <v>2128053</v>
      </c>
      <c r="X34" s="21">
        <f>SUM(X8:X33)</f>
        <v>-4620274</v>
      </c>
      <c r="Y34" s="22">
        <f>SUM(C34:U34)</f>
        <v>152132937.89934444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123918906.75333333</v>
      </c>
      <c r="T35" s="21">
        <f t="shared" si="4"/>
        <v>131760914.80544443</v>
      </c>
      <c r="U35" s="21">
        <f t="shared" si="4"/>
        <v>152132937.89934444</v>
      </c>
      <c r="V35" s="21">
        <f>+U35+V34</f>
        <v>155552750.99254444</v>
      </c>
      <c r="W35" s="21">
        <f>+V35+W34</f>
        <v>157680803.99254444</v>
      </c>
      <c r="X35" s="21">
        <f>+W35+X34</f>
        <v>153060529.99254444</v>
      </c>
      <c r="Y35" s="11"/>
    </row>
    <row r="36" spans="1:27" x14ac:dyDescent="0.25">
      <c r="A36" s="17" t="s">
        <v>64</v>
      </c>
      <c r="F36" s="8"/>
      <c r="Y36" s="16">
        <f>+Y34/C51/1000</f>
        <v>323.68710191349885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710981.76429860026</v>
      </c>
      <c r="T39" s="30">
        <f t="shared" si="6"/>
        <v>757310.45913748618</v>
      </c>
      <c r="U39" s="30">
        <f t="shared" si="6"/>
        <v>871761.01588310592</v>
      </c>
      <c r="V39" s="30">
        <v>0</v>
      </c>
      <c r="W39" s="30">
        <v>0</v>
      </c>
      <c r="X39" s="30">
        <v>0</v>
      </c>
      <c r="Y39" s="11">
        <f t="shared" si="5"/>
        <v>9685395.8564966805</v>
      </c>
      <c r="Z39" s="19" t="str">
        <f>Z52</f>
        <v>Rodney Malcolm</v>
      </c>
      <c r="AA39" s="18">
        <f>Y39</f>
        <v>9685395.8564966805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710981.76429860026</v>
      </c>
      <c r="T43" s="21">
        <f t="shared" si="7"/>
        <v>757310.45913748618</v>
      </c>
      <c r="U43" s="21">
        <f t="shared" si="7"/>
        <v>871761.01588310592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9679318.3564966805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8050246.8814760884</v>
      </c>
      <c r="T44" s="21">
        <f t="shared" si="8"/>
        <v>8807557.3406135738</v>
      </c>
      <c r="U44" s="21">
        <f t="shared" si="8"/>
        <v>9679318.3564966805</v>
      </c>
      <c r="V44" s="21">
        <f>+V43+U44</f>
        <v>9679318.3564966805</v>
      </c>
      <c r="W44" s="21">
        <f>+W43+V44</f>
        <v>9679318.3564966805</v>
      </c>
      <c r="X44" s="21">
        <f>+X43+W44</f>
        <v>9679318.3564966805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7897668.0976319332</v>
      </c>
      <c r="T46" s="4">
        <f t="shared" si="9"/>
        <v>8599318.511248596</v>
      </c>
      <c r="U46" s="4">
        <f t="shared" si="9"/>
        <v>21243784.109783109</v>
      </c>
      <c r="V46" s="4">
        <f>+V34+V43</f>
        <v>3419813.0932</v>
      </c>
      <c r="W46" s="4">
        <f>+W34+W43</f>
        <v>2128053</v>
      </c>
      <c r="X46" s="4">
        <f>+X34+X43</f>
        <v>-4620274</v>
      </c>
      <c r="Y46" s="11">
        <f>SUM(C46:X46)</f>
        <v>162739848.34904113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131969153.63480943</v>
      </c>
      <c r="T47" s="4">
        <f t="shared" si="10"/>
        <v>140568472.14605802</v>
      </c>
      <c r="U47" s="4">
        <f t="shared" si="10"/>
        <v>161812256.25584114</v>
      </c>
      <c r="V47" s="4">
        <f>U47+V46</f>
        <v>165232069.34904113</v>
      </c>
      <c r="W47" s="4">
        <f>V47+W46</f>
        <v>167360122.34904113</v>
      </c>
      <c r="X47" s="4">
        <f>W47+X46</f>
        <v>162739848.34904113</v>
      </c>
      <c r="Y47" s="11"/>
    </row>
    <row r="48" spans="1:27" s="4" customFormat="1" x14ac:dyDescent="0.25">
      <c r="Y48" s="16">
        <f>+Y46/C51/1000</f>
        <v>346.25499648732159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7186686.333333333</v>
      </c>
      <c r="T54" s="4">
        <f t="shared" si="11"/>
        <v>7842008.0521111097</v>
      </c>
      <c r="U54" s="4">
        <f t="shared" si="11"/>
        <v>20372023.093900003</v>
      </c>
      <c r="V54" s="4">
        <f t="shared" si="11"/>
        <v>3419813.0932</v>
      </c>
      <c r="W54" s="4">
        <f t="shared" si="11"/>
        <v>2128053</v>
      </c>
      <c r="X54" s="4">
        <f t="shared" si="11"/>
        <v>-4620274</v>
      </c>
      <c r="Y54" s="23">
        <f>SUM(C54:X54)</f>
        <v>153054452.49254444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834146.8899999999</v>
      </c>
      <c r="AB60" s="18">
        <f>[1]Wheatland!$BR$160</f>
        <v>834146.91999999993</v>
      </c>
      <c r="AC60" s="18">
        <f>AB60-AA60</f>
        <v>3.0000000027939677E-2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1907103.26</v>
      </c>
      <c r="AB61" s="18">
        <f>[1]Wheatland!$BR$130</f>
        <v>1907102.57</v>
      </c>
      <c r="AC61" s="18">
        <f>AB61-AA61</f>
        <v>-0.68999999994412065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200000.45111111109</v>
      </c>
      <c r="AB62" s="18">
        <f>[1]Wheatland!$BR$151</f>
        <v>200000</v>
      </c>
      <c r="AC62" s="18">
        <f>AB62-AA62</f>
        <v>-0.45111111109144986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7897668.0976319332</v>
      </c>
      <c r="T78" s="33">
        <f t="shared" si="15"/>
        <v>8599318.511248596</v>
      </c>
      <c r="U78" s="33">
        <f t="shared" si="15"/>
        <v>21243784.109783109</v>
      </c>
      <c r="V78" s="33">
        <f t="shared" si="15"/>
        <v>3419813.0932</v>
      </c>
      <c r="W78" s="33">
        <f t="shared" si="15"/>
        <v>2128053</v>
      </c>
      <c r="X78" s="33">
        <f t="shared" si="15"/>
        <v>-4620274</v>
      </c>
      <c r="Y78" s="33">
        <f t="shared" si="15"/>
        <v>162950400.92904115</v>
      </c>
      <c r="Z78" s="17"/>
    </row>
    <row r="79" spans="1:26" x14ac:dyDescent="0.25">
      <c r="U79"/>
      <c r="V79"/>
      <c r="W79"/>
      <c r="X79"/>
      <c r="Y79" s="44">
        <f>Y78-[1]Wheatland!$BR$200</f>
        <v>3.3525444865226746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2000-05-02T18:43:49Z</cp:lastPrinted>
  <dcterms:created xsi:type="dcterms:W3CDTF">1999-02-09T14:03:00Z</dcterms:created>
  <dcterms:modified xsi:type="dcterms:W3CDTF">2023-09-10T11:58:27Z</dcterms:modified>
</cp:coreProperties>
</file>