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calcMode="manual" fullCalcOnLoad="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<sst xmlns="http://schemas.openxmlformats.org/spreadsheetml/2006/main" count="1962" uniqueCount="565">
  <si>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</si>
  <si>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</si>
  <si>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</si>
  <si>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</si>
  <si>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</si>
  <si>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</si>
  <si>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</si>
  <si>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</si>
  <si>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</si>
  <si>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</si>
  <si>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</si>
  <si>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</si>
  <si>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</si>
  <si>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</si>
  <si>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</si>
  <si>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</si>
  <si>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</si>
  <si>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</si>
  <si>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</si>
  <si>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</si>
  <si>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</si>
  <si>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</si>
  <si>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</si>
  <si>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</si>
  <si>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</si>
  <si>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</si>
  <si>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</si>
  <si>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</si>
  <si>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</si>
  <si>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</si>
  <si>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</si>
  <si>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</si>
  <si>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</si>
  <si>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</si>
  <si>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</si>
  <si>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</si>
  <si>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</si>
  <si>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</si>
  <si>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</si>
  <si>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</si>
  <si>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</si>
  <si>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</si>
  <si>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</si>
  <si>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</si>
  <si>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</si>
  <si>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</si>
  <si>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</si>
  <si>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</si>
  <si>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</si>
  <si>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</si>
  <si>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</si>
  <si>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</si>
  <si>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</si>
  <si>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</si>
  <si>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</si>
  <si>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</si>
  <si>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</si>
  <si>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</si>
  <si>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</si>
  <si>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</si>
  <si>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</si>
  <si>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</si>
  <si>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</si>
  <si>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</si>
  <si>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</si>
  <si>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</si>
  <si>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</si>
  <si>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</si>
  <si>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</si>
  <si>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</si>
  <si>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</si>
  <si>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</si>
  <si>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</si>
  <si>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</si>
  <si>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</si>
  <si>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</si>
  <si>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</si>
  <si>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</si>
  <si>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</si>
  <si>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</si>
  <si>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</si>
  <si>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</si>
  <si>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</si>
  <si>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</si>
  <si>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</si>
  <si>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</si>
  <si>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</si>
  <si>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</si>
  <si>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</si>
  <si>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</si>
  <si>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</si>
  <si>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</si>
  <si>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</si>
  <si>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</si>
  <si>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</si>
  <si>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</si>
  <si>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</si>
  <si>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</si>
  <si>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</si>
  <si>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</si>
  <si>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</si>
  <si>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</si>
  <si>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</si>
  <si>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</si>
  <si>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</si>
  <si>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</si>
  <si>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</si>
  <si>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</si>
  <si>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</si>
  <si>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</si>
  <si>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</si>
  <si>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</si>
  <si>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</si>
  <si>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</si>
  <si>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</si>
  <si>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</si>
  <si>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</si>
  <si>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</si>
  <si>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</si>
  <si>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</si>
  <si>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</si>
  <si>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</si>
  <si>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</si>
  <si>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</si>
  <si>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</si>
  <si>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</si>
  <si>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</si>
  <si>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</si>
  <si>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</si>
  <si>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</si>
  <si>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</si>
  <si>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</si>
  <si>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</si>
  <si>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</si>
  <si>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</si>
  <si>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</si>
  <si>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</si>
  <si>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</si>
  <si>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</si>
  <si>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</si>
  <si>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</si>
  <si>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</si>
  <si>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</si>
  <si>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</si>
  <si>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</si>
  <si>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</si>
  <si>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</si>
  <si>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</si>
  <si>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</si>
  <si>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</si>
  <si>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</si>
  <si>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</si>
  <si>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</si>
  <si>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</si>
  <si>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</si>
  <si>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</si>
  <si>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</si>
  <si>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</si>
  <si>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</si>
  <si>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</si>
  <si>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</si>
  <si>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</si>
  <si>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</si>
  <si>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</si>
  <si>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</si>
  <si>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</si>
  <si>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</si>
  <si>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</si>
  <si>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</si>
  <si>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</si>
  <si>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</si>
  <si>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</si>
  <si>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</si>
  <si>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</si>
  <si>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</si>
  <si>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</si>
  <si>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</si>
  <si>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</si>
  <si>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</si>
  <si>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</si>
  <si>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</si>
  <si>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</si>
  <si>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</si>
  <si>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</si>
  <si>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</si>
  <si>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</si>
  <si>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</si>
  <si>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</si>
  <si>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</si>
  <si>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</si>
  <si>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</si>
  <si>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</si>
  <si>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</si>
  <si>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</si>
  <si>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</si>
  <si>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</si>
  <si>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</si>
  <si>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</si>
  <si>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</si>
  <si>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</si>
  <si>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</si>
  <si>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</si>
  <si>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</si>
  <si>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</si>
  <si>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</si>
  <si>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</si>
  <si>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</si>
  <si>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</si>
  <si>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</si>
  <si>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</si>
  <si>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</si>
  <si>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</si>
  <si>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</si>
  <si>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</si>
  <si>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</si>
  <si>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</si>
  <si>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</si>
  <si>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</si>
  <si>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</si>
  <si>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</si>
  <si>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</si>
  <si>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</si>
  <si>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</si>
  <si>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</si>
  <si>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</si>
  <si>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</si>
  <si>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</si>
  <si>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</si>
  <si>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</si>
  <si>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</si>
  <si>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</si>
  <si>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</si>
  <si>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</si>
  <si>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</si>
  <si>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</si>
  <si>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</si>
  <si>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</si>
  <si>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</si>
  <si>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</si>
  <si>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</si>
  <si>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</si>
  <si>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</si>
  <si>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</si>
  <si>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</si>
  <si>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</si>
  <si>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</si>
  <si>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</si>
  <si>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</si>
  <si>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</si>
  <si>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</si>
  <si>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</si>
  <si>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</si>
  <si>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</si>
  <si>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</si>
  <si>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</si>
  <si>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</si>
  <si>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</si>
  <si>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</si>
  <si>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</si>
  <si>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</si>
  <si>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</si>
  <si>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</si>
  <si>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</si>
  <si>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</si>
  <si>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</si>
  <si>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</si>
  <si>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</si>
  <si>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</si>
  <si>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</si>
  <si>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</si>
  <si>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</si>
  <si>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</si>
  <si>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</si>
  <si>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</si>
  <si>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</si>
  <si>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</si>
  <si>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</si>
  <si>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</si>
  <si>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</si>
  <si>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</si>
  <si>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</si>
  <si>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</si>
  <si>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</si>
  <si>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</si>
  <si>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</si>
  <si>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</si>
  <si>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</si>
  <si>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</si>
  <si>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</si>
  <si>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</si>
  <si>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</si>
  <si>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</si>
  <si>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</si>
  <si>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</si>
  <si>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</si>
  <si>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</si>
  <si>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</si>
  <si>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</si>
  <si>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</si>
  <si>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</si>
  <si>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</si>
  <si>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</si>
  <si>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</si>
  <si>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</si>
  <si>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</si>
  <si>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</si>
  <si>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</si>
  <si>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</si>
  <si>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</si>
  <si>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</si>
  <si>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</si>
  <si>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</si>
  <si>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</si>
  <si>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</si>
  <si>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</si>
  <si>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</si>
  <si>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</si>
  <si>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</si>
  <si>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</si>
  <si>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</si>
  <si>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</si>
  <si>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</si>
  <si>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</si>
  <si>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</si>
  <si>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</si>
  <si>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</si>
  <si>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</si>
  <si>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</si>
  <si>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</si>
  <si>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</si>
  <si>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</si>
  <si>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</si>
  <si>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</si>
  <si>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</si>
  <si>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</si>
  <si>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</si>
  <si>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</si>
  <si>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</si>
  <si>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</si>
  <si>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</si>
  <si>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</si>
  <si>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</si>
  <si>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</si>
  <si>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</si>
  <si>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</si>
  <si>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</si>
  <si>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</si>
  <si>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</si>
  <si>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</si>
  <si>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</si>
  <si>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</si>
  <si>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</si>
  <si>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</si>
  <si>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</si>
  <si>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</si>
  <si>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</si>
  <si>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</si>
  <si>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</si>
  <si>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</si>
  <si>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</si>
  <si>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</si>
  <si>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</si>
  <si>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</si>
  <si>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</si>
  <si>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</si>
  <si>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</si>
  <si>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</si>
  <si>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</si>
  <si>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</si>
  <si>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</si>
  <si>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</si>
  <si>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</si>
  <si>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</si>
  <si>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</si>
  <si>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</si>
  <si>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</si>
  <si>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</si>
  <si>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</si>
  <si>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</si>
  <si>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</si>
  <si>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</si>
  <si>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</si>
  <si>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</si>
  <si>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</si>
  <si>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</si>
  <si>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</si>
  <si>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</si>
  <si>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</si>
  <si>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</si>
  <si>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</si>
  <si>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</si>
  <si>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</si>
  <si>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</si>
  <si>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</si>
  <si>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</si>
  <si>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</si>
  <si>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</si>
  <si>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</si>
  <si>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</si>
  <si>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</si>
  <si>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</si>
  <si>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</si>
  <si>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</si>
  <si>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</si>
  <si>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</si>
  <si>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</si>
  <si>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</si>
  <si>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</si>
  <si>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</si>
  <si>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</si>
  <si>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</si>
  <si>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</si>
  <si>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</si>
  <si>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</si>
  <si>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</si>
  <si>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</si>
  <si>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</si>
  <si>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</si>
  <si>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</si>
  <si>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</si>
  <si>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</si>
  <si>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</si>
  <si>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</si>
  <si>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</si>
  <si>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</si>
  <si>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</si>
  <si>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</si>
  <si>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</si>
  <si>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</si>
  <si>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</si>
  <si>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</si>
  <si>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</si>
  <si>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</si>
  <si>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</si>
  <si>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</si>
  <si>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</si>
  <si>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</si>
  <si>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</si>
  <si>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</si>
  <si>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</si>
  <si>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</si>
  <si>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</si>
  <si>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</si>
  <si>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</si>
  <si>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</si>
  <si>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</si>
  <si>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</si>
  <si>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</si>
  <si>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</si>
  <si>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</si>
  <si>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</si>
  <si>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</si>
  <si>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</si>
  <si>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</si>
  <si>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</si>
  <si>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</si>
  <si>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</si>
  <si>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</si>
  <si>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</si>
  <si>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</si>
  <si>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</si>
  <si>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</si>
  <si>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</si>
  <si>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</si>
  <si>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</si>
  <si>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</si>
  <si>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</si>
  <si>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</si>
  <si>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</si>
  <si>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</si>
  <si>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</si>
  <si>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</si>
  <si>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</si>
  <si>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</si>
  <si>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</si>
  <si>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</si>
  <si>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</si>
  <si>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</si>
  <si>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</si>
  <si>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</si>
  <si>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</si>
  <si>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</si>
  <si>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</si>
  <si>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</si>
  <si>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</si>
  <si>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</si>
  <si>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</si>
  <si>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</si>
  <si>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</si>
  <si>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</si>
  <si>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</si>
  <si>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</si>
  <si>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</si>
  <si>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</si>
  <si>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</si>
  <si>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</si>
  <si>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</si>
  <si>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</si>
  <si>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</si>
  <si>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</si>
  <si>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</si>
  <si>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</si>
  <si>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</si>
  <si>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</si>
  <si>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</si>
  <si>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</si>
  <si>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</si>
  <si>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</si>
  <si>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</si>
  <si>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</si>
  <si>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</si>
  <si>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</si>
  <si>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</si>
  <si>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</si>
  <si>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</si>
  <si>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</si>
  <si>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</si>
  <si>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</si>
  <si>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</si>
  <si>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</si>
  <si>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</si>
  <si>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</si>
  <si>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</si>
  <si>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</si>
  <si>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</si>
  <si>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</si>
  <si>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</si>
  <si>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</si>
  <si>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</si>
  <si>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</si>
  <si>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</si>
  <si>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</si>
  <si>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</si>
  <si>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</si>
  <si>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</si>
  <si>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</si>
  <si>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</si>
  <si>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</si>
  <si>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</si>
  <si>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</si>
  <si>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</si>
  <si>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</si>
  <si>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</si>
  <si>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</si>
  <si>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</si>
  <si>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</si>
  <si>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</si>
  <si>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</si>
  <si>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</si>
  <si>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</si>
  <si>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</si>
  <si>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</si>
  <si>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</si>
  <si>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</si>
  <si>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</si>
  <si>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</si>
  <si>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</si>
  <si>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</si>
  <si>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</si>
  <si>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</si>
  <si>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</si>
  <si>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</si>
  <si>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56</t>
  </si>
  <si>
    <t xml:space="preserve"> As of 4/28/00</t>
  </si>
  <si>
    <r>
      <t xml:space="preserve">SWAG - Acceleration Trend calculations- </t>
    </r>
    <r>
      <rPr>
        <sz val="10"/>
        <color indexed="10"/>
        <rFont val="Arial"/>
        <family val="2"/>
      </rPr>
      <t>not approved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</si>
</sst>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03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12650445.939237578</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11061292.722799484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9685395.8564966805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6" customWidth="1"/>
    <col min="14" max="14" width="15.33203125" style="376"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4.6">
      <c r="A4" s="257"/>
      <c r="B4" s="257" t="s">
        <v>338</v>
      </c>
      <c r="C4" s="255"/>
      <c r="D4" s="255"/>
      <c r="E4" s="255"/>
      <c r="F4" s="255"/>
      <c r="G4" s="255"/>
      <c r="H4" s="258"/>
      <c r="I4" s="258"/>
      <c r="J4" s="258"/>
      <c r="K4" s="258"/>
      <c r="L4" s="378"/>
      <c r="M4" s="378"/>
      <c r="N4" s="378"/>
      <c r="O4" s="255"/>
      <c r="P4" s="255"/>
      <c r="Q4" s="255"/>
    </row>
    <row r="5" spans="1:17" ht="21">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0" t="s">
        <v>340</v>
      </c>
      <c r="B7" s="493" t="s">
        <v>341</v>
      </c>
      <c r="C7" s="493" t="s">
        <v>342</v>
      </c>
      <c r="D7" s="493" t="s">
        <v>343</v>
      </c>
      <c r="E7" s="493" t="s">
        <v>344</v>
      </c>
      <c r="F7" s="493" t="s">
        <v>345</v>
      </c>
      <c r="G7" s="487" t="s">
        <v>346</v>
      </c>
      <c r="H7" s="487" t="s">
        <v>347</v>
      </c>
      <c r="I7" s="487" t="s">
        <v>348</v>
      </c>
      <c r="J7" s="487" t="s">
        <v>349</v>
      </c>
      <c r="K7" s="487" t="s">
        <v>350</v>
      </c>
      <c r="L7" s="379" t="s">
        <v>374</v>
      </c>
      <c r="M7" s="379"/>
      <c r="N7" s="379"/>
      <c r="O7" s="493" t="s">
        <v>351</v>
      </c>
      <c r="P7" s="484" t="s">
        <v>352</v>
      </c>
      <c r="Q7" s="260"/>
    </row>
    <row r="8" spans="1:17">
      <c r="A8" s="491"/>
      <c r="B8" s="494"/>
      <c r="C8" s="494"/>
      <c r="D8" s="494"/>
      <c r="E8" s="494"/>
      <c r="F8" s="494"/>
      <c r="G8" s="488"/>
      <c r="H8" s="488"/>
      <c r="I8" s="488"/>
      <c r="J8" s="488"/>
      <c r="K8" s="488"/>
      <c r="L8" s="380" t="s">
        <v>355</v>
      </c>
      <c r="M8" s="380" t="s">
        <v>502</v>
      </c>
      <c r="N8" s="380" t="s">
        <v>506</v>
      </c>
      <c r="O8" s="494"/>
      <c r="P8" s="485"/>
      <c r="Q8" s="261"/>
    </row>
    <row r="9" spans="1:17" ht="31.8" thickBot="1">
      <c r="A9" s="492"/>
      <c r="B9" s="495"/>
      <c r="C9" s="495"/>
      <c r="D9" s="495"/>
      <c r="E9" s="495"/>
      <c r="F9" s="495"/>
      <c r="G9" s="489"/>
      <c r="H9" s="489"/>
      <c r="I9" s="489"/>
      <c r="J9" s="489"/>
      <c r="K9" s="489"/>
      <c r="L9" s="381"/>
      <c r="M9" s="381" t="s">
        <v>505</v>
      </c>
      <c r="N9" s="381" t="s">
        <v>507</v>
      </c>
      <c r="O9" s="495"/>
      <c r="P9" s="486"/>
      <c r="Q9" s="262"/>
    </row>
    <row r="10" spans="1:17" ht="16.2"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09.2">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78">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6.8">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62.4">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2"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6.8">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3.2">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3.2">
      <c r="A65" s="30"/>
      <c r="B65" s="30"/>
      <c r="L65"/>
      <c r="M65"/>
      <c r="N65"/>
    </row>
    <row r="66" spans="1:14" ht="13.2">
      <c r="A66" s="30"/>
      <c r="B66" s="30"/>
      <c r="L66"/>
      <c r="M66"/>
      <c r="N66"/>
    </row>
    <row r="67" spans="1:14" ht="18" thickBot="1">
      <c r="B67" s="438" t="s">
        <v>514</v>
      </c>
      <c r="C67" s="439"/>
      <c r="D67" s="439"/>
      <c r="E67" s="439"/>
      <c r="F67" s="439"/>
      <c r="G67" s="439"/>
      <c r="H67" s="451">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0" t="s">
        <v>340</v>
      </c>
      <c r="B7" s="493" t="s">
        <v>341</v>
      </c>
      <c r="C7" s="493" t="s">
        <v>342</v>
      </c>
      <c r="D7" s="493" t="s">
        <v>343</v>
      </c>
      <c r="E7" s="493" t="s">
        <v>344</v>
      </c>
      <c r="F7" s="493" t="s">
        <v>345</v>
      </c>
      <c r="G7" s="487" t="s">
        <v>346</v>
      </c>
      <c r="H7" s="487" t="s">
        <v>347</v>
      </c>
      <c r="I7" s="487" t="s">
        <v>348</v>
      </c>
      <c r="J7" s="487" t="s">
        <v>349</v>
      </c>
      <c r="K7" s="487" t="s">
        <v>350</v>
      </c>
      <c r="L7" s="493" t="s">
        <v>351</v>
      </c>
      <c r="M7" s="484" t="s">
        <v>352</v>
      </c>
      <c r="N7" s="260"/>
    </row>
    <row r="8" spans="1:19" ht="13.8">
      <c r="A8" s="491"/>
      <c r="B8" s="494"/>
      <c r="C8" s="494"/>
      <c r="D8" s="494"/>
      <c r="E8" s="494"/>
      <c r="F8" s="494"/>
      <c r="G8" s="488"/>
      <c r="H8" s="488"/>
      <c r="I8" s="488"/>
      <c r="J8" s="488"/>
      <c r="K8" s="488"/>
      <c r="L8" s="494"/>
      <c r="M8" s="485"/>
      <c r="N8" s="261"/>
    </row>
    <row r="9" spans="1:19" ht="14.4" thickBot="1">
      <c r="A9" s="492"/>
      <c r="B9" s="495"/>
      <c r="C9" s="495"/>
      <c r="D9" s="495"/>
      <c r="E9" s="495"/>
      <c r="F9" s="495"/>
      <c r="G9" s="489"/>
      <c r="H9" s="489"/>
      <c r="I9" s="489"/>
      <c r="J9" s="489"/>
      <c r="K9" s="489"/>
      <c r="L9" s="495"/>
      <c r="M9" s="486"/>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93.6">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0.4">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ht="13.8">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6">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5"/>
      <c r="C18" s="278"/>
      <c r="D18" s="279"/>
      <c r="E18" s="279"/>
      <c r="F18" s="278"/>
      <c r="G18" s="280"/>
      <c r="H18" s="280"/>
      <c r="I18" s="281"/>
      <c r="J18" s="281"/>
      <c r="K18" s="281"/>
      <c r="L18" s="278"/>
      <c r="M18" s="282"/>
      <c r="N18" s="283"/>
    </row>
    <row r="19" spans="1:14" ht="15.6">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 thickBot="1">
      <c r="B46" s="438" t="s">
        <v>514</v>
      </c>
      <c r="C46" s="439"/>
      <c r="D46" s="439"/>
      <c r="E46" s="439"/>
      <c r="F46" s="439"/>
      <c r="G46" s="439"/>
      <c r="H46" s="440">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0" t="s">
        <v>340</v>
      </c>
      <c r="B7" s="493" t="s">
        <v>341</v>
      </c>
      <c r="C7" s="493" t="s">
        <v>342</v>
      </c>
      <c r="D7" s="493" t="s">
        <v>343</v>
      </c>
      <c r="E7" s="493" t="s">
        <v>344</v>
      </c>
      <c r="F7" s="493" t="s">
        <v>345</v>
      </c>
      <c r="G7" s="487" t="s">
        <v>346</v>
      </c>
      <c r="H7" s="487" t="s">
        <v>347</v>
      </c>
      <c r="I7" s="487" t="s">
        <v>348</v>
      </c>
      <c r="J7" s="487" t="s">
        <v>349</v>
      </c>
      <c r="K7" s="487" t="s">
        <v>350</v>
      </c>
      <c r="L7" s="493" t="s">
        <v>351</v>
      </c>
      <c r="M7" s="484" t="s">
        <v>352</v>
      </c>
      <c r="N7" s="260"/>
    </row>
    <row r="8" spans="1:14" ht="13.8">
      <c r="A8" s="491"/>
      <c r="B8" s="494"/>
      <c r="C8" s="494"/>
      <c r="D8" s="494"/>
      <c r="E8" s="494"/>
      <c r="F8" s="494"/>
      <c r="G8" s="488"/>
      <c r="H8" s="488"/>
      <c r="I8" s="488"/>
      <c r="J8" s="488"/>
      <c r="K8" s="488"/>
      <c r="L8" s="494"/>
      <c r="M8" s="485"/>
      <c r="N8" s="261"/>
    </row>
    <row r="9" spans="1:14" ht="14.4" thickBot="1">
      <c r="A9" s="492"/>
      <c r="B9" s="495"/>
      <c r="C9" s="495"/>
      <c r="D9" s="495"/>
      <c r="E9" s="495"/>
      <c r="F9" s="495"/>
      <c r="G9" s="489"/>
      <c r="H9" s="489"/>
      <c r="I9" s="489"/>
      <c r="J9" s="489"/>
      <c r="K9" s="489"/>
      <c r="L9" s="495"/>
      <c r="M9" s="486"/>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6">
      <c r="A15" s="277"/>
      <c r="B15" s="355"/>
      <c r="C15" s="278"/>
      <c r="D15" s="279"/>
      <c r="E15" s="279"/>
      <c r="F15" s="278"/>
      <c r="G15" s="280"/>
      <c r="H15" s="280"/>
      <c r="I15" s="281"/>
      <c r="J15" s="281"/>
      <c r="K15" s="281"/>
      <c r="L15" s="278"/>
      <c r="M15" s="282"/>
      <c r="N15" s="283"/>
    </row>
    <row r="16" spans="1:14" ht="15.6">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6">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 thickBot="1">
      <c r="B43" s="438" t="s">
        <v>514</v>
      </c>
      <c r="C43" s="439"/>
      <c r="D43" s="439"/>
      <c r="E43" s="439"/>
      <c r="F43" s="439"/>
      <c r="G43" s="439"/>
      <c r="H43" s="440">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4">
        <v>19947.871999999999</v>
      </c>
      <c r="J45" s="20">
        <f>I45+10717.074</f>
        <v>30664.946</v>
      </c>
    </row>
    <row r="46" spans="1:79" ht="16.2"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abSelected="1" zoomScale="90" zoomScaleNormal="90" zoomScaleSheetLayoutView="100" workbookViewId="0">
      <selection activeCell="A32" sqref="A32"/>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36651.54237210648</v>
      </c>
    </row>
    <row r="3" spans="1:74" ht="15.6">
      <c r="A3" s="178" t="s">
        <v>189</v>
      </c>
      <c r="G3" s="176"/>
      <c r="J3" s="177"/>
      <c r="O3" s="176"/>
      <c r="BV3" t="str">
        <f ca="1">Summary!A5</f>
        <v>Revision # 56</v>
      </c>
    </row>
    <row r="4" spans="1:74" ht="15.6">
      <c r="A4" s="174" t="s">
        <v>185</v>
      </c>
      <c r="J4" s="177" t="s">
        <v>125</v>
      </c>
      <c r="O4" s="98" t="s">
        <v>563</v>
      </c>
    </row>
    <row r="5" spans="1:74" ht="15.6">
      <c r="A5" s="178" t="s">
        <v>562</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4/28/00</v>
      </c>
      <c r="H9" s="182"/>
      <c r="I9" s="53" t="str">
        <f>+O4</f>
        <v xml:space="preserve"> As of 4/28/00</v>
      </c>
      <c r="J9" s="182"/>
      <c r="K9" s="90" t="str">
        <f>+O4</f>
        <v xml:space="preserve"> As of 4/28/00</v>
      </c>
      <c r="M9" s="28" t="s">
        <v>143</v>
      </c>
      <c r="O9" s="28" t="s">
        <v>46</v>
      </c>
    </row>
    <row r="10" spans="1:74">
      <c r="A10" s="180"/>
      <c r="C10" s="27"/>
      <c r="E10" s="180"/>
      <c r="G10" s="183"/>
      <c r="H10" s="182"/>
      <c r="I10" s="180"/>
      <c r="J10" s="182"/>
      <c r="K10" s="184"/>
      <c r="M10" s="180"/>
      <c r="O10" s="180"/>
    </row>
    <row r="11" spans="1:74">
      <c r="A11" s="185" t="s">
        <v>254</v>
      </c>
      <c r="C11" s="455">
        <v>608</v>
      </c>
      <c r="E11" s="187">
        <f ca="1">Wilton!R177/1000</f>
        <v>239675.46775000001</v>
      </c>
      <c r="F11" s="186"/>
      <c r="G11" s="188">
        <f ca="1">Wilton!BL177/1000</f>
        <v>239128.64830774479</v>
      </c>
      <c r="H11" s="182"/>
      <c r="I11" s="187">
        <f ca="1">K11-G11</f>
        <v>18124.679361492803</v>
      </c>
      <c r="J11" s="182"/>
      <c r="K11" s="189">
        <f ca="1">Wilton!BR177/1000</f>
        <v>257253.32766923759</v>
      </c>
      <c r="M11" s="187">
        <f ca="1">+E11-K11</f>
        <v>-17577.859919237584</v>
      </c>
      <c r="O11" s="190">
        <f ca="1">+G11/K11</f>
        <v>0.92954540364664773</v>
      </c>
    </row>
    <row r="12" spans="1:74">
      <c r="A12" s="191"/>
      <c r="C12" s="455"/>
      <c r="E12" s="192"/>
      <c r="F12" s="186"/>
      <c r="G12" s="193"/>
      <c r="H12" s="182"/>
      <c r="I12" s="192"/>
      <c r="J12" s="182"/>
      <c r="K12" s="194"/>
      <c r="M12" s="192"/>
      <c r="O12" s="195"/>
    </row>
    <row r="13" spans="1:74">
      <c r="A13" s="185" t="str">
        <f ca="1">Gleason!A3</f>
        <v>Gleason, TN</v>
      </c>
      <c r="C13" s="455">
        <v>509</v>
      </c>
      <c r="E13" s="187">
        <f ca="1">Gleason!R225/1000</f>
        <v>170575.01</v>
      </c>
      <c r="F13" s="186"/>
      <c r="G13" s="188">
        <f ca="1">Gleason!BN225/1000</f>
        <v>145391.16498483869</v>
      </c>
      <c r="H13" s="182"/>
      <c r="I13" s="187">
        <f ca="1">K13-G13</f>
        <v>29394.550047960802</v>
      </c>
      <c r="J13" s="182"/>
      <c r="K13" s="189">
        <f ca="1">Gleason!BT225/1000</f>
        <v>174785.71503279949</v>
      </c>
      <c r="M13" s="187">
        <f ca="1">+E13-K13</f>
        <v>-4210.7050327994803</v>
      </c>
      <c r="O13" s="190">
        <f ca="1">+G13/K13</f>
        <v>0.83182521499285711</v>
      </c>
    </row>
    <row r="14" spans="1:74">
      <c r="A14" s="191"/>
      <c r="C14" s="455"/>
      <c r="E14" s="192"/>
      <c r="F14" s="186"/>
      <c r="G14" s="193"/>
      <c r="H14" s="182"/>
      <c r="I14" s="192"/>
      <c r="J14" s="182"/>
      <c r="K14" s="194"/>
      <c r="M14" s="192"/>
      <c r="O14" s="195"/>
    </row>
    <row r="15" spans="1:74">
      <c r="A15" s="185" t="s">
        <v>194</v>
      </c>
      <c r="C15" s="455">
        <v>470</v>
      </c>
      <c r="E15" s="187">
        <f ca="1">Wheatland!R176/1000</f>
        <v>158451.2481</v>
      </c>
      <c r="F15" s="186"/>
      <c r="G15" s="188">
        <f ca="1">Wheatland!BL176/1000</f>
        <v>131885.49470717751</v>
      </c>
      <c r="H15" s="182"/>
      <c r="I15" s="187">
        <f ca="1">K15-G15</f>
        <v>28094.424869319162</v>
      </c>
      <c r="J15" s="182"/>
      <c r="K15" s="189">
        <f ca="1">Wheatland!BR176/1000</f>
        <v>159979.91957649667</v>
      </c>
      <c r="M15" s="187">
        <f ca="1">+E15-K15</f>
        <v>-1528.6714764966746</v>
      </c>
      <c r="O15" s="190">
        <f ca="1">+G15/K15</f>
        <v>0.82438780477142681</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 ca="1">SUM(E11:E15)</f>
        <v>568701.72585000005</v>
      </c>
      <c r="F17" s="202"/>
      <c r="G17" s="203">
        <f ca="1">SUM(G11:G15)</f>
        <v>516405.30799976096</v>
      </c>
      <c r="H17" s="202"/>
      <c r="I17" s="201">
        <f ca="1">SUM(I11:I15)</f>
        <v>75613.654278772767</v>
      </c>
      <c r="J17" s="182"/>
      <c r="K17" s="204">
        <f ca="1">SUM(K11:K15)</f>
        <v>592018.96227853373</v>
      </c>
      <c r="L17" s="182"/>
      <c r="M17" s="201">
        <f ca="1">SUM(M10:M15)</f>
        <v>-23317.236428533739</v>
      </c>
      <c r="N17" s="182"/>
      <c r="O17" s="205">
        <f ca="1">+G17/K17</f>
        <v>0.87227832367437252</v>
      </c>
    </row>
    <row r="18" spans="1:29" ht="13.8" thickBot="1">
      <c r="A18" s="206" t="s">
        <v>50</v>
      </c>
      <c r="B18" s="200"/>
      <c r="C18" s="206"/>
      <c r="D18" s="182"/>
      <c r="E18" s="207">
        <f ca="1">E17/C17</f>
        <v>358.35017381852555</v>
      </c>
      <c r="F18" s="202"/>
      <c r="G18" s="208"/>
      <c r="H18" s="209"/>
      <c r="I18" s="210"/>
      <c r="J18" s="211"/>
      <c r="K18" s="212">
        <f ca="1">+K17/C17</f>
        <v>373.04282437210696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4/28/00</v>
      </c>
      <c r="H22" s="182"/>
      <c r="I22" s="53" t="str">
        <f>I9</f>
        <v xml:space="preserve"> As of 4/28/00</v>
      </c>
      <c r="J22" s="182"/>
      <c r="K22" s="90" t="str">
        <f>K9</f>
        <v xml:space="preserve"> As of 4/28/00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 ca="1">+'Calvert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4/28/00</v>
      </c>
      <c r="H35" s="182"/>
      <c r="I35" s="53" t="str">
        <f>O4</f>
        <v xml:space="preserve"> As of 4/28/00</v>
      </c>
      <c r="J35" s="182"/>
      <c r="K35" s="90" t="str">
        <f>O4</f>
        <v xml:space="preserve"> As of 4/28/00</v>
      </c>
    </row>
    <row r="36" spans="1:29">
      <c r="A36" s="180"/>
      <c r="E36" s="180"/>
      <c r="G36" s="183"/>
      <c r="H36" s="182"/>
      <c r="I36" s="180"/>
      <c r="J36" s="182"/>
      <c r="K36" s="184"/>
    </row>
    <row r="37" spans="1:29">
      <c r="A37" s="185" t="s">
        <v>196</v>
      </c>
      <c r="E37" s="187"/>
      <c r="F37" s="186"/>
      <c r="G37" s="188">
        <f ca="1">Wilton!BL195/1000</f>
        <v>314.52427</v>
      </c>
      <c r="H37" s="182"/>
      <c r="I37" s="187"/>
      <c r="J37" s="182"/>
      <c r="K37" s="189">
        <f ca="1">+I37+G37</f>
        <v>314.52427</v>
      </c>
    </row>
    <row r="38" spans="1:29">
      <c r="A38" s="191"/>
      <c r="E38" s="192"/>
      <c r="F38" s="186"/>
      <c r="G38" s="193"/>
      <c r="H38" s="182"/>
      <c r="I38" s="192"/>
      <c r="J38" s="182"/>
      <c r="K38" s="194"/>
    </row>
    <row r="39" spans="1:29">
      <c r="A39" s="185" t="s">
        <v>293</v>
      </c>
      <c r="E39" s="187">
        <v>1513</v>
      </c>
      <c r="F39" s="186"/>
      <c r="G39" s="188">
        <f ca="1">'Calvert City'!BN205/1000</f>
        <v>1401.0854433333327</v>
      </c>
      <c r="H39" s="182"/>
      <c r="I39" s="187">
        <f ca="1">E39-G39</f>
        <v>111.91455666666729</v>
      </c>
      <c r="J39" s="182"/>
      <c r="K39" s="189">
        <f ca="1">+I39+G39</f>
        <v>1513</v>
      </c>
    </row>
    <row r="40" spans="1:29">
      <c r="A40" s="191"/>
      <c r="E40" s="192"/>
      <c r="F40" s="186"/>
      <c r="G40" s="193"/>
      <c r="H40" s="182"/>
      <c r="I40" s="192"/>
      <c r="J40" s="182"/>
      <c r="K40" s="194"/>
    </row>
    <row r="41" spans="1:29">
      <c r="A41" s="185" t="s">
        <v>199</v>
      </c>
      <c r="E41" s="187"/>
      <c r="F41" s="186"/>
      <c r="G41" s="188">
        <f ca="1">Wheatland!BL194/1000</f>
        <v>15.1</v>
      </c>
      <c r="H41" s="182"/>
      <c r="I41" s="187"/>
      <c r="J41" s="182"/>
      <c r="K41" s="189">
        <f ca="1">+I41+G41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 ca="1">SUM(G37:G41)</f>
        <v>1730.7097133333327</v>
      </c>
      <c r="H43" s="209"/>
      <c r="I43" s="210">
        <f ca="1">SUM(I37:I41)</f>
        <v>111.91455666666729</v>
      </c>
      <c r="J43" s="211"/>
      <c r="K43" s="212">
        <f ca="1">SUM(K37:K41)</f>
        <v>1842.6242699999998</v>
      </c>
      <c r="L43" s="182"/>
    </row>
    <row r="44" spans="1:29" ht="13.8" thickBot="1"/>
    <row r="45" spans="1:29" ht="13.8"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 ca="1">Wilton!BT160/1000</f>
        <v>-207.06</v>
      </c>
      <c r="E57" s="217" t="s">
        <v>279</v>
      </c>
      <c r="F57" s="217"/>
      <c r="G57" s="217"/>
      <c r="H57" s="217"/>
      <c r="I57" s="217"/>
      <c r="J57" s="217"/>
    </row>
    <row r="58" spans="1:15">
      <c r="A58" s="182"/>
      <c r="C58" s="226">
        <f ca="1">Wilton!BT88/1000-C73</f>
        <v>-10133.993999999999</v>
      </c>
      <c r="E58" s="175" t="s">
        <v>415</v>
      </c>
    </row>
    <row r="59" spans="1:15">
      <c r="A59" s="182"/>
      <c r="C59" s="226">
        <f ca="1">Wilton!BT12/1000</f>
        <v>-2024.0004399999975</v>
      </c>
      <c r="E59" s="175" t="s">
        <v>322</v>
      </c>
    </row>
    <row r="60" spans="1:15">
      <c r="A60" s="182"/>
      <c r="C60" s="226">
        <f ca="1">Wilton!BT15/1000</f>
        <v>-464.69799999999998</v>
      </c>
      <c r="E60" s="175" t="s">
        <v>325</v>
      </c>
    </row>
    <row r="61" spans="1:15">
      <c r="A61" s="182"/>
      <c r="C61" s="226">
        <f ca="1">Wilton!BT142/1000</f>
        <v>-7400</v>
      </c>
      <c r="E61" s="175" t="s">
        <v>323</v>
      </c>
    </row>
    <row r="62" spans="1:15">
      <c r="A62" s="182"/>
      <c r="C62" s="226">
        <f ca="1">(Wilton!BT131+Wilton!BT98+Wilton!BT107)/1000</f>
        <v>-198.09028000000026</v>
      </c>
      <c r="E62" s="175" t="s">
        <v>443</v>
      </c>
    </row>
    <row r="63" spans="1:15">
      <c r="A63" s="182"/>
      <c r="C63" s="226">
        <f ca="1">Wilton!BT140/1000</f>
        <v>-200</v>
      </c>
      <c r="E63" s="175" t="s">
        <v>513</v>
      </c>
    </row>
    <row r="64" spans="1:15">
      <c r="A64" s="182"/>
      <c r="C64" s="226">
        <f ca="1">Wilton!BT170/1000</f>
        <v>157.67806076242215</v>
      </c>
      <c r="E64" s="175" t="s">
        <v>512</v>
      </c>
    </row>
    <row r="65" spans="1:12">
      <c r="A65" s="182"/>
      <c r="C65" s="226">
        <f ca="1">(Wilton!BT161-Wilton!BT160-Wilton!BT159)/1000</f>
        <v>-514.44168000000002</v>
      </c>
      <c r="E65" s="175" t="s">
        <v>527</v>
      </c>
    </row>
    <row r="66" spans="1:12">
      <c r="A66" s="182"/>
      <c r="C66" s="226">
        <f ca="1">-Wilton!BR159/1000</f>
        <v>-191.01289000000003</v>
      </c>
      <c r="E66" s="175" t="s">
        <v>440</v>
      </c>
    </row>
    <row r="67" spans="1:12">
      <c r="A67" s="182"/>
      <c r="C67" s="226">
        <f ca="1">Wilton!BT168/1000</f>
        <v>-301.67212999999998</v>
      </c>
      <c r="E67" s="175" t="s">
        <v>449</v>
      </c>
    </row>
    <row r="68" spans="1:12">
      <c r="A68" s="182"/>
      <c r="C68" s="313">
        <v>4408.0720000000001</v>
      </c>
      <c r="E68" s="182" t="s">
        <v>324</v>
      </c>
      <c r="F68" s="182"/>
      <c r="G68" s="182"/>
      <c r="H68" s="182"/>
      <c r="I68" s="182"/>
    </row>
    <row r="69" spans="1:12">
      <c r="A69" s="182"/>
      <c r="C69" s="313">
        <f ca="1">Wilton!BT150/1000</f>
        <v>-121.24850000000001</v>
      </c>
      <c r="E69" s="182" t="s">
        <v>437</v>
      </c>
      <c r="F69" s="182"/>
      <c r="G69" s="182"/>
      <c r="H69" s="182"/>
      <c r="I69" s="182"/>
    </row>
    <row r="70" spans="1:12">
      <c r="A70" s="182"/>
      <c r="C70" s="245">
        <f ca="1">Wilton!BT120/1000</f>
        <v>-387.39181000000008</v>
      </c>
      <c r="D70" s="246"/>
      <c r="E70" s="246" t="s">
        <v>442</v>
      </c>
      <c r="F70" s="246"/>
      <c r="G70" s="246"/>
      <c r="H70" s="246"/>
      <c r="I70" s="246"/>
      <c r="J70" s="246"/>
      <c r="K70" s="246"/>
    </row>
    <row r="71" spans="1:12">
      <c r="A71" s="182"/>
      <c r="C71" s="479">
        <f ca="1">SUM(C57:C70)</f>
        <v>-17577.85966923758</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564</v>
      </c>
      <c r="L73" s="182"/>
    </row>
    <row r="74" spans="1:12" ht="13.8" thickBot="1">
      <c r="A74" s="182"/>
      <c r="C74" s="319">
        <f ca="1">SUM(C71:C73)</f>
        <v>-31577.85966923758</v>
      </c>
      <c r="D74" s="314"/>
      <c r="E74" s="315" t="s">
        <v>417</v>
      </c>
      <c r="F74" s="314"/>
      <c r="G74" s="316"/>
      <c r="H74" s="317"/>
      <c r="I74" s="318"/>
      <c r="J74" s="314"/>
      <c r="K74" s="314"/>
      <c r="L74" s="182"/>
    </row>
    <row r="75" spans="1:12" ht="13.8" thickTop="1">
      <c r="A75" s="182"/>
      <c r="C75" s="453"/>
    </row>
    <row r="76" spans="1:12">
      <c r="A76" s="182"/>
      <c r="C76" s="226"/>
    </row>
    <row r="77" spans="1:12">
      <c r="A77" s="225" t="s">
        <v>294</v>
      </c>
      <c r="C77" s="226">
        <f ca="1">Gleason!BV202/1000</f>
        <v>-32.203279999999999</v>
      </c>
      <c r="E77" s="217" t="s">
        <v>279</v>
      </c>
      <c r="F77" s="217"/>
      <c r="G77" s="217"/>
      <c r="H77" s="217"/>
      <c r="I77" s="217"/>
    </row>
    <row r="78" spans="1:12">
      <c r="A78" s="225"/>
      <c r="C78" s="313">
        <f ca="1">Gleason!BV97/1000</f>
        <v>-4967.5065599999989</v>
      </c>
      <c r="D78" s="182"/>
      <c r="E78" s="175" t="s">
        <v>415</v>
      </c>
      <c r="F78" s="215"/>
      <c r="G78" s="215"/>
      <c r="H78" s="215"/>
      <c r="I78" s="215"/>
      <c r="J78" s="182"/>
      <c r="K78" s="182"/>
    </row>
    <row r="79" spans="1:12">
      <c r="A79" s="225"/>
      <c r="C79" s="313">
        <f ca="1">Gleason!BV16/1000</f>
        <v>-1981.0440000000001</v>
      </c>
      <c r="E79" s="175" t="s">
        <v>322</v>
      </c>
      <c r="F79" s="215"/>
      <c r="G79" s="215"/>
      <c r="H79" s="215"/>
      <c r="I79" s="215"/>
      <c r="J79" s="182"/>
      <c r="K79" s="182"/>
    </row>
    <row r="80" spans="1:12">
      <c r="A80" s="225"/>
      <c r="C80" s="313">
        <f ca="1">Gleason!BV35/1000</f>
        <v>-521.15</v>
      </c>
      <c r="E80" s="175" t="s">
        <v>482</v>
      </c>
      <c r="F80" s="215"/>
      <c r="G80" s="215"/>
      <c r="H80" s="215"/>
      <c r="I80" s="215"/>
      <c r="J80" s="182"/>
      <c r="K80" s="182"/>
    </row>
    <row r="81" spans="1:15">
      <c r="A81" s="225"/>
      <c r="C81" s="313">
        <f ca="1">Gleason!BV182/1000</f>
        <v>-1713.8008400000001</v>
      </c>
      <c r="E81" s="175" t="s">
        <v>445</v>
      </c>
      <c r="F81" s="215"/>
      <c r="G81" s="215"/>
      <c r="H81" s="215"/>
      <c r="I81" s="215"/>
      <c r="J81" s="182"/>
      <c r="K81" s="182"/>
    </row>
    <row r="82" spans="1:15">
      <c r="A82" s="225"/>
      <c r="C82" s="313">
        <f ca="1">Gleason!BV201/1000</f>
        <v>-191.01290000000003</v>
      </c>
      <c r="E82" s="175" t="s">
        <v>440</v>
      </c>
      <c r="F82" s="215"/>
      <c r="G82" s="215"/>
      <c r="H82" s="215"/>
      <c r="I82" s="215"/>
      <c r="J82" s="182"/>
      <c r="K82" s="182"/>
    </row>
    <row r="83" spans="1:15">
      <c r="A83" s="225"/>
      <c r="C83" s="313">
        <f ca="1">Gleason!BV211/1000</f>
        <v>278.75127720051631</v>
      </c>
      <c r="E83" s="175" t="s">
        <v>512</v>
      </c>
      <c r="F83" s="215"/>
      <c r="G83" s="215"/>
      <c r="H83" s="215"/>
      <c r="I83" s="215"/>
      <c r="J83" s="182"/>
      <c r="K83" s="182"/>
    </row>
    <row r="84" spans="1:15">
      <c r="A84" s="225"/>
      <c r="C84" s="313">
        <f ca="1">Gleason!BV209/1000</f>
        <v>-252.20846000000003</v>
      </c>
      <c r="E84" s="175" t="s">
        <v>450</v>
      </c>
      <c r="F84" s="215"/>
      <c r="G84" s="215"/>
      <c r="H84" s="215"/>
      <c r="I84" s="215"/>
      <c r="J84" s="182"/>
      <c r="K84" s="182"/>
    </row>
    <row r="85" spans="1:15">
      <c r="A85" s="225"/>
      <c r="C85" s="313">
        <f ca="1">Gleason!BV149/1000</f>
        <v>-39.51</v>
      </c>
      <c r="E85" s="175" t="s">
        <v>483</v>
      </c>
      <c r="F85" s="215"/>
      <c r="G85" s="215"/>
      <c r="H85" s="215"/>
      <c r="I85" s="215"/>
      <c r="J85" s="182"/>
      <c r="K85" s="182"/>
    </row>
    <row r="86" spans="1:15">
      <c r="A86" s="225"/>
      <c r="C86" s="313">
        <f ca="1">Gleason!BV159/1000</f>
        <v>-191.82932000000005</v>
      </c>
      <c r="E86" s="175" t="s">
        <v>484</v>
      </c>
      <c r="F86" s="215"/>
      <c r="G86" s="215"/>
      <c r="H86" s="215"/>
      <c r="I86" s="215"/>
      <c r="J86" s="182"/>
      <c r="K86" s="182"/>
    </row>
    <row r="87" spans="1:15">
      <c r="A87" s="225"/>
      <c r="C87" s="313">
        <f ca="1">Gleason!BV200/1000</f>
        <v>-273.88869999999997</v>
      </c>
      <c r="E87" s="175" t="s">
        <v>527</v>
      </c>
      <c r="F87" s="215"/>
      <c r="G87" s="215"/>
      <c r="H87" s="215"/>
      <c r="I87" s="215"/>
      <c r="J87" s="182"/>
      <c r="K87" s="182"/>
    </row>
    <row r="88" spans="1:15">
      <c r="A88" s="225"/>
      <c r="C88" s="313">
        <f ca="1">Gleason!BV215/1000</f>
        <v>5423.4979999999996</v>
      </c>
      <c r="D88" s="182"/>
      <c r="E88" s="182" t="s">
        <v>324</v>
      </c>
      <c r="F88" s="215"/>
      <c r="G88" s="215"/>
      <c r="H88" s="215"/>
      <c r="I88" s="215"/>
      <c r="J88" s="182"/>
      <c r="K88" s="182"/>
    </row>
    <row r="89" spans="1:15" s="30" customFormat="1">
      <c r="A89" s="225"/>
      <c r="B89" s="182"/>
      <c r="C89" s="245">
        <f ca="1">Gleason!BV105/1000+1</f>
        <v>251</v>
      </c>
      <c r="D89" s="246"/>
      <c r="E89" s="366" t="s">
        <v>446</v>
      </c>
      <c r="F89" s="312"/>
      <c r="G89" s="312"/>
      <c r="H89" s="312"/>
      <c r="I89" s="312"/>
      <c r="J89" s="246"/>
      <c r="K89" s="246"/>
      <c r="L89" s="182"/>
      <c r="M89" s="182"/>
      <c r="N89" s="182"/>
      <c r="O89" s="182"/>
    </row>
    <row r="90" spans="1:15">
      <c r="A90" s="225"/>
      <c r="C90" s="452">
        <f ca="1">SUM(C77:C89)</f>
        <v>-4210.9047827994837</v>
      </c>
      <c r="D90" s="182"/>
      <c r="E90" s="320" t="s">
        <v>414</v>
      </c>
      <c r="F90" s="215"/>
      <c r="G90" s="215"/>
      <c r="H90" s="215"/>
      <c r="I90" s="215"/>
      <c r="J90" s="182"/>
      <c r="K90" s="182"/>
    </row>
    <row r="91" spans="1:15">
      <c r="A91" s="182"/>
      <c r="C91" s="226"/>
      <c r="E91" s="217"/>
      <c r="F91" s="217"/>
      <c r="G91" s="217"/>
      <c r="H91" s="217"/>
      <c r="I91" s="217"/>
    </row>
    <row r="92" spans="1:15">
      <c r="A92" s="182"/>
      <c r="C92" s="226">
        <f ca="1">Gleason!BT93/1000</f>
        <v>-3387.761</v>
      </c>
      <c r="E92" s="175" t="s">
        <v>528</v>
      </c>
    </row>
    <row r="93" spans="1:15" ht="13.8" thickBot="1">
      <c r="A93" s="182"/>
      <c r="C93" s="319">
        <f ca="1">SUM(C90:C92)</f>
        <v>-7598.6657827994841</v>
      </c>
      <c r="D93" s="314"/>
      <c r="E93" s="315" t="s">
        <v>417</v>
      </c>
      <c r="F93" s="314"/>
      <c r="G93" s="316"/>
      <c r="H93" s="317"/>
      <c r="I93" s="318"/>
      <c r="J93" s="314"/>
      <c r="K93" s="314"/>
    </row>
    <row r="94" spans="1:15" ht="13.8" thickTop="1">
      <c r="A94" s="182"/>
      <c r="C94" s="226"/>
      <c r="E94" s="217"/>
      <c r="F94" s="217"/>
      <c r="G94" s="217"/>
      <c r="H94" s="217"/>
      <c r="I94" s="217"/>
    </row>
    <row r="95" spans="1:15">
      <c r="A95" s="225" t="s">
        <v>194</v>
      </c>
      <c r="C95" s="226">
        <f ca="1">Wheatland!BT159/1000</f>
        <v>-168.35607999999999</v>
      </c>
      <c r="E95" s="217" t="s">
        <v>279</v>
      </c>
    </row>
    <row r="96" spans="1:15">
      <c r="C96" s="226">
        <f ca="1">Wheatland!BT91/1000</f>
        <v>-2735.05</v>
      </c>
      <c r="E96" s="175" t="s">
        <v>416</v>
      </c>
    </row>
    <row r="97" spans="1:15">
      <c r="A97" s="229"/>
      <c r="B97" s="230"/>
      <c r="C97" s="226">
        <f ca="1">Wheatland!BT12/1000</f>
        <v>-297.80099999999999</v>
      </c>
      <c r="D97" s="230"/>
      <c r="E97" s="175" t="s">
        <v>322</v>
      </c>
      <c r="F97" s="230"/>
      <c r="G97" s="230"/>
      <c r="H97" s="230"/>
      <c r="I97" s="230"/>
      <c r="J97" s="230"/>
      <c r="K97" s="230"/>
      <c r="L97" s="230"/>
      <c r="M97" s="230"/>
      <c r="N97" s="230"/>
    </row>
    <row r="98" spans="1:15">
      <c r="C98" s="226">
        <f ca="1">Wheatland!BT32/1000</f>
        <v>-293.98</v>
      </c>
      <c r="E98" s="175" t="s">
        <v>325</v>
      </c>
    </row>
    <row r="99" spans="1:15">
      <c r="C99" s="226">
        <f ca="1">Wheatland!BT130/1000</f>
        <v>-1137.10257</v>
      </c>
      <c r="E99" s="175" t="s">
        <v>403</v>
      </c>
    </row>
    <row r="100" spans="1:15">
      <c r="C100" s="226">
        <f ca="1">Wheatland!BT157/1000</f>
        <v>-70.750029999999967</v>
      </c>
      <c r="E100" s="175" t="s">
        <v>527</v>
      </c>
    </row>
    <row r="101" spans="1:15">
      <c r="C101" s="226">
        <f ca="1">Wheatland!BT158/1000</f>
        <v>-195.04080999999999</v>
      </c>
      <c r="E101" s="175" t="s">
        <v>451</v>
      </c>
    </row>
    <row r="102" spans="1:15">
      <c r="C102" s="226">
        <f ca="1">Wheatland!BT167/1000</f>
        <v>-301.67212999999998</v>
      </c>
      <c r="E102" s="175" t="s">
        <v>450</v>
      </c>
    </row>
    <row r="103" spans="1:15">
      <c r="C103" s="226">
        <f ca="1">Wheatland!BT169/1000</f>
        <v>346.92914350331949</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 ca="1">SUM(C95:C104)</f>
        <v>-1528.6713764966817</v>
      </c>
      <c r="D105" s="182"/>
      <c r="E105" s="424" t="s">
        <v>417</v>
      </c>
      <c r="F105" s="182"/>
      <c r="G105" s="182"/>
      <c r="H105" s="182"/>
      <c r="I105" s="182"/>
      <c r="J105" s="182"/>
      <c r="K105" s="182"/>
    </row>
    <row r="107" spans="1:15">
      <c r="C107" s="226">
        <f ca="1">Wheatland!BR87/1000</f>
        <v>-3953.393</v>
      </c>
      <c r="E107" s="175" t="s">
        <v>528</v>
      </c>
    </row>
    <row r="108" spans="1:15" ht="13.8" thickBot="1">
      <c r="A108"/>
      <c r="B108"/>
      <c r="C108" s="319">
        <f ca="1">C105+C107</f>
        <v>-5482.0643764966817</v>
      </c>
      <c r="D108" s="314"/>
      <c r="E108" s="315" t="s">
        <v>417</v>
      </c>
      <c r="F108" s="314"/>
      <c r="G108" s="316"/>
      <c r="H108" s="317"/>
      <c r="I108" s="318"/>
      <c r="J108" s="314"/>
      <c r="K108" s="314"/>
      <c r="L108"/>
      <c r="M108"/>
      <c r="N108"/>
      <c r="O108"/>
    </row>
    <row r="109" spans="1:15" ht="13.8" thickTop="1">
      <c r="A109"/>
      <c r="B109"/>
      <c r="C109"/>
      <c r="D109"/>
      <c r="E109"/>
      <c r="F109"/>
      <c r="G109"/>
      <c r="H109"/>
      <c r="I109"/>
      <c r="J109"/>
      <c r="K109"/>
      <c r="L109"/>
      <c r="M109"/>
      <c r="N109"/>
      <c r="O109"/>
    </row>
    <row r="110" spans="1:15">
      <c r="B110" s="26"/>
      <c r="C110" s="177"/>
    </row>
    <row r="111" spans="1:15">
      <c r="A111" s="218" t="str">
        <f ca="1">CELL("FILENAME")</f>
        <v>O:\Fin_Ops\Engysvc\PowerPlants\2000 Plants\Weekly Report\[2000 Weekly Report - 050300.xls]Wilton</v>
      </c>
      <c r="B111" s="177"/>
      <c r="C111"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BP77" activePane="bottomRight" state="frozen"/>
      <selection activeCell="K27" sqref="K27"/>
      <selection pane="topRight" activeCell="K27" sqref="K27"/>
      <selection pane="bottomLeft" activeCell="K27" sqref="K27"/>
      <selection pane="bottomRight" activeCell="BP87" sqref="BP8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0.1093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33203125"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- 050300.xls]Wilton</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36651.54237210648</v>
      </c>
      <c r="BR3" s="23"/>
      <c r="BT3" s="78" t="str">
        <f ca="1">Summary!A5</f>
        <v>Revision # 56</v>
      </c>
      <c r="BV3" s="18" t="str">
        <f ca="1">Summary!A5</f>
        <v>Revision # 56</v>
      </c>
    </row>
    <row r="4" spans="1:74" s="18" customFormat="1" ht="15.6">
      <c r="A4" s="94"/>
      <c r="B4" s="19">
        <f ca="1">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c r="AJ7" s="82" t="str">
        <f ca="1">+Summary!$O$4</f>
        <v xml:space="preserve"> As of 4/28/00</v>
      </c>
      <c r="AK7"/>
      <c r="AL7" s="82" t="str">
        <f ca="1">+Summary!$O$4</f>
        <v xml:space="preserve"> As of 4/28/00</v>
      </c>
      <c r="AM7"/>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82"/>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L7" s="71" t="str">
        <f ca="1">+Summary!$O$4</f>
        <v xml:space="preserve"> As of 4/28/00</v>
      </c>
      <c r="BN7" s="64" t="str">
        <f ca="1">+Summary!$O$4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0</v>
      </c>
      <c r="BD92" s="6">
        <v>0</v>
      </c>
      <c r="BF92" s="6">
        <v>0</v>
      </c>
      <c r="BH92" s="6">
        <v>0</v>
      </c>
      <c r="BJ92" s="6">
        <v>0</v>
      </c>
      <c r="BK92" s="6"/>
      <c r="BL92" s="6">
        <f t="shared" si="22"/>
        <v>2353994</v>
      </c>
      <c r="BM92" s="6"/>
      <c r="BN92" s="6">
        <v>0</v>
      </c>
      <c r="BO92" s="6"/>
      <c r="BP92" s="6">
        <f t="shared" si="23"/>
        <v>470806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0</v>
      </c>
      <c r="BC98" s="117"/>
      <c r="BD98" s="116">
        <f>SUM(BD91:BD97)</f>
        <v>0</v>
      </c>
      <c r="BE98" s="117"/>
      <c r="BF98" s="116">
        <f>SUM(BF91:BF97)</f>
        <v>0</v>
      </c>
      <c r="BG98" s="117"/>
      <c r="BH98" s="116">
        <f>SUM(BH91:BH97)</f>
        <v>0</v>
      </c>
      <c r="BI98" s="117"/>
      <c r="BJ98" s="116">
        <f>SUM(BJ91:BJ97)</f>
        <v>0</v>
      </c>
      <c r="BK98" s="115"/>
      <c r="BL98" s="116">
        <f>SUM(BL91:BL97)</f>
        <v>3138326.6733333333</v>
      </c>
      <c r="BM98" s="115"/>
      <c r="BN98" s="116">
        <f>SUM(BN91:BN97)</f>
        <v>5000</v>
      </c>
      <c r="BO98" s="115"/>
      <c r="BP98" s="116">
        <f>SUM(BP91:BP97)</f>
        <v>626673.32666666678</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0</v>
      </c>
      <c r="BD113" s="6">
        <v>0</v>
      </c>
      <c r="BF113" s="6">
        <v>0</v>
      </c>
      <c r="BH113" s="6">
        <v>0</v>
      </c>
      <c r="BJ113" s="6">
        <v>0</v>
      </c>
      <c r="BK113" s="6"/>
      <c r="BL113" s="6">
        <f>SUM(T113:BK113)</f>
        <v>111000</v>
      </c>
      <c r="BM113" s="6"/>
      <c r="BN113" s="6">
        <v>0</v>
      </c>
      <c r="BO113" s="6"/>
      <c r="BP113" s="6">
        <f>IF(+R113-BL113+BN113&gt;0,R113-BL113+BN113,0)</f>
        <v>74000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0</v>
      </c>
      <c r="BD114" s="6">
        <v>0</v>
      </c>
      <c r="BF114" s="6">
        <v>0</v>
      </c>
      <c r="BH114" s="6">
        <v>0</v>
      </c>
      <c r="BJ114" s="6">
        <v>0</v>
      </c>
      <c r="BK114" s="6"/>
      <c r="BL114" s="6">
        <f>SUM(T114:BK114)</f>
        <v>219363.83000000002</v>
      </c>
      <c r="BM114" s="6"/>
      <c r="BN114" s="6">
        <v>0</v>
      </c>
      <c r="BO114" s="6"/>
      <c r="BP114" s="6">
        <f>+R114-BL114+BN114</f>
        <v>504422.17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330363.83</v>
      </c>
      <c r="BM116" s="9"/>
      <c r="BN116" s="102">
        <f>SUM(BN113:BN115)</f>
        <v>0</v>
      </c>
      <c r="BO116" s="9"/>
      <c r="BP116" s="102">
        <f>SUM(BP113:BP115)</f>
        <v>578422.16999999993</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0</v>
      </c>
      <c r="BD136" s="6">
        <v>0</v>
      </c>
      <c r="BF136" s="6">
        <v>0</v>
      </c>
      <c r="BH136" s="6">
        <v>0</v>
      </c>
      <c r="BJ136" s="6">
        <v>0</v>
      </c>
      <c r="BK136" s="6"/>
      <c r="BL136" s="22">
        <f>SUM(T136:BK136)</f>
        <v>281647.5</v>
      </c>
      <c r="BM136" s="6"/>
      <c r="BN136" s="6">
        <v>0</v>
      </c>
      <c r="BO136" s="6"/>
      <c r="BP136" s="6">
        <f>IF(+R136-BL136+BN136&gt;0,R136-BL136+BN136,0)</f>
        <v>118352.5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281647.5</v>
      </c>
      <c r="BM138" s="9"/>
      <c r="BN138" s="102">
        <f>SUM(BN134:BN137)</f>
        <v>0</v>
      </c>
      <c r="BO138" s="9"/>
      <c r="BP138" s="102">
        <f>SUM(BP134:BP137)</f>
        <v>118352.5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0</v>
      </c>
      <c r="BC156" s="12"/>
      <c r="BD156" s="12">
        <v>0</v>
      </c>
      <c r="BE156" s="12"/>
      <c r="BF156" s="12">
        <v>0</v>
      </c>
      <c r="BG156" s="12"/>
      <c r="BH156" s="12">
        <v>0</v>
      </c>
      <c r="BI156" s="12"/>
      <c r="BJ156" s="12">
        <v>0</v>
      </c>
      <c r="BK156" s="12"/>
      <c r="BL156" s="80">
        <f t="shared" si="27"/>
        <v>77069.680000000008</v>
      </c>
      <c r="BM156" s="12"/>
      <c r="BN156" s="12">
        <v>6683</v>
      </c>
      <c r="BO156" s="12"/>
      <c r="BP156" s="6">
        <f t="shared" si="28"/>
        <v>0</v>
      </c>
      <c r="BQ156" s="12"/>
      <c r="BR156" s="6">
        <f t="shared" si="29"/>
        <v>77069.680000000008</v>
      </c>
      <c r="BS156" s="12"/>
      <c r="BT156" s="6">
        <f t="shared" si="30"/>
        <v>-32069.680000000008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1107977.8799999999</v>
      </c>
      <c r="BM161" s="102">
        <f t="shared" ref="BM161:BT161" si="33">SUM(BM155:BM160)</f>
        <v>0</v>
      </c>
      <c r="BN161" s="102">
        <f t="shared" si="33"/>
        <v>402684</v>
      </c>
      <c r="BO161" s="102">
        <f t="shared" si="33"/>
        <v>0</v>
      </c>
      <c r="BP161" s="102">
        <f t="shared" si="33"/>
        <v>19129.690000000002</v>
      </c>
      <c r="BQ161" s="102">
        <f t="shared" si="33"/>
        <v>0</v>
      </c>
      <c r="BR161" s="102">
        <f t="shared" si="33"/>
        <v>1127107.5699999998</v>
      </c>
      <c r="BS161" s="102">
        <f t="shared" si="33"/>
        <v>0</v>
      </c>
      <c r="BT161" s="102">
        <f t="shared" si="33"/>
        <v>-912514.57000000007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 ca="1">[2]Wilton!$K$39</f>
        <v>463711.37538870639</v>
      </c>
      <c r="AK170"/>
      <c r="AL170" s="10">
        <f ca="1">[2]Wilton!$L$39</f>
        <v>505639.68570277008</v>
      </c>
      <c r="AM170"/>
      <c r="AN170" s="10">
        <v>568176</v>
      </c>
      <c r="AO170" s="10"/>
      <c r="AP170" s="10">
        <f ca="1">[2]Wilton!$N$39</f>
        <v>663422.29387704656</v>
      </c>
      <c r="AQ170" s="10"/>
      <c r="AR170" s="10">
        <f ca="1">[2]Wilton!$O$39</f>
        <v>873819.32529526937</v>
      </c>
      <c r="AS170" s="10"/>
      <c r="AT170" s="10">
        <f ca="1">[2]Wilton!$P$39</f>
        <v>891069.81590450753</v>
      </c>
      <c r="AU170" s="10"/>
      <c r="AV170" s="10">
        <f ca="1">[2]Wilton!$Q$39</f>
        <v>1048965.8687712126</v>
      </c>
      <c r="AW170" s="10"/>
      <c r="AX170" s="10">
        <f ca="1">[2]Wilton!$R$39</f>
        <v>1175441.8444909456</v>
      </c>
      <c r="AY170" s="10"/>
      <c r="AZ170" s="10">
        <v>0</v>
      </c>
      <c r="BA170" s="10"/>
      <c r="BB170" s="10">
        <v>0</v>
      </c>
      <c r="BC170" s="10"/>
      <c r="BD170" s="10">
        <v>0</v>
      </c>
      <c r="BE170" s="10"/>
      <c r="BF170" s="10">
        <v>0</v>
      </c>
      <c r="BG170" s="10"/>
      <c r="BH170" s="10">
        <v>0</v>
      </c>
      <c r="BI170" s="10"/>
      <c r="BJ170" s="10">
        <v>0</v>
      </c>
      <c r="BK170" s="10"/>
      <c r="BL170" s="10">
        <f ca="1">SUM(T170:BK170)</f>
        <v>8398975.044411473</v>
      </c>
      <c r="BM170" s="10"/>
      <c r="BN170" s="10">
        <v>0</v>
      </c>
      <c r="BO170" s="10"/>
      <c r="BP170" s="6">
        <f ca="1">IF(+R170-BL170+BN170&gt;0,R170-BL170+BN170,0)-R170+[2]Wilton!$Y$39</f>
        <v>4251470.8948261049</v>
      </c>
      <c r="BQ170" s="10"/>
      <c r="BR170" s="9">
        <f ca="1">+BL170+BP170</f>
        <v>12650445.939237578</v>
      </c>
      <c r="BS170" s="10"/>
      <c r="BT170" s="9">
        <f ca="1">+R170-BR170</f>
        <v>157678.06076242216</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ca="1" si="34"/>
        <v>515549.77538870636</v>
      </c>
      <c r="AK172" s="120">
        <f t="shared" si="34"/>
        <v>0</v>
      </c>
      <c r="AL172" s="120">
        <f t="shared" ca="1" si="34"/>
        <v>551052.15570277011</v>
      </c>
      <c r="AM172" s="120">
        <f t="shared" si="34"/>
        <v>0</v>
      </c>
      <c r="AN172" s="120">
        <f t="shared" si="34"/>
        <v>693677.65</v>
      </c>
      <c r="AO172" s="120">
        <f t="shared" si="34"/>
        <v>0</v>
      </c>
      <c r="AP172" s="120">
        <f t="shared" ca="1" si="34"/>
        <v>997479.58387704659</v>
      </c>
      <c r="AQ172" s="120">
        <f t="shared" si="34"/>
        <v>0</v>
      </c>
      <c r="AR172" s="120">
        <f t="shared" ca="1" si="34"/>
        <v>1810970.3252952693</v>
      </c>
      <c r="AS172" s="120">
        <f t="shared" si="34"/>
        <v>0</v>
      </c>
      <c r="AT172" s="120">
        <f t="shared" ca="1" si="34"/>
        <v>1294710.1259045072</v>
      </c>
      <c r="AU172" s="120">
        <f t="shared" si="34"/>
        <v>0</v>
      </c>
      <c r="AV172" s="120">
        <f t="shared" ca="1" si="34"/>
        <v>1582025.6787712125</v>
      </c>
      <c r="AW172" s="120">
        <f t="shared" si="34"/>
        <v>0</v>
      </c>
      <c r="AX172" s="120">
        <f t="shared" ca="1" si="34"/>
        <v>1568800.3344909456</v>
      </c>
      <c r="AY172" s="120">
        <f t="shared" ref="AY172:BT172" si="35">AY170+AY161+AY152+AY150+AY148+AY142+AY138+AY131+AY124+AY122+AY120+AY118+AY116+AY168+AY140</f>
        <v>0</v>
      </c>
      <c r="AZ172" s="120">
        <f t="shared" si="35"/>
        <v>271975.53000000003</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ca="1" si="35"/>
        <v>14450926.994411474</v>
      </c>
      <c r="BM172" s="120">
        <f t="shared" si="35"/>
        <v>0</v>
      </c>
      <c r="BN172" s="120">
        <f t="shared" si="35"/>
        <v>8028502</v>
      </c>
      <c r="BO172" s="120">
        <f t="shared" si="35"/>
        <v>0</v>
      </c>
      <c r="BP172" s="120">
        <f t="shared" ca="1" si="35"/>
        <v>19879007.234826103</v>
      </c>
      <c r="BQ172" s="120">
        <f t="shared" si="35"/>
        <v>0</v>
      </c>
      <c r="BR172" s="120">
        <f t="shared" ca="1" si="35"/>
        <v>34329934.229237579</v>
      </c>
      <c r="BS172" s="120">
        <f t="shared" si="35"/>
        <v>0</v>
      </c>
      <c r="BT172" s="120">
        <f t="shared" ca="1" si="35"/>
        <v>-9357799.2292375788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 ca="1">AJ33+AJ98+AJ88+AJ107+AJ172+AJ174</f>
        <v>6989210.1253887061</v>
      </c>
      <c r="AK177"/>
      <c r="AL177" s="168">
        <f ca="1">AL33+AL98+AL88+AL107+AL172+AL174</f>
        <v>7789231.1557027698</v>
      </c>
      <c r="AM177"/>
      <c r="AN177" s="168">
        <f t="shared" ref="AN177:BT177" si="37">AN33+AN98+AN88+AN107+AN172+AN174</f>
        <v>11600775.180000002</v>
      </c>
      <c r="AO177" s="168">
        <f t="shared" si="37"/>
        <v>0</v>
      </c>
      <c r="AP177" s="168">
        <f t="shared" ca="1" si="37"/>
        <v>17679120.913877048</v>
      </c>
      <c r="AQ177" s="168">
        <f t="shared" si="37"/>
        <v>0</v>
      </c>
      <c r="AR177" s="168">
        <f t="shared" ca="1" si="37"/>
        <v>39304333.695295267</v>
      </c>
      <c r="AS177" s="168">
        <f t="shared" si="37"/>
        <v>0</v>
      </c>
      <c r="AT177" s="168">
        <f t="shared" ca="1" si="37"/>
        <v>2943898.2559045074</v>
      </c>
      <c r="AU177" s="168">
        <f t="shared" si="37"/>
        <v>0</v>
      </c>
      <c r="AV177" s="168">
        <f t="shared" ca="1" si="37"/>
        <v>29327061.258771211</v>
      </c>
      <c r="AW177" s="168">
        <f t="shared" si="37"/>
        <v>0</v>
      </c>
      <c r="AX177" s="168">
        <f t="shared" ca="1" si="37"/>
        <v>23456763.284490943</v>
      </c>
      <c r="AY177" s="168">
        <f t="shared" si="37"/>
        <v>0</v>
      </c>
      <c r="AZ177" s="168">
        <f t="shared" si="37"/>
        <v>20522879.530000001</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ca="1" si="37"/>
        <v>239128648.3077448</v>
      </c>
      <c r="BM177" s="168">
        <f t="shared" si="37"/>
        <v>2030320</v>
      </c>
      <c r="BN177" s="168">
        <f t="shared" si="37"/>
        <v>29809740</v>
      </c>
      <c r="BO177" s="168">
        <f t="shared" si="37"/>
        <v>2030320</v>
      </c>
      <c r="BP177" s="168">
        <f t="shared" ca="1" si="37"/>
        <v>33309308.361492768</v>
      </c>
      <c r="BQ177" s="168">
        <f t="shared" si="37"/>
        <v>2030320</v>
      </c>
      <c r="BR177" s="168">
        <f t="shared" ca="1" si="37"/>
        <v>257253327.66923758</v>
      </c>
      <c r="BS177" s="168">
        <f t="shared" si="37"/>
        <v>2030320</v>
      </c>
      <c r="BT177" s="168">
        <f t="shared" ca="1" si="37"/>
        <v>-31577859.919237576</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 ca="1">BR177/B4</f>
        <v>423114.02577177231</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 ca="1">AJ177+AJ180+AJ182+AJ184</f>
        <v>6988530.1253887061</v>
      </c>
      <c r="AK186"/>
      <c r="AL186" s="10">
        <f t="shared" ca="1" si="38"/>
        <v>7789238.1557027698</v>
      </c>
      <c r="AM186"/>
      <c r="AN186" s="10">
        <f t="shared" si="38"/>
        <v>11652992.180000002</v>
      </c>
      <c r="AO186" s="10">
        <f t="shared" si="38"/>
        <v>0</v>
      </c>
      <c r="AP186" s="10">
        <f t="shared" ca="1" si="38"/>
        <v>17627423.913877048</v>
      </c>
      <c r="AQ186" s="10">
        <f t="shared" si="38"/>
        <v>0</v>
      </c>
      <c r="AR186" s="10">
        <f t="shared" ca="1" si="38"/>
        <v>39304333.695295267</v>
      </c>
      <c r="AS186" s="10">
        <f t="shared" si="38"/>
        <v>0</v>
      </c>
      <c r="AT186" s="10">
        <f t="shared" ca="1" si="38"/>
        <v>2943898.2559045074</v>
      </c>
      <c r="AU186" s="10">
        <f t="shared" si="38"/>
        <v>0</v>
      </c>
      <c r="AV186" s="10">
        <f t="shared" ca="1" si="38"/>
        <v>29327061.258771211</v>
      </c>
      <c r="AW186" s="10">
        <f t="shared" si="38"/>
        <v>0</v>
      </c>
      <c r="AX186" s="10">
        <f t="shared" ca="1" si="38"/>
        <v>23456763.284490943</v>
      </c>
      <c r="AY186" s="10">
        <f t="shared" si="38"/>
        <v>0</v>
      </c>
      <c r="AZ186" s="10">
        <f t="shared" si="38"/>
        <v>20522879.530000001</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ca="1" si="38"/>
        <v>238974018.81774479</v>
      </c>
      <c r="BM186" s="10">
        <f>BM177+BM180+BM182</f>
        <v>2030320</v>
      </c>
      <c r="BN186" s="10">
        <f>BN177+BN180+BN182</f>
        <v>29809740</v>
      </c>
      <c r="BO186" s="10">
        <f>BO177+BO180+BO182</f>
        <v>2030320</v>
      </c>
      <c r="BP186" s="6">
        <f ca="1">IF(+R186-BL186+BN186&gt;0,R186-BL186+BN186,0)</f>
        <v>30448611.932255208</v>
      </c>
      <c r="BQ186" s="10">
        <f>BQ177+BQ180+BQ182</f>
        <v>2030320</v>
      </c>
      <c r="BR186" s="10">
        <f ca="1">BR177+BR180+BR182+BR184</f>
        <v>257098698.17923757</v>
      </c>
      <c r="BS186" s="10">
        <f>BS177+BS180+BS182</f>
        <v>2030320</v>
      </c>
      <c r="BT186" s="10">
        <f ca="1">BT177+BT180+BT182</f>
        <v>-31577859.919237576</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ca="1" si="42"/>
        <v>6988530.1253887061</v>
      </c>
      <c r="AK200"/>
      <c r="AL200" s="121">
        <f t="shared" ca="1" si="42"/>
        <v>7789829.6057027699</v>
      </c>
      <c r="AM200"/>
      <c r="AN200" s="121">
        <f t="shared" si="42"/>
        <v>11652992.180000002</v>
      </c>
      <c r="AO200" s="121">
        <f t="shared" si="42"/>
        <v>0</v>
      </c>
      <c r="AP200" s="121">
        <f t="shared" ca="1" si="42"/>
        <v>17627423.913877048</v>
      </c>
      <c r="AQ200" s="121">
        <f t="shared" si="42"/>
        <v>0</v>
      </c>
      <c r="AR200" s="121">
        <f t="shared" ca="1" si="42"/>
        <v>39305575.995295264</v>
      </c>
      <c r="AS200" s="121">
        <f t="shared" si="42"/>
        <v>0</v>
      </c>
      <c r="AT200" s="121">
        <f t="shared" ca="1" si="42"/>
        <v>2943898.2559045074</v>
      </c>
      <c r="AU200" s="121">
        <f t="shared" si="42"/>
        <v>0</v>
      </c>
      <c r="AV200" s="121">
        <f t="shared" ca="1" si="42"/>
        <v>29327061.258771211</v>
      </c>
      <c r="AW200" s="121">
        <f t="shared" si="42"/>
        <v>0</v>
      </c>
      <c r="AX200" s="121">
        <f t="shared" ca="1" si="42"/>
        <v>23471763.284490943</v>
      </c>
      <c r="AY200" s="121">
        <f t="shared" si="42"/>
        <v>0</v>
      </c>
      <c r="AZ200" s="121">
        <f t="shared" si="42"/>
        <v>20522879.530000001</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ca="1" si="42"/>
        <v>239288543.0877448</v>
      </c>
      <c r="BM200" s="121">
        <f t="shared" si="42"/>
        <v>2030320</v>
      </c>
      <c r="BN200" s="121">
        <f t="shared" si="42"/>
        <v>29809740</v>
      </c>
      <c r="BO200" s="121">
        <f t="shared" si="42"/>
        <v>2030320</v>
      </c>
      <c r="BP200" s="121">
        <f t="shared" ca="1" si="42"/>
        <v>30448611.932255208</v>
      </c>
      <c r="BQ200" s="121">
        <f t="shared" si="42"/>
        <v>2030320</v>
      </c>
      <c r="BR200" s="121">
        <f t="shared" ca="1" si="42"/>
        <v>257413222.44923759</v>
      </c>
      <c r="BS200" s="121">
        <f t="shared" si="42"/>
        <v>2030320</v>
      </c>
      <c r="BT200" s="121">
        <f t="shared" ca="1" si="42"/>
        <v>-31577859.919237576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203" activePane="bottomRight" state="frozen"/>
      <selection activeCell="K27" sqref="K27"/>
      <selection pane="topRight" activeCell="K27" sqref="K27"/>
      <selection pane="bottomLeft" activeCell="K27" sqref="K27"/>
      <selection pane="bottomRight" activeCell="K27" sqref="K2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- 050300.xls]Wilton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36651.54237210648</v>
      </c>
      <c r="BT3" s="23"/>
      <c r="BV3" s="78" t="str">
        <f ca="1">Summary!A5</f>
        <v>Revision # 56</v>
      </c>
    </row>
    <row r="4" spans="1:76" s="18" customFormat="1" ht="15.6">
      <c r="A4" s="94"/>
      <c r="B4" s="19">
        <f ca="1">Summary!C13</f>
        <v>509</v>
      </c>
      <c r="C4"/>
      <c r="G4" s="67"/>
      <c r="J4" s="478"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s="69"/>
      <c r="AJ7" s="82" t="str">
        <f ca="1">+Summary!$O$4</f>
        <v xml:space="preserve"> As of 4/28/00</v>
      </c>
      <c r="AK7" s="69"/>
      <c r="AL7" s="82" t="str">
        <f ca="1">+Summary!$O$4</f>
        <v xml:space="preserve"> As of 4/28/00</v>
      </c>
      <c r="AM7" s="69"/>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69"/>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K7" s="82"/>
      <c r="BL7" s="82" t="str">
        <f ca="1">+Summary!$O$4</f>
        <v xml:space="preserve"> As of 4/28/00</v>
      </c>
      <c r="BN7" s="71" t="str">
        <f ca="1">+Summary!$O$4</f>
        <v xml:space="preserve"> As of 4/28/00</v>
      </c>
      <c r="BP7" s="64" t="str">
        <f ca="1">+Summary!$O$4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 ca="1">'[2]Calvert City'!$I$38</f>
        <v>481371.22496666672</v>
      </c>
      <c r="AG198" s="10"/>
      <c r="AH198" s="10">
        <f ca="1">'[2]Calvert City'!$J$38</f>
        <v>488494.44316995825</v>
      </c>
      <c r="AI198" s="10"/>
      <c r="AJ198" s="10">
        <f ca="1">'[2]Calvert City'!$K$38</f>
        <v>500068.5242301845</v>
      </c>
      <c r="AK198" s="10"/>
      <c r="AL198" s="10">
        <f ca="1">-SUM(T198:AJ198)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 ca="1">SUM(T198:BM198)</f>
        <v>0</v>
      </c>
      <c r="BO198" s="10"/>
      <c r="BP198" s="10">
        <v>0</v>
      </c>
      <c r="BQ198" s="10"/>
      <c r="BR198" s="6">
        <f ca="1">IF(+R198-BN198+BP198&gt;0,R198-BN198+BP198,0)</f>
        <v>0</v>
      </c>
      <c r="BS198" s="10"/>
      <c r="BT198" s="9">
        <f ca="1">+BN198+BR198</f>
        <v>0</v>
      </c>
      <c r="BU198" s="10"/>
      <c r="BV198" s="9">
        <f ca="1">+R198-BT198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ca="1" si="35"/>
        <v>666001.55496666674</v>
      </c>
      <c r="AG200" s="120"/>
      <c r="AH200" s="120">
        <f t="shared" ca="1" si="35"/>
        <v>672045.7031699582</v>
      </c>
      <c r="AI200" s="120"/>
      <c r="AJ200" s="120">
        <f t="shared" ca="1" si="35"/>
        <v>557205.69423018454</v>
      </c>
      <c r="AK200" s="120"/>
      <c r="AL200" s="120">
        <f t="shared" ca="1"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ca="1" si="35"/>
        <v>1143584.83</v>
      </c>
      <c r="BO200" s="120">
        <f t="shared" si="35"/>
        <v>0</v>
      </c>
      <c r="BP200" s="120">
        <f t="shared" si="35"/>
        <v>0</v>
      </c>
      <c r="BQ200" s="120">
        <f t="shared" si="35"/>
        <v>0</v>
      </c>
      <c r="BR200" s="120">
        <f t="shared" ca="1" si="35"/>
        <v>0.22999999999592546</v>
      </c>
      <c r="BS200" s="120">
        <f t="shared" si="35"/>
        <v>0</v>
      </c>
      <c r="BT200" s="120">
        <f ca="1">BT198+BT190+BT182+BT180+BT178+BT172+BT163+BT153+BT146+BT144+BT142+BT140+BT138+BT196</f>
        <v>1143585.06</v>
      </c>
      <c r="BU200" s="120">
        <f>BU198+BU190+BU182+BU180+BU178+BU172+BU163+BU153+BU146+BU144+BU142+BU140+BU138+BU196</f>
        <v>0</v>
      </c>
      <c r="BV200" s="120">
        <f ca="1">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ca="1" si="36"/>
        <v>666001.55496666674</v>
      </c>
      <c r="AG205" s="168"/>
      <c r="AH205" s="168">
        <f t="shared" ca="1" si="36"/>
        <v>1386914.0565032915</v>
      </c>
      <c r="AI205" s="168"/>
      <c r="AJ205" s="168">
        <f t="shared" ca="1" si="36"/>
        <v>2148326.5742301848</v>
      </c>
      <c r="AK205" s="168"/>
      <c r="AL205" s="168">
        <f t="shared" ca="1"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ca="1" si="36"/>
        <v>1401085.4433333327</v>
      </c>
      <c r="BO205" s="168">
        <f t="shared" si="36"/>
        <v>2030320</v>
      </c>
      <c r="BP205" s="168">
        <f t="shared" si="36"/>
        <v>0</v>
      </c>
      <c r="BQ205" s="168">
        <f t="shared" si="36"/>
        <v>2030320</v>
      </c>
      <c r="BR205" s="168">
        <f t="shared" ca="1" si="36"/>
        <v>0.62000000059197191</v>
      </c>
      <c r="BS205" s="168">
        <f t="shared" si="36"/>
        <v>2030320</v>
      </c>
      <c r="BT205" s="168">
        <f t="shared" ca="1" si="36"/>
        <v>1401086.0633333332</v>
      </c>
      <c r="BU205" s="168">
        <f t="shared" si="36"/>
        <v>2030320</v>
      </c>
      <c r="BV205" s="168">
        <f t="shared" ca="1"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 ca="1">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ca="1" si="38">AF205+AF208+AF210+AF214+AF212</f>
        <v>633142.55496666674</v>
      </c>
      <c r="AG216" s="121"/>
      <c r="AH216" s="121">
        <f t="shared" ca="1" si="38"/>
        <v>1364257.0565032915</v>
      </c>
      <c r="AI216" s="121"/>
      <c r="AJ216" s="121">
        <f t="shared" ca="1" si="38"/>
        <v>2148326.5742301848</v>
      </c>
      <c r="AK216" s="121"/>
      <c r="AL216" s="121">
        <f t="shared" ca="1"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ca="1" si="38"/>
        <v>912870.44333333266</v>
      </c>
      <c r="BO216" s="121">
        <f t="shared" ref="BO216:BW216" si="39">BO205+BO208+BO210+BO214</f>
        <v>2030320</v>
      </c>
      <c r="BP216" s="121">
        <f t="shared" si="39"/>
        <v>0</v>
      </c>
      <c r="BQ216" s="121">
        <f t="shared" si="39"/>
        <v>2030320</v>
      </c>
      <c r="BR216" s="121">
        <f t="shared" ca="1" si="39"/>
        <v>0.62000000059197191</v>
      </c>
      <c r="BS216" s="121">
        <f t="shared" si="39"/>
        <v>2030320</v>
      </c>
      <c r="BT216" s="121">
        <f ca="1">BT205+BT208+BT210+BT214+BT212</f>
        <v>912871.06333333324</v>
      </c>
      <c r="BU216" s="121">
        <f t="shared" si="39"/>
        <v>2030320</v>
      </c>
      <c r="BV216" s="121">
        <f t="shared" ca="1"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Q80" activePane="bottomRight" state="frozen"/>
      <selection activeCell="K27" sqref="K27"/>
      <selection pane="topRight" activeCell="K27" sqref="K27"/>
      <selection pane="bottomLeft" activeCell="K27" sqref="K27"/>
      <selection pane="bottomRight" activeCell="R103" sqref="R10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style="6" hidden="1" customWidth="1"/>
    <col min="56" max="56" width="17.88671875" style="6" hidden="1" customWidth="1"/>
    <col min="57" max="57" width="0.88671875" style="6"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- 050300.xls]Wilton</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36651.54237210648</v>
      </c>
      <c r="BT3" s="23"/>
      <c r="BV3" s="78" t="str">
        <f ca="1">Summary!A5</f>
        <v>Revision # 56</v>
      </c>
    </row>
    <row r="4" spans="1:76" s="18" customFormat="1" ht="15.6">
      <c r="A4" s="94"/>
      <c r="B4" s="19">
        <f ca="1">Summary!C13</f>
        <v>509</v>
      </c>
      <c r="C4"/>
      <c r="G4" s="67"/>
      <c r="J4" s="67"/>
      <c r="L4" s="478"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 ca="1">[1]Summary!E9</f>
        <v>as of 7/22/99</v>
      </c>
      <c r="O7" s="129"/>
      <c r="P7" s="69"/>
      <c r="R7" s="82" t="str">
        <f ca="1">+[1]Summary!E9</f>
        <v>as of 7/22/99</v>
      </c>
      <c r="T7" s="82" t="str">
        <f ca="1">+[1]Summary!$O$4</f>
        <v xml:space="preserve"> As of 3/24/00</v>
      </c>
      <c r="U7" s="96"/>
      <c r="V7" s="82" t="str">
        <f ca="1">+[1]Summary!$O$4</f>
        <v xml:space="preserve"> As of 3/24/00</v>
      </c>
      <c r="W7" s="69"/>
      <c r="X7" s="82" t="str">
        <f ca="1">+[1]Summary!$O$4</f>
        <v xml:space="preserve"> As of 3/24/00</v>
      </c>
      <c r="Y7" s="69"/>
      <c r="Z7" s="82" t="str">
        <f ca="1">+[1]Summary!$O$4</f>
        <v xml:space="preserve"> As of 3/24/00</v>
      </c>
      <c r="AA7" s="69"/>
      <c r="AB7" s="82" t="str">
        <f ca="1">+[1]Summary!$O$4</f>
        <v xml:space="preserve"> As of 3/24/00</v>
      </c>
      <c r="AC7" s="69"/>
      <c r="AD7" s="82" t="str">
        <f ca="1">+[1]Summary!$O$4</f>
        <v xml:space="preserve"> As of 3/24/00</v>
      </c>
      <c r="AE7" s="69"/>
      <c r="AF7" s="82" t="str">
        <f ca="1">+[1]Summary!$O$4</f>
        <v xml:space="preserve"> As of 3/24/00</v>
      </c>
      <c r="AG7" s="69"/>
      <c r="AH7" s="82" t="str">
        <f ca="1">+[1]Summary!$O$4</f>
        <v xml:space="preserve"> As of 3/24/00</v>
      </c>
      <c r="AI7" s="69"/>
      <c r="AJ7" s="82" t="str">
        <f ca="1">+[1]Summary!$O$4</f>
        <v xml:space="preserve"> As of 3/24/00</v>
      </c>
      <c r="AK7" s="69"/>
      <c r="AL7" s="82" t="str">
        <f ca="1">+[1]Summary!$O$4</f>
        <v xml:space="preserve"> As of 3/24/00</v>
      </c>
      <c r="AM7" s="69"/>
      <c r="AN7" s="82" t="str">
        <f ca="1">+[1]Summary!$O$4</f>
        <v xml:space="preserve"> As of 3/24/00</v>
      </c>
      <c r="AO7" s="69"/>
      <c r="AP7" s="82" t="str">
        <f ca="1">+[1]Summary!$O$4</f>
        <v xml:space="preserve"> As of 3/24/00</v>
      </c>
      <c r="AQ7" s="69"/>
      <c r="AR7" s="82" t="str">
        <f ca="1">+[1]Summary!$O$4</f>
        <v xml:space="preserve"> As of 3/24/00</v>
      </c>
      <c r="AS7" s="69"/>
      <c r="AT7" s="82" t="str">
        <f ca="1">+[1]Summary!$O$4</f>
        <v xml:space="preserve"> As of 3/24/00</v>
      </c>
      <c r="AU7" s="69"/>
      <c r="AV7" s="82" t="str">
        <f ca="1">+[1]Summary!$O$4</f>
        <v xml:space="preserve"> As of 3/24/00</v>
      </c>
      <c r="AW7" s="82"/>
      <c r="AX7" s="82" t="str">
        <f ca="1">+[1]Summary!$O$4</f>
        <v xml:space="preserve"> As of 3/24/00</v>
      </c>
      <c r="AY7" s="82"/>
      <c r="AZ7" s="82" t="str">
        <f ca="1">+[1]Summary!$O$4</f>
        <v xml:space="preserve"> As of 3/24/00</v>
      </c>
      <c r="BA7" s="82"/>
      <c r="BB7" s="82" t="str">
        <f ca="1">BP7</f>
        <v xml:space="preserve"> As of 4/28/00</v>
      </c>
      <c r="BC7" s="82"/>
      <c r="BD7" s="82" t="str">
        <f ca="1">+[1]Summary!$O$4</f>
        <v xml:space="preserve"> As of 3/24/00</v>
      </c>
      <c r="BE7" s="82"/>
      <c r="BF7" s="82" t="str">
        <f ca="1">+[1]Summary!$O$4</f>
        <v xml:space="preserve"> As of 3/24/00</v>
      </c>
      <c r="BG7" s="82"/>
      <c r="BH7" s="82" t="str">
        <f ca="1">+[1]Summary!$O$4</f>
        <v xml:space="preserve"> As of 3/24/00</v>
      </c>
      <c r="BI7" s="82"/>
      <c r="BJ7" s="82" t="str">
        <f ca="1">+[1]Summary!$O$4</f>
        <v xml:space="preserve"> As of 3/24/00</v>
      </c>
      <c r="BK7" s="82"/>
      <c r="BL7" s="82" t="str">
        <f ca="1">+[1]Summary!$O$4</f>
        <v xml:space="preserve"> As of 3/24/00</v>
      </c>
      <c r="BN7" s="458" t="str">
        <f ca="1">+Summary!$O$4</f>
        <v xml:space="preserve"> As of 4/28/00</v>
      </c>
      <c r="BP7" s="64" t="str">
        <f ca="1">+Summary!$O$4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0</v>
      </c>
      <c r="BF101" s="6">
        <v>0</v>
      </c>
      <c r="BH101" s="6">
        <v>0</v>
      </c>
      <c r="BJ101" s="6">
        <v>0</v>
      </c>
      <c r="BL101" s="6">
        <v>0</v>
      </c>
      <c r="BM101" s="6"/>
      <c r="BN101" s="6">
        <f t="shared" si="28"/>
        <v>2367226.66</v>
      </c>
      <c r="BO101" s="6"/>
      <c r="BP101" s="6">
        <v>0</v>
      </c>
      <c r="BQ101" s="6"/>
      <c r="BR101" s="6">
        <f t="shared" si="29"/>
        <v>473473.33999999985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2892059.67</v>
      </c>
      <c r="BO107" s="115"/>
      <c r="BP107" s="116">
        <f>SUM(BP100:BP106)</f>
        <v>0</v>
      </c>
      <c r="BQ107" s="115"/>
      <c r="BR107" s="116">
        <f>SUM(BR100:BR106)</f>
        <v>628440.32999999996</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0</v>
      </c>
      <c r="BF131" s="6">
        <v>0</v>
      </c>
      <c r="BH131" s="6">
        <v>0</v>
      </c>
      <c r="BJ131" s="6">
        <v>0</v>
      </c>
      <c r="BL131" s="6">
        <v>0</v>
      </c>
      <c r="BM131" s="6"/>
      <c r="BN131" s="6">
        <f>SUM(T131:BM131)</f>
        <v>111000</v>
      </c>
      <c r="BO131" s="6"/>
      <c r="BP131" s="6">
        <v>0</v>
      </c>
      <c r="BQ131" s="6"/>
      <c r="BR131" s="6">
        <f>IF(+R131-BN131+BP131&gt;0,R131-BN131+BP131,0)</f>
        <v>74000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0</v>
      </c>
      <c r="BF132" s="6">
        <v>0</v>
      </c>
      <c r="BH132" s="6">
        <v>0</v>
      </c>
      <c r="BJ132" s="6">
        <v>0</v>
      </c>
      <c r="BL132" s="6">
        <v>0</v>
      </c>
      <c r="BM132" s="6"/>
      <c r="BN132" s="6">
        <f>SUM(T132:BM132)</f>
        <v>249538.44</v>
      </c>
      <c r="BO132" s="6"/>
      <c r="BP132" s="6">
        <v>0</v>
      </c>
      <c r="BQ132" s="6"/>
      <c r="BR132" s="6">
        <f>+R132-BN132+BP132</f>
        <v>474247.56</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360538.44</v>
      </c>
      <c r="BO134" s="9"/>
      <c r="BP134" s="102">
        <f>SUM(BP131:BP133)</f>
        <v>0</v>
      </c>
      <c r="BQ134" s="9"/>
      <c r="BR134" s="102">
        <f>SUM(BR131:BR133)</f>
        <v>548247.56000000006</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L157" s="6"/>
      <c r="BM157" s="6"/>
      <c r="BN157" s="6">
        <f t="shared" si="37"/>
        <v>662410.32000000007</v>
      </c>
      <c r="BO157" s="6"/>
      <c r="BP157" s="227">
        <v>0</v>
      </c>
      <c r="BQ157" s="6"/>
      <c r="BR157" s="6">
        <f t="shared" si="38"/>
        <v>0</v>
      </c>
      <c r="BT157" s="6">
        <f t="shared" si="39"/>
        <v>662410.32000000007</v>
      </c>
      <c r="BV157" s="6">
        <f>+R157-BT157</f>
        <v>-191829.32000000007</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731829.32000000007</v>
      </c>
      <c r="BO159" s="9"/>
      <c r="BP159" s="102">
        <f>SUM(BP152:BP158)</f>
        <v>0</v>
      </c>
      <c r="BQ159" s="9"/>
      <c r="BR159" s="102">
        <f>SUM(BR152:BR158)</f>
        <v>0</v>
      </c>
      <c r="BS159" s="9"/>
      <c r="BT159" s="102">
        <f>SUM(BT152:BT158)</f>
        <v>731829.32000000007</v>
      </c>
      <c r="BU159" s="9"/>
      <c r="BV159" s="102">
        <f>SUM(BV152:BV158)</f>
        <v>-191829.32000000007</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0</v>
      </c>
      <c r="BF162" s="6">
        <v>0</v>
      </c>
      <c r="BH162" s="6">
        <v>0</v>
      </c>
      <c r="BJ162" s="6">
        <v>0</v>
      </c>
      <c r="BL162" s="6">
        <v>0</v>
      </c>
      <c r="BM162" s="6"/>
      <c r="BN162" s="6">
        <f>SUM(T162:BM162)</f>
        <v>35486.25</v>
      </c>
      <c r="BO162" s="6"/>
      <c r="BP162" s="6">
        <v>0</v>
      </c>
      <c r="BQ162" s="6"/>
      <c r="BR162" s="6">
        <f>IF(+R162-BN162+BP162&gt;0,R162-BN162+BP162,0)</f>
        <v>24513.75</v>
      </c>
      <c r="BT162" s="6">
        <f>+BN162+BR162</f>
        <v>60000</v>
      </c>
      <c r="BV162" s="6">
        <f>+R162-BT162</f>
        <v>0</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0</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2877139.09</v>
      </c>
      <c r="BO182" s="102">
        <f t="shared" si="44"/>
        <v>0</v>
      </c>
      <c r="BP182" s="102">
        <f t="shared" si="44"/>
        <v>1690117</v>
      </c>
      <c r="BQ182" s="102">
        <f t="shared" si="44"/>
        <v>0</v>
      </c>
      <c r="BR182" s="102">
        <f t="shared" si="44"/>
        <v>1873661.75</v>
      </c>
      <c r="BS182" s="102">
        <f t="shared" si="44"/>
        <v>0</v>
      </c>
      <c r="BT182" s="102">
        <f t="shared" si="44"/>
        <v>3913800.84</v>
      </c>
      <c r="BU182" s="102">
        <f t="shared" si="44"/>
        <v>0</v>
      </c>
      <c r="BV182" s="102">
        <f t="shared" si="44"/>
        <v>-1713800.84</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0</v>
      </c>
      <c r="BE200" s="12"/>
      <c r="BF200" s="12">
        <v>0</v>
      </c>
      <c r="BG200" s="12"/>
      <c r="BH200" s="12">
        <v>0</v>
      </c>
      <c r="BI200" s="12"/>
      <c r="BJ200" s="12">
        <v>0</v>
      </c>
      <c r="BK200" s="12"/>
      <c r="BL200" s="12">
        <v>0</v>
      </c>
      <c r="BM200" s="12"/>
      <c r="BN200" s="12">
        <f t="shared" si="45"/>
        <v>399653.69999999995</v>
      </c>
      <c r="BO200" s="12"/>
      <c r="BP200" s="12">
        <v>0</v>
      </c>
      <c r="BQ200" s="12"/>
      <c r="BR200" s="6">
        <f t="shared" si="46"/>
        <v>0</v>
      </c>
      <c r="BS200" s="12"/>
      <c r="BT200" s="6">
        <f t="shared" si="47"/>
        <v>399653.69999999995</v>
      </c>
      <c r="BU200" s="12"/>
      <c r="BV200" s="6">
        <f t="shared" si="48"/>
        <v>-273888.69999999995</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0</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753997.76</v>
      </c>
      <c r="BO203" s="102">
        <f t="shared" si="49"/>
        <v>0</v>
      </c>
      <c r="BP203" s="102">
        <f t="shared" si="49"/>
        <v>0</v>
      </c>
      <c r="BQ203" s="102">
        <f t="shared" si="49"/>
        <v>0</v>
      </c>
      <c r="BR203" s="102">
        <f t="shared" si="49"/>
        <v>143107.12000000002</v>
      </c>
      <c r="BS203" s="102">
        <f t="shared" si="49"/>
        <v>0</v>
      </c>
      <c r="BT203" s="102">
        <f t="shared" si="49"/>
        <v>897104.88</v>
      </c>
      <c r="BU203" s="102">
        <f t="shared" si="49"/>
        <v>0</v>
      </c>
      <c r="BV203" s="102">
        <f t="shared" si="49"/>
        <v>-497104.88</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 ca="1">[2]Gleason!$M$40</f>
        <v>505668.93</v>
      </c>
      <c r="AO211" s="10"/>
      <c r="AP211" s="10">
        <f ca="1">[2]Gleason!$N$40</f>
        <v>517447.92267638887</v>
      </c>
      <c r="AQ211" s="10"/>
      <c r="AR211" s="10">
        <f ca="1">[2]Gleason!$O$40</f>
        <v>557933.42322977481</v>
      </c>
      <c r="AS211" s="10"/>
      <c r="AT211" s="10">
        <f ca="1">[2]Gleason!$P$40</f>
        <v>574337.94527365838</v>
      </c>
      <c r="AU211" s="10"/>
      <c r="AV211" s="10">
        <f ca="1">[2]Gleason!$Q$40</f>
        <v>616751.79694111284</v>
      </c>
      <c r="AW211" s="10"/>
      <c r="AX211" s="10">
        <f ca="1">[2]Gleason!$R$40</f>
        <v>657673.00806343276</v>
      </c>
      <c r="AY211" s="10"/>
      <c r="AZ211" s="10">
        <f ca="1">[2]Gleason!$S$40</f>
        <v>719263.90865433181</v>
      </c>
      <c r="BA211" s="10"/>
      <c r="BB211" s="10">
        <v>0</v>
      </c>
      <c r="BC211" s="10"/>
      <c r="BD211" s="10">
        <v>0</v>
      </c>
      <c r="BE211" s="10"/>
      <c r="BF211" s="10">
        <v>0</v>
      </c>
      <c r="BG211" s="10"/>
      <c r="BH211" s="10">
        <v>0</v>
      </c>
      <c r="BI211" s="10"/>
      <c r="BJ211" s="10">
        <v>0</v>
      </c>
      <c r="BK211" s="10"/>
      <c r="BL211" s="10">
        <v>0</v>
      </c>
      <c r="BM211" s="10"/>
      <c r="BN211" s="10">
        <f ca="1">SUM(T211:BM211)</f>
        <v>8482016.9348386992</v>
      </c>
      <c r="BO211" s="10"/>
      <c r="BP211" s="10">
        <v>0</v>
      </c>
      <c r="BQ211" s="10"/>
      <c r="BR211" s="6">
        <f ca="1">IF(+R211-BN211+BP211&gt;0,R211-BN211+BP211,0)-R211+[2]Gleason!$Z$40</f>
        <v>2579275.7879607845</v>
      </c>
      <c r="BS211" s="10"/>
      <c r="BT211" s="9">
        <f ca="1">+BN211+BR211</f>
        <v>11061292.722799484</v>
      </c>
      <c r="BU211" s="10"/>
      <c r="BV211" s="9">
        <f ca="1">+R211-BT211</f>
        <v>278751.27720051631</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 ca="1">AN211+AN203+AN194+AN192+AN190+AN184+AN159+AN149+AN142+AN140+AN138+AN136+AN134+AN209</f>
        <v>715387.53999999992</v>
      </c>
      <c r="AO213" s="120"/>
      <c r="AP213" s="120">
        <f ca="1">AP211+AP203+AP194+AP192+AP190+AP184+AP159+AP149+AP142+AP140+AP138+AP136+AP134+AP209</f>
        <v>563736.27267638885</v>
      </c>
      <c r="AQ213" s="120"/>
      <c r="AR213" s="120">
        <f t="shared" ref="AR213:BU213" ca="1" si="51">AR211+AR203+AR194+AR192+AR190+AR184+AR159+AR149+AR142+AR140+AR138+AR136+AR134+AR209</f>
        <v>949916.53322977468</v>
      </c>
      <c r="AS213" s="120">
        <f t="shared" si="51"/>
        <v>0</v>
      </c>
      <c r="AT213" s="120">
        <f t="shared" ca="1" si="51"/>
        <v>1188453.0652736584</v>
      </c>
      <c r="AU213" s="120">
        <f t="shared" si="51"/>
        <v>0</v>
      </c>
      <c r="AV213" s="120">
        <f t="shared" ca="1" si="51"/>
        <v>760946.3569411129</v>
      </c>
      <c r="AW213" s="120">
        <f t="shared" si="51"/>
        <v>0</v>
      </c>
      <c r="AX213" s="120">
        <f t="shared" ca="1" si="51"/>
        <v>797859.40806343278</v>
      </c>
      <c r="AY213" s="120">
        <f t="shared" si="51"/>
        <v>0</v>
      </c>
      <c r="AZ213" s="120">
        <f t="shared" ca="1" si="51"/>
        <v>1071160.4786543318</v>
      </c>
      <c r="BA213" s="120">
        <f t="shared" si="51"/>
        <v>0</v>
      </c>
      <c r="BB213" s="120">
        <f t="shared" si="51"/>
        <v>356242.11</v>
      </c>
      <c r="BC213" s="120">
        <f t="shared" si="51"/>
        <v>0</v>
      </c>
      <c r="BD213" s="120">
        <f t="shared" si="51"/>
        <v>0</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ca="1" si="51"/>
        <v>11382880.064838698</v>
      </c>
      <c r="BO213" s="120">
        <f t="shared" si="51"/>
        <v>0</v>
      </c>
      <c r="BP213" s="120">
        <f t="shared" si="51"/>
        <v>0</v>
      </c>
      <c r="BQ213" s="120">
        <f t="shared" si="51"/>
        <v>0</v>
      </c>
      <c r="BR213" s="120">
        <f t="shared" ca="1" si="51"/>
        <v>7299834.5679607848</v>
      </c>
      <c r="BS213" s="120">
        <f t="shared" si="51"/>
        <v>0</v>
      </c>
      <c r="BT213" s="120">
        <f t="shared" ca="1" si="51"/>
        <v>18682714.632799484</v>
      </c>
      <c r="BU213" s="120">
        <f t="shared" si="51"/>
        <v>0</v>
      </c>
      <c r="BV213" s="120">
        <f ca="1">BV211+BV203+BV194+BV192+BV190+BV184+BV159+BV149+BV142+BV140+BV138+BV136+BV134+BV209+BV182</f>
        <v>-2416637.4727994837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 ca="1">AN37+AN107+AN97+AN182+AN112+AN213+AN215+AN217</f>
        <v>715387.53999999992</v>
      </c>
      <c r="AO219" s="168"/>
      <c r="AP219" s="168">
        <f ca="1">AP37+AP107+AP97+AP182+AP112+AP213+AP215+AP217</f>
        <v>2178269.8126763888</v>
      </c>
      <c r="AQ219" s="168"/>
      <c r="AR219" s="168">
        <f t="shared" ref="AR219:BU219" ca="1" si="53">AR37+AR107+AR97+AR182+AR112+AR213+AR215+AR217</f>
        <v>7520808.7532297745</v>
      </c>
      <c r="AS219" s="168">
        <f t="shared" si="53"/>
        <v>0</v>
      </c>
      <c r="AT219" s="168">
        <f t="shared" ca="1" si="53"/>
        <v>3033901.6952736583</v>
      </c>
      <c r="AU219" s="168">
        <f t="shared" si="53"/>
        <v>0</v>
      </c>
      <c r="AV219" s="168">
        <f t="shared" ca="1" si="53"/>
        <v>8287387.2469411138</v>
      </c>
      <c r="AW219" s="168">
        <f t="shared" si="53"/>
        <v>0</v>
      </c>
      <c r="AX219" s="168">
        <f t="shared" ca="1" si="53"/>
        <v>7624290.748063433</v>
      </c>
      <c r="AY219" s="168">
        <f t="shared" si="53"/>
        <v>0</v>
      </c>
      <c r="AZ219" s="168">
        <f t="shared" ca="1" si="53"/>
        <v>11403531.258654332</v>
      </c>
      <c r="BA219" s="168">
        <f t="shared" si="53"/>
        <v>0</v>
      </c>
      <c r="BB219" s="168">
        <f t="shared" si="53"/>
        <v>11454458.629999999</v>
      </c>
      <c r="BC219" s="168">
        <f t="shared" si="53"/>
        <v>0</v>
      </c>
      <c r="BD219" s="168">
        <f t="shared" si="53"/>
        <v>0</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ca="1" si="53"/>
        <v>145393299.98483869</v>
      </c>
      <c r="BO219" s="168">
        <f t="shared" si="53"/>
        <v>0</v>
      </c>
      <c r="BP219" s="168">
        <f t="shared" si="53"/>
        <v>5621125</v>
      </c>
      <c r="BQ219" s="168">
        <f t="shared" si="53"/>
        <v>2030320</v>
      </c>
      <c r="BR219" s="168">
        <f t="shared" ca="1" si="53"/>
        <v>33538341.047960784</v>
      </c>
      <c r="BS219" s="168">
        <f t="shared" si="53"/>
        <v>2030320</v>
      </c>
      <c r="BT219" s="168">
        <f t="shared" ca="1" si="53"/>
        <v>174787850.03279948</v>
      </c>
      <c r="BU219" s="168">
        <f t="shared" si="53"/>
        <v>2030320</v>
      </c>
      <c r="BV219" s="168">
        <f ca="1">R219-BT219</f>
        <v>-4212840.0327994823</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8"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ca="1" si="54"/>
        <v>715387.53999999992</v>
      </c>
      <c r="AO225" s="465"/>
      <c r="AP225" s="465">
        <f t="shared" ca="1" si="54"/>
        <v>2178269.8126763888</v>
      </c>
      <c r="AQ225" s="465"/>
      <c r="AR225" s="465">
        <f t="shared" ca="1" si="54"/>
        <v>7520773.7532297745</v>
      </c>
      <c r="AS225" s="465">
        <f t="shared" si="54"/>
        <v>0</v>
      </c>
      <c r="AT225" s="465">
        <f t="shared" ca="1" si="54"/>
        <v>3031801.6952736583</v>
      </c>
      <c r="AU225" s="465">
        <f t="shared" si="54"/>
        <v>0</v>
      </c>
      <c r="AV225" s="465">
        <f t="shared" ca="1" si="54"/>
        <v>8287387.2469411138</v>
      </c>
      <c r="AW225" s="465">
        <f t="shared" si="54"/>
        <v>0</v>
      </c>
      <c r="AX225" s="465">
        <f t="shared" ca="1" si="54"/>
        <v>7624290.748063433</v>
      </c>
      <c r="AY225" s="465">
        <f t="shared" si="54"/>
        <v>0</v>
      </c>
      <c r="AZ225" s="465">
        <f t="shared" ca="1" si="54"/>
        <v>11403531.258654332</v>
      </c>
      <c r="BA225" s="465">
        <f t="shared" si="54"/>
        <v>0</v>
      </c>
      <c r="BB225" s="465">
        <f t="shared" si="54"/>
        <v>11454458.629999999</v>
      </c>
      <c r="BC225" s="465">
        <f t="shared" si="54"/>
        <v>0</v>
      </c>
      <c r="BD225" s="465">
        <f t="shared" si="54"/>
        <v>0</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ca="1" si="54"/>
        <v>145391164.98483869</v>
      </c>
      <c r="BO225" s="465">
        <f t="shared" si="54"/>
        <v>0</v>
      </c>
      <c r="BP225" s="465">
        <f t="shared" si="54"/>
        <v>5621125</v>
      </c>
      <c r="BQ225" s="465">
        <f t="shared" si="54"/>
        <v>2030320</v>
      </c>
      <c r="BR225" s="465">
        <f t="shared" ca="1" si="54"/>
        <v>33538341.047960784</v>
      </c>
      <c r="BS225" s="465">
        <f t="shared" si="54"/>
        <v>2030320</v>
      </c>
      <c r="BT225" s="465">
        <f t="shared" ca="1" si="54"/>
        <v>174785715.03279948</v>
      </c>
      <c r="BU225" s="465">
        <f t="shared" si="54"/>
        <v>2030320</v>
      </c>
      <c r="BV225" s="465">
        <f ca="1">BV219+BV222</f>
        <v>-4210705.0327994823</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7" t="s">
        <v>555</v>
      </c>
      <c r="BN228" s="368"/>
    </row>
    <row r="229" spans="1:124" customFormat="1">
      <c r="A229" s="56" t="s">
        <v>288</v>
      </c>
      <c r="BN229" s="368"/>
    </row>
    <row r="230" spans="1:124" customFormat="1">
      <c r="A230" s="58"/>
      <c r="B230" t="s">
        <v>79</v>
      </c>
      <c r="BB230" s="35">
        <v>200000</v>
      </c>
      <c r="BN230" s="10">
        <f>SUM(T230:BM230)</f>
        <v>200000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298513.39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 ca="1">AZ225+AZ234</f>
        <v>11403531.258654332</v>
      </c>
      <c r="BA237" s="477">
        <f t="shared" si="56"/>
        <v>0</v>
      </c>
      <c r="BB237" s="477">
        <f>BB225+BB234</f>
        <v>11752972.02</v>
      </c>
      <c r="BC237" s="477">
        <f t="shared" si="56"/>
        <v>0</v>
      </c>
      <c r="BD237" s="477">
        <f>BD225+BD234</f>
        <v>0</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 ca="1">BN225+BN234</f>
        <v>145689678.37483868</v>
      </c>
      <c r="BO237" s="477">
        <f t="shared" si="56"/>
        <v>0</v>
      </c>
      <c r="BP237" s="477">
        <f>BP225+BP234</f>
        <v>5621125</v>
      </c>
      <c r="BQ237" s="477">
        <f t="shared" si="56"/>
        <v>0</v>
      </c>
      <c r="BR237" s="477">
        <f ca="1">BR225+BR234</f>
        <v>60066470.657960787</v>
      </c>
      <c r="BS237" s="477">
        <f t="shared" si="56"/>
        <v>0</v>
      </c>
      <c r="BT237" s="477">
        <f ca="1">BT225+BT234</f>
        <v>201412358.03279948</v>
      </c>
      <c r="BU237" s="477">
        <f t="shared" si="56"/>
        <v>0</v>
      </c>
      <c r="BV237" s="477">
        <f ca="1">BV225+BV234</f>
        <v>-4210705.0327994823</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BO76" activePane="bottomRight" state="frozen"/>
      <selection activeCell="K27" sqref="K27"/>
      <selection pane="topRight" activeCell="K27" sqref="K27"/>
      <selection pane="bottomLeft" activeCell="K27" sqref="K27"/>
      <selection pane="bottomRight" activeCell="BT105" sqref="BT105"/>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- 050300.xls]Wilton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36651.54237210648</v>
      </c>
      <c r="BR3" s="23"/>
      <c r="BT3" s="78" t="str">
        <f ca="1">Summary!A5</f>
        <v>Revision # 56</v>
      </c>
      <c r="BV3" s="18" t="str">
        <f ca="1">Summary!A5</f>
        <v>Revision # 56</v>
      </c>
    </row>
    <row r="4" spans="1:74" s="18" customFormat="1" ht="15.6">
      <c r="A4" s="94"/>
      <c r="B4" s="19">
        <f ca="1">Summary!C15</f>
        <v>470</v>
      </c>
      <c r="C4"/>
      <c r="G4" s="67"/>
      <c r="J4" s="478"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s="69"/>
      <c r="AJ7" s="82" t="str">
        <f ca="1">+Summary!$O$4</f>
        <v xml:space="preserve"> As of 4/28/00</v>
      </c>
      <c r="AK7" s="69"/>
      <c r="AL7" s="82" t="str">
        <f ca="1">+Summary!$O$4</f>
        <v xml:space="preserve"> As of 4/28/00</v>
      </c>
      <c r="AM7" s="69"/>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82"/>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L7" s="71" t="str">
        <f ca="1">+Summary!$O$4</f>
        <v xml:space="preserve"> As of 4/28/00</v>
      </c>
      <c r="BN7" s="64" t="str">
        <f ca="1">+Summary!$O$4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0</v>
      </c>
      <c r="BD96" s="6">
        <v>0</v>
      </c>
      <c r="BF96" s="6">
        <v>0</v>
      </c>
      <c r="BH96" s="6">
        <v>0</v>
      </c>
      <c r="BJ96" s="6">
        <v>0</v>
      </c>
      <c r="BK96" s="6"/>
      <c r="BL96" s="6">
        <f t="shared" si="22"/>
        <v>1988904.3466666667</v>
      </c>
      <c r="BM96" s="6"/>
      <c r="BN96" s="6">
        <v>0</v>
      </c>
      <c r="BO96" s="6"/>
      <c r="BP96" s="6">
        <f t="shared" si="23"/>
        <v>397795.65333333332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2763737.34</v>
      </c>
      <c r="BM102" s="115"/>
      <c r="BN102" s="116">
        <f>SUM(BN95:BN101)</f>
        <v>0</v>
      </c>
      <c r="BO102" s="115"/>
      <c r="BP102" s="116">
        <f>SUM(BP95:BP101)</f>
        <v>552762.66</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0</v>
      </c>
      <c r="BD112" s="6">
        <v>0</v>
      </c>
      <c r="BF112" s="6">
        <v>0</v>
      </c>
      <c r="BH112" s="6">
        <v>0</v>
      </c>
      <c r="BJ112" s="6">
        <v>0</v>
      </c>
      <c r="BK112" s="6"/>
      <c r="BL112" s="6">
        <f>SUM(T112:BK112)</f>
        <v>111000</v>
      </c>
      <c r="BM112" s="6"/>
      <c r="BN112" s="6">
        <v>0</v>
      </c>
      <c r="BO112" s="6"/>
      <c r="BP112" s="6">
        <f>IF(+R112-BL112+BN112&gt;0,R112-BL112+BN112,0)</f>
        <v>74000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0</v>
      </c>
      <c r="BD113" s="6">
        <v>0</v>
      </c>
      <c r="BF113" s="6">
        <v>0</v>
      </c>
      <c r="BH113" s="6">
        <v>0</v>
      </c>
      <c r="BJ113" s="6">
        <v>0</v>
      </c>
      <c r="BK113" s="6"/>
      <c r="BL113" s="6">
        <f>SUM(T113:BK113)</f>
        <v>298812.89</v>
      </c>
      <c r="BM113" s="6"/>
      <c r="BN113" s="6">
        <v>0</v>
      </c>
      <c r="BO113" s="6"/>
      <c r="BP113" s="6">
        <f>+R113-BL113+BN113</f>
        <v>424973.11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409812.89</v>
      </c>
      <c r="BM115" s="9"/>
      <c r="BN115" s="102">
        <f>SUM(BN112:BN114)</f>
        <v>0</v>
      </c>
      <c r="BO115" s="9"/>
      <c r="BP115" s="102">
        <f>SUM(BP112:BP114)</f>
        <v>498973.11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0</v>
      </c>
      <c r="BD126" s="6">
        <v>0</v>
      </c>
      <c r="BF126" s="6">
        <v>0</v>
      </c>
      <c r="BH126" s="6">
        <v>0</v>
      </c>
      <c r="BJ126" s="6">
        <v>0</v>
      </c>
      <c r="BK126" s="6"/>
      <c r="BL126" s="6">
        <f>SUM(T126:BK126)</f>
        <v>69720.61</v>
      </c>
      <c r="BM126" s="6"/>
      <c r="BN126" s="6">
        <v>1000</v>
      </c>
      <c r="BO126" s="6"/>
      <c r="BP126" s="6">
        <f>IF(+R126-BL126+BN126&gt;0,R126-BL126+BN126,0)</f>
        <v>0</v>
      </c>
      <c r="BR126" s="6">
        <f>+BL126+BP126</f>
        <v>69720.61</v>
      </c>
      <c r="BT126" s="6">
        <f>+R126-BR126</f>
        <v>-27220.61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1907102.57</v>
      </c>
      <c r="BM130" s="9"/>
      <c r="BN130" s="102">
        <f>SUM(BN126:BN129)</f>
        <v>342944</v>
      </c>
      <c r="BO130" s="9"/>
      <c r="BP130" s="102">
        <f>SUM(BP126:BP129)</f>
        <v>0</v>
      </c>
      <c r="BQ130" s="9"/>
      <c r="BR130" s="102">
        <f>SUM(BR126:BR129)</f>
        <v>1907102.57</v>
      </c>
      <c r="BS130" s="9"/>
      <c r="BT130" s="102">
        <f>SUM(BT126:BT129)</f>
        <v>-1137102.57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-37139.300000000047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0</v>
      </c>
      <c r="BC165" s="12"/>
      <c r="BD165" s="12">
        <v>0</v>
      </c>
      <c r="BE165" s="12"/>
      <c r="BF165" s="12">
        <v>0</v>
      </c>
      <c r="BG165" s="12"/>
      <c r="BH165" s="12">
        <v>0</v>
      </c>
      <c r="BI165" s="12"/>
      <c r="BJ165" s="12">
        <v>0</v>
      </c>
      <c r="BK165" s="12"/>
      <c r="BL165" s="12">
        <f>SUM(T165:BK165)</f>
        <v>190677.19000000003</v>
      </c>
      <c r="BM165" s="12"/>
      <c r="BN165" s="12">
        <v>0</v>
      </c>
      <c r="BO165" s="12"/>
      <c r="BP165" s="6">
        <f>IF(+R165-BL165+BN165&gt;0,R165-BL165+BN165,0)</f>
        <v>209322.80999999997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492349.32000000007</v>
      </c>
      <c r="BM167" s="9"/>
      <c r="BN167" s="102">
        <f>SUM(BN163:BN166)</f>
        <v>0</v>
      </c>
      <c r="BO167" s="9"/>
      <c r="BP167" s="102">
        <f>SUM(BP163:BP166)</f>
        <v>209322.80999999997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 ca="1">[2]Wheatland!$I$39</f>
        <v>431577.41862083337</v>
      </c>
      <c r="AG169" s="10"/>
      <c r="AH169" s="10">
        <f ca="1">[2]Wheatland!$J$39</f>
        <v>437225.48213836289</v>
      </c>
      <c r="AI169" s="10"/>
      <c r="AJ169" s="10">
        <f ca="1">[2]Wheatland!$K$39</f>
        <v>445286.67641661229</v>
      </c>
      <c r="AK169" s="10"/>
      <c r="AL169" s="10">
        <f ca="1">[2]Wheatland!$L$39</f>
        <v>454783</v>
      </c>
      <c r="AM169" s="10"/>
      <c r="AN169" s="10">
        <f ca="1">[2]Wheatland!$M$39</f>
        <v>462626.31550692458</v>
      </c>
      <c r="AO169" s="10"/>
      <c r="AP169" s="10">
        <f ca="1">[2]Wheatland!$N$39</f>
        <v>491955.34096592036</v>
      </c>
      <c r="AQ169" s="10"/>
      <c r="AR169" s="10">
        <f ca="1">[2]Wheatland!$O$39</f>
        <v>516340</v>
      </c>
      <c r="AS169" s="10"/>
      <c r="AT169" s="10">
        <f ca="1">[2]Wheatland!$P$39</f>
        <v>563836.3251100413</v>
      </c>
      <c r="AU169" s="10"/>
      <c r="AV169" s="10">
        <f ca="1">[2]Wheatland!$Q$39</f>
        <v>615994.85825994285</v>
      </c>
      <c r="AW169" s="10"/>
      <c r="AX169" s="10">
        <f ca="1">[2]Wheatland!$R$39</f>
        <v>668433.20015885099</v>
      </c>
      <c r="AY169" s="10"/>
      <c r="AZ169" s="10">
        <v>0</v>
      </c>
      <c r="BA169" s="10"/>
      <c r="BB169" s="10">
        <v>0</v>
      </c>
      <c r="BC169" s="10"/>
      <c r="BD169" s="10">
        <v>0</v>
      </c>
      <c r="BE169" s="10"/>
      <c r="BF169" s="10">
        <v>0</v>
      </c>
      <c r="BG169" s="10"/>
      <c r="BH169" s="10">
        <v>0</v>
      </c>
      <c r="BI169" s="10"/>
      <c r="BJ169" s="10">
        <v>0</v>
      </c>
      <c r="BK169" s="10"/>
      <c r="BL169" s="10">
        <f ca="1">SUM(T169:BK169)</f>
        <v>7345342.6171774883</v>
      </c>
      <c r="BM169" s="10"/>
      <c r="BN169" s="10">
        <f ca="1">-R169+[2]Wheatland!$Y$39</f>
        <v>-346929.14350331947</v>
      </c>
      <c r="BO169" s="10"/>
      <c r="BP169" s="6">
        <f ca="1">IF(+R169-BL169+BN169&gt;0,R169-BL169+BN169,0)</f>
        <v>2340053.2393191922</v>
      </c>
      <c r="BQ169" s="10"/>
      <c r="BR169" s="9">
        <f ca="1">+BL169+BP169</f>
        <v>9685395.8564966805</v>
      </c>
      <c r="BS169" s="10"/>
      <c r="BT169" s="9">
        <f ca="1">+R169-BR169</f>
        <v>346929.14350331947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ca="1" si="31"/>
        <v>573248.10862083337</v>
      </c>
      <c r="AG171" s="120">
        <f t="shared" si="31"/>
        <v>0</v>
      </c>
      <c r="AH171" s="120">
        <f t="shared" ca="1" si="31"/>
        <v>580523.05213836278</v>
      </c>
      <c r="AI171" s="120">
        <f t="shared" si="31"/>
        <v>0</v>
      </c>
      <c r="AJ171" s="120">
        <f t="shared" ca="1" si="31"/>
        <v>551485.42641661223</v>
      </c>
      <c r="AK171" s="120">
        <f t="shared" si="31"/>
        <v>0</v>
      </c>
      <c r="AL171" s="120">
        <f t="shared" ca="1" si="31"/>
        <v>1502808.93</v>
      </c>
      <c r="AM171" s="120">
        <f t="shared" si="31"/>
        <v>0</v>
      </c>
      <c r="AN171" s="120">
        <f t="shared" ca="1" si="31"/>
        <v>634977.90550692461</v>
      </c>
      <c r="AO171" s="120">
        <f t="shared" si="31"/>
        <v>0</v>
      </c>
      <c r="AP171" s="120">
        <f t="shared" ca="1" si="31"/>
        <v>710648.81096592033</v>
      </c>
      <c r="AQ171" s="120">
        <f t="shared" si="31"/>
        <v>0</v>
      </c>
      <c r="AR171" s="120">
        <f t="shared" ca="1" si="31"/>
        <v>2133337.75</v>
      </c>
      <c r="AS171" s="120">
        <f t="shared" si="31"/>
        <v>0</v>
      </c>
      <c r="AT171" s="120">
        <f t="shared" ca="1" si="31"/>
        <v>968319.9451100413</v>
      </c>
      <c r="AU171" s="120">
        <f t="shared" si="31"/>
        <v>0</v>
      </c>
      <c r="AV171" s="120">
        <f t="shared" ca="1" si="31"/>
        <v>1280665.808259943</v>
      </c>
      <c r="AW171" s="120">
        <f t="shared" si="31"/>
        <v>0</v>
      </c>
      <c r="AX171" s="120">
        <f t="shared" ca="1" si="31"/>
        <v>1367991.7801588511</v>
      </c>
      <c r="AY171" s="120">
        <f t="shared" si="31"/>
        <v>0</v>
      </c>
      <c r="AZ171" s="120">
        <f t="shared" si="31"/>
        <v>283299.07</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ca="1" si="31"/>
        <v>13084960.107177489</v>
      </c>
      <c r="BM171" s="120">
        <f t="shared" si="31"/>
        <v>0</v>
      </c>
      <c r="BN171" s="120">
        <f t="shared" ca="1" si="31"/>
        <v>155247.85649668053</v>
      </c>
      <c r="BO171" s="120">
        <f t="shared" si="31"/>
        <v>0</v>
      </c>
      <c r="BP171" s="120">
        <f t="shared" ca="1" si="31"/>
        <v>12024874.369319193</v>
      </c>
      <c r="BQ171" s="120">
        <f t="shared" si="31"/>
        <v>0</v>
      </c>
      <c r="BR171" s="120">
        <f t="shared" ca="1" si="31"/>
        <v>25109834.476496678</v>
      </c>
      <c r="BS171" s="120">
        <f t="shared" si="31"/>
        <v>0</v>
      </c>
      <c r="BT171" s="120">
        <f t="shared" ca="1" si="31"/>
        <v>-1525992.4764966806</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ca="1" si="32"/>
        <v>573248.10862083337</v>
      </c>
      <c r="AG176" s="168">
        <f t="shared" si="32"/>
        <v>0</v>
      </c>
      <c r="AH176" s="168">
        <f t="shared" ca="1" si="32"/>
        <v>1116780.7521383627</v>
      </c>
      <c r="AI176" s="168">
        <f t="shared" si="32"/>
        <v>0</v>
      </c>
      <c r="AJ176" s="168">
        <f t="shared" ca="1" si="32"/>
        <v>1496281.3264166121</v>
      </c>
      <c r="AK176" s="168">
        <f t="shared" si="32"/>
        <v>0</v>
      </c>
      <c r="AL176" s="168">
        <f t="shared" ca="1" si="32"/>
        <v>1780115.93</v>
      </c>
      <c r="AM176" s="168">
        <f t="shared" si="32"/>
        <v>0</v>
      </c>
      <c r="AN176" s="168">
        <f t="shared" ca="1" si="32"/>
        <v>1566383.0055069246</v>
      </c>
      <c r="AO176" s="168">
        <f t="shared" si="32"/>
        <v>0</v>
      </c>
      <c r="AP176" s="168">
        <f t="shared" ca="1" si="32"/>
        <v>5481999.3709659204</v>
      </c>
      <c r="AQ176" s="168">
        <f t="shared" si="32"/>
        <v>0</v>
      </c>
      <c r="AR176" s="168">
        <f t="shared" ca="1" si="32"/>
        <v>4677967.54</v>
      </c>
      <c r="AS176" s="168">
        <f t="shared" si="32"/>
        <v>0</v>
      </c>
      <c r="AT176" s="168">
        <f t="shared" ca="1" si="32"/>
        <v>8750380.3051100411</v>
      </c>
      <c r="AU176" s="168">
        <f t="shared" si="32"/>
        <v>0</v>
      </c>
      <c r="AV176" s="168">
        <f t="shared" ca="1" si="32"/>
        <v>9706071.6582599431</v>
      </c>
      <c r="AW176" s="168">
        <f t="shared" si="32"/>
        <v>0</v>
      </c>
      <c r="AX176" s="168">
        <f t="shared" ref="AX176:BT176" ca="1" si="33">AX34+AX102+AX91+AX107+AX171+AX173</f>
        <v>9777060.1201588511</v>
      </c>
      <c r="AY176" s="168">
        <f t="shared" si="33"/>
        <v>0</v>
      </c>
      <c r="AZ176" s="168">
        <f t="shared" si="33"/>
        <v>7186686.0700000003</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ca="1" si="33"/>
        <v>131885494.70717752</v>
      </c>
      <c r="BM176" s="168">
        <f t="shared" si="33"/>
        <v>3202104</v>
      </c>
      <c r="BN176" s="168">
        <f t="shared" ca="1" si="33"/>
        <v>4039792.8564966805</v>
      </c>
      <c r="BO176" s="168">
        <f t="shared" si="33"/>
        <v>4673615</v>
      </c>
      <c r="BP176" s="168">
        <f t="shared" ca="1" si="33"/>
        <v>27150559.869319182</v>
      </c>
      <c r="BQ176" s="168">
        <f t="shared" si="33"/>
        <v>7699097</v>
      </c>
      <c r="BR176" s="168">
        <f t="shared" ca="1" si="33"/>
        <v>159979919.57649666</v>
      </c>
      <c r="BS176" s="168">
        <f t="shared" si="33"/>
        <v>14335953</v>
      </c>
      <c r="BT176" s="168">
        <f t="shared" ca="1" si="33"/>
        <v>-1528671.4764966806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 ca="1">BR176/B4</f>
        <v>340382.80760956736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ca="1" si="34"/>
        <v>546828.10862083337</v>
      </c>
      <c r="AG185" s="10">
        <f t="shared" si="34"/>
        <v>0</v>
      </c>
      <c r="AH185" s="10">
        <f t="shared" ca="1" si="34"/>
        <v>1092835.7521383627</v>
      </c>
      <c r="AI185" s="10">
        <f t="shared" si="34"/>
        <v>0</v>
      </c>
      <c r="AJ185" s="10">
        <f t="shared" ca="1" si="34"/>
        <v>1496281.3264166121</v>
      </c>
      <c r="AK185" s="10"/>
      <c r="AL185" s="10">
        <f t="shared" ca="1" si="34"/>
        <v>1780115.93</v>
      </c>
      <c r="AM185" s="10"/>
      <c r="AN185" s="10">
        <f t="shared" ca="1" si="34"/>
        <v>1603218.0055069246</v>
      </c>
      <c r="AO185" s="10">
        <f t="shared" si="34"/>
        <v>0</v>
      </c>
      <c r="AP185" s="10">
        <f t="shared" ca="1" si="34"/>
        <v>5445164.3709659204</v>
      </c>
      <c r="AQ185" s="10">
        <f t="shared" si="34"/>
        <v>0</v>
      </c>
      <c r="AR185" s="10">
        <f t="shared" ca="1" si="34"/>
        <v>4677967.54</v>
      </c>
      <c r="AS185" s="10">
        <f t="shared" si="34"/>
        <v>0</v>
      </c>
      <c r="AT185" s="10">
        <f t="shared" ca="1" si="34"/>
        <v>8750380.3051100411</v>
      </c>
      <c r="AU185" s="10">
        <f t="shared" si="34"/>
        <v>0</v>
      </c>
      <c r="AV185" s="10">
        <f t="shared" ca="1" si="34"/>
        <v>9706071.6582599431</v>
      </c>
      <c r="AW185" s="10">
        <f t="shared" si="34"/>
        <v>0</v>
      </c>
      <c r="AX185" s="10">
        <f t="shared" ca="1" si="34"/>
        <v>9777060.1201588511</v>
      </c>
      <c r="AY185" s="10">
        <f t="shared" si="34"/>
        <v>0</v>
      </c>
      <c r="AZ185" s="10">
        <f t="shared" si="34"/>
        <v>7186686.0700000003</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ca="1" si="34"/>
        <v>131774173.21717753</v>
      </c>
      <c r="BM185" s="10">
        <f t="shared" si="34"/>
        <v>3202104</v>
      </c>
      <c r="BN185" s="10">
        <f ca="1">BN176+BN179+BN181+BN183</f>
        <v>4039792.8564966805</v>
      </c>
      <c r="BO185" s="10">
        <f t="shared" si="34"/>
        <v>4673615</v>
      </c>
      <c r="BP185" s="10">
        <f t="shared" ca="1" si="34"/>
        <v>27150559.35931918</v>
      </c>
      <c r="BQ185" s="10">
        <f t="shared" si="34"/>
        <v>7699097</v>
      </c>
      <c r="BR185" s="10">
        <f t="shared" ca="1" si="34"/>
        <v>159868597.57649666</v>
      </c>
      <c r="BS185" s="10">
        <f t="shared" si="34"/>
        <v>14335953</v>
      </c>
      <c r="BT185" s="10">
        <f t="shared" ca="1" si="34"/>
        <v>-1528671.4764966806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ca="1" si="35"/>
        <v>573248.10862083337</v>
      </c>
      <c r="AG198" s="121">
        <f t="shared" si="35"/>
        <v>0</v>
      </c>
      <c r="AH198" s="121">
        <f t="shared" ca="1" si="35"/>
        <v>1116780.7521383627</v>
      </c>
      <c r="AI198" s="121">
        <f t="shared" si="35"/>
        <v>0</v>
      </c>
      <c r="AJ198" s="121">
        <f t="shared" ca="1" si="35"/>
        <v>1496281.3264166121</v>
      </c>
      <c r="AK198" s="121">
        <f t="shared" si="35"/>
        <v>0</v>
      </c>
      <c r="AL198" s="121">
        <f t="shared" ca="1" si="35"/>
        <v>1780115.93</v>
      </c>
      <c r="AM198" s="121">
        <f t="shared" si="35"/>
        <v>0</v>
      </c>
      <c r="AN198" s="121">
        <f t="shared" ca="1" si="35"/>
        <v>1566383.0055069246</v>
      </c>
      <c r="AO198" s="121">
        <f t="shared" si="35"/>
        <v>0</v>
      </c>
      <c r="AP198" s="121">
        <f t="shared" ca="1" si="35"/>
        <v>5481999.3709659204</v>
      </c>
      <c r="AQ198" s="121">
        <f t="shared" si="35"/>
        <v>0</v>
      </c>
      <c r="AR198" s="121">
        <f t="shared" ca="1" si="35"/>
        <v>4677967.54</v>
      </c>
      <c r="AS198" s="121">
        <f t="shared" si="35"/>
        <v>0</v>
      </c>
      <c r="AT198" s="121">
        <f t="shared" ca="1" si="35"/>
        <v>8750380.3051100411</v>
      </c>
      <c r="AU198" s="121">
        <f t="shared" si="35"/>
        <v>0</v>
      </c>
      <c r="AV198" s="121">
        <f t="shared" ca="1" si="35"/>
        <v>9706071.6582599431</v>
      </c>
      <c r="AW198" s="121">
        <f t="shared" si="35"/>
        <v>0</v>
      </c>
      <c r="AX198" s="121">
        <f t="shared" ref="AX198:BT198" ca="1" si="36">AX176+AX194</f>
        <v>9777060.1201588511</v>
      </c>
      <c r="AY198" s="121">
        <f t="shared" si="36"/>
        <v>0</v>
      </c>
      <c r="AZ198" s="121">
        <f t="shared" si="36"/>
        <v>7186686.0700000003</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ca="1" si="36"/>
        <v>131900594.70717752</v>
      </c>
      <c r="BM198" s="121">
        <f t="shared" si="36"/>
        <v>3202104</v>
      </c>
      <c r="BN198" s="121">
        <f t="shared" ca="1" si="36"/>
        <v>4039792.8564966805</v>
      </c>
      <c r="BO198" s="121">
        <f t="shared" si="36"/>
        <v>4673615</v>
      </c>
      <c r="BP198" s="121">
        <f t="shared" ca="1" si="36"/>
        <v>27150559.869319182</v>
      </c>
      <c r="BQ198" s="121">
        <f t="shared" si="36"/>
        <v>7699097</v>
      </c>
      <c r="BR198" s="121">
        <f t="shared" ca="1" si="36"/>
        <v>159995019.57649666</v>
      </c>
      <c r="BS198" s="121">
        <f t="shared" si="36"/>
        <v>14335953</v>
      </c>
      <c r="BT198" s="121">
        <f t="shared" ca="1" si="36"/>
        <v>-1528671.4764966806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ca="1" si="37"/>
        <v>546828.10862083337</v>
      </c>
      <c r="AG200" s="121">
        <f t="shared" si="37"/>
        <v>0</v>
      </c>
      <c r="AH200" s="121">
        <f t="shared" ca="1" si="37"/>
        <v>1092835.7521383627</v>
      </c>
      <c r="AI200" s="121">
        <f t="shared" si="37"/>
        <v>0</v>
      </c>
      <c r="AJ200" s="121">
        <f t="shared" ca="1" si="37"/>
        <v>1496281.3264166121</v>
      </c>
      <c r="AK200" s="121">
        <f t="shared" si="37"/>
        <v>0</v>
      </c>
      <c r="AL200" s="121">
        <f t="shared" ca="1" si="37"/>
        <v>1780115.93</v>
      </c>
      <c r="AM200" s="121">
        <f t="shared" si="37"/>
        <v>0</v>
      </c>
      <c r="AN200" s="121">
        <f t="shared" ca="1" si="37"/>
        <v>1603218.0055069246</v>
      </c>
      <c r="AO200" s="121">
        <f t="shared" si="37"/>
        <v>0</v>
      </c>
      <c r="AP200" s="121">
        <f t="shared" ca="1" si="37"/>
        <v>5445164.3709659204</v>
      </c>
      <c r="AQ200" s="121">
        <f t="shared" si="37"/>
        <v>0</v>
      </c>
      <c r="AR200" s="121">
        <f t="shared" ca="1" si="37"/>
        <v>4677967.54</v>
      </c>
      <c r="AS200" s="121">
        <f t="shared" si="37"/>
        <v>0</v>
      </c>
      <c r="AT200" s="121">
        <f t="shared" ca="1" si="37"/>
        <v>8750380.3051100411</v>
      </c>
      <c r="AU200" s="121">
        <f t="shared" si="37"/>
        <v>0</v>
      </c>
      <c r="AV200" s="121">
        <f t="shared" ca="1" si="37"/>
        <v>9706071.6582599431</v>
      </c>
      <c r="AW200" s="121">
        <f t="shared" si="37"/>
        <v>0</v>
      </c>
      <c r="AX200" s="121">
        <f t="shared" ca="1" si="37"/>
        <v>9777060.1201588511</v>
      </c>
      <c r="AY200" s="121">
        <f t="shared" si="37"/>
        <v>0</v>
      </c>
      <c r="AZ200" s="121">
        <f t="shared" si="37"/>
        <v>7186686.0700000003</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ca="1" si="37"/>
        <v>131789273.21717753</v>
      </c>
      <c r="BM200" s="121">
        <f t="shared" si="37"/>
        <v>3202104</v>
      </c>
      <c r="BN200" s="121">
        <f t="shared" ca="1" si="37"/>
        <v>4039792.8564966805</v>
      </c>
      <c r="BO200" s="121">
        <f t="shared" si="37"/>
        <v>4673615</v>
      </c>
      <c r="BP200" s="121">
        <f t="shared" ca="1" si="37"/>
        <v>27150559.35931918</v>
      </c>
      <c r="BQ200" s="121">
        <f t="shared" si="37"/>
        <v>7699097</v>
      </c>
      <c r="BR200" s="121">
        <f t="shared" ca="1" si="37"/>
        <v>159883697.57649666</v>
      </c>
      <c r="BS200" s="121">
        <f t="shared" si="37"/>
        <v>14335953</v>
      </c>
      <c r="BT200" s="121">
        <f t="shared" ca="1" si="37"/>
        <v>-1528671.4764966806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2000-05-05T17:28:04Z</cp:lastPrinted>
  <dcterms:created xsi:type="dcterms:W3CDTF">1998-11-04T14:40:39Z</dcterms:created>
  <dcterms:modified xsi:type="dcterms:W3CDTF">2023-09-10T11:58:30Z</dcterms:modified>
</cp:coreProperties>
</file>