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8832" windowHeight="4680" tabRatio="892" firstSheet="3" activeTab="6"/>
  </bookViews>
  <sheets>
    <sheet name="ASSUM 1" sheetId="2" r:id="rId1"/>
    <sheet name="ASSUM 2" sheetId="3" r:id="rId2"/>
    <sheet name="Stratus Report" sheetId="6" r:id="rId3"/>
    <sheet name="Tariff" sheetId="7" r:id="rId4"/>
    <sheet name="Spot" sheetId="8" r:id="rId5"/>
    <sheet name="FUEL" sheetId="9" r:id="rId6"/>
    <sheet name="OandM" sheetId="10" r:id="rId7"/>
    <sheet name="Co IS" sheetId="11" r:id="rId8"/>
    <sheet name="CSHFLO" sheetId="12" r:id="rId9"/>
    <sheet name="144A FCF" sheetId="30" r:id="rId10"/>
    <sheet name="ENA-144A Comparison" sheetId="25" r:id="rId11"/>
    <sheet name="Fees" sheetId="33" r:id="rId12"/>
    <sheet name="ENA Assumptions" sheetId="24" r:id="rId13"/>
    <sheet name="IS-ENA" sheetId="26" r:id="rId14"/>
    <sheet name="ENE FCF" sheetId="29" r:id="rId15"/>
    <sheet name="Collateral Value" sheetId="31" r:id="rId16"/>
    <sheet name="CSHFLO-ENA" sheetId="27" r:id="rId17"/>
    <sheet name="CSHFLO w ePUP" sheetId="32" r:id="rId18"/>
    <sheet name="TAXES-ENA" sheetId="28" r:id="rId19"/>
    <sheet name="ENA Debt" sheetId="21" r:id="rId20"/>
    <sheet name="ENA IDC" sheetId="22" r:id="rId21"/>
    <sheet name="144A DEBT" sheetId="15" r:id="rId22"/>
    <sheet name="144A Draw" sheetId="16" r:id="rId23"/>
    <sheet name="144A IDC" sheetId="17" r:id="rId24"/>
    <sheet name="BKDEPR 144A" sheetId="18" r:id="rId25"/>
    <sheet name="TAXDEPR 144A" sheetId="19" r:id="rId26"/>
    <sheet name="TAXES" sheetId="20" r:id="rId27"/>
  </sheets>
  <definedNames>
    <definedName name="_1_144A_DRAW">'144A Draw'!$C$8:$V$59</definedName>
    <definedName name="_2_144A_DS">'144A DEBT'!$C$17:$S$36</definedName>
    <definedName name="_3_144A_MORT">'ASSUM 1'!$K$7:$N$24</definedName>
    <definedName name="_4_15_YR_MACRS">'ASSUM 1'!$K$7:$M$23</definedName>
    <definedName name="_5_50_50">#REF!</definedName>
    <definedName name="AMORTIZATION">'ASSUM 1'!#REF!</definedName>
    <definedName name="_ASS1">'ASSUM 1'!$A$1:$T$67</definedName>
    <definedName name="_ASS2">'ASSUM 2'!$A$2:$E$69</definedName>
    <definedName name="BKDEP">#REF!</definedName>
    <definedName name="CASHFLOW" localSheetId="17">'CSHFLO w ePUP'!$C$9:$V$62</definedName>
    <definedName name="CASHFLOW" localSheetId="16">'CSHFLO-ENA'!$C$9:$V$58</definedName>
    <definedName name="CASHFLOW">CSHFLO!$C$9:$V$58</definedName>
    <definedName name="CFLOW" localSheetId="17">'CSHFLO w ePUP'!$A$1:$Q$62</definedName>
    <definedName name="CFLOW" localSheetId="16">'CSHFLO-ENA'!$A$1:$Q$58</definedName>
    <definedName name="CFLOW">CSHFLO!$A$1:$Q$58</definedName>
    <definedName name="_6CO_IS" localSheetId="13">'IS-ENA'!$C$9:$V$39</definedName>
    <definedName name="_7CO_IS">'Co IS'!$C$9:$V$39</definedName>
    <definedName name="COVER">#REF!</definedName>
    <definedName name="_8DEBT_1">#REF!</definedName>
    <definedName name="_9DEBT_2">#REF!</definedName>
    <definedName name="DEBTSERVICE">#REF!</definedName>
    <definedName name="DRAW">#REF!</definedName>
    <definedName name="_10DRAW_144A">'144A IDC'!$C$7:$T$133</definedName>
    <definedName name="ECO">#REF!</definedName>
    <definedName name="FUEL">FUEL!$C$10:$V$91</definedName>
    <definedName name="_IDC1">#REF!</definedName>
    <definedName name="IDC144A">'144A IDC'!$A$1:$S$81</definedName>
    <definedName name="_IDC2">#REF!</definedName>
    <definedName name="_IDC3">#REF!</definedName>
    <definedName name="_IDC4">#REF!</definedName>
    <definedName name="INC" localSheetId="13">'IS-ENA'!$A$1:$Q$38</definedName>
    <definedName name="INC">'Co IS'!$A$1:$Q$38</definedName>
    <definedName name="INPUTS">'ASSUM 1'!$A$1:$S$58</definedName>
    <definedName name="_11INPUTS_2">'ASSUM 2'!$A$2:$E$65</definedName>
    <definedName name="IRR">#REF!</definedName>
    <definedName name="_12O_M">OandM!$C$9:$V$40</definedName>
    <definedName name="OM">OandM!$A$1:$Q$35</definedName>
    <definedName name="PIRR">#REF!</definedName>
    <definedName name="PNPV">#REF!</definedName>
    <definedName name="_xlnm.Print_Area" localSheetId="21">'144A DEBT'!$A$8:$S$53</definedName>
    <definedName name="_xlnm.Print_Area" localSheetId="22">'144A Draw'!$A$1:$R$62</definedName>
    <definedName name="_xlnm.Print_Area" localSheetId="23">'144A IDC'!$A$1:$T$133</definedName>
    <definedName name="_xlnm.Print_Area" localSheetId="0">'ASSUM 1'!$A$1:$T$51</definedName>
    <definedName name="_xlnm.Print_Area" localSheetId="1">'ASSUM 2'!$A$1:$F$66</definedName>
    <definedName name="_xlnm.Print_Area" localSheetId="24">'BKDEPR 144A'!$A$1:$Y$70</definedName>
    <definedName name="_xlnm.Print_Area" localSheetId="7">'Co IS'!$A$1:$V$40</definedName>
    <definedName name="_xlnm.Print_Area" localSheetId="15">'Collateral Value'!$A$1:$X$29</definedName>
    <definedName name="_xlnm.Print_Area" localSheetId="8">CSHFLO!$A$1:$W$62</definedName>
    <definedName name="_xlnm.Print_Area" localSheetId="17">'CSHFLO w ePUP'!$A$1:$W$67</definedName>
    <definedName name="_xlnm.Print_Area" localSheetId="16">'CSHFLO-ENA'!$A$1:$W$63</definedName>
    <definedName name="_xlnm.Print_Area" localSheetId="19">'ENA Debt'!$A$1:$W$53</definedName>
    <definedName name="_xlnm.Print_Area" localSheetId="20">'ENA IDC'!$A$1:$T$133</definedName>
    <definedName name="_xlnm.Print_Area" localSheetId="10">'ENA-144A Comparison'!$A$1:$D$10</definedName>
    <definedName name="_xlnm.Print_Area" localSheetId="11">Fees!$H$27:$S$53</definedName>
    <definedName name="_xlnm.Print_Area" localSheetId="5">FUEL!$A$1:$V$93</definedName>
    <definedName name="_xlnm.Print_Area" localSheetId="13">'IS-ENA'!$A$1:$V$40</definedName>
    <definedName name="_xlnm.Print_Area" localSheetId="6">OandM!$A$1:$V$37</definedName>
    <definedName name="_xlnm.Print_Area" localSheetId="4">Spot!$C$7:$V$59</definedName>
    <definedName name="_xlnm.Print_Area" localSheetId="2">'Stratus Report'!$A$1:$V$199</definedName>
    <definedName name="_xlnm.Print_Area" localSheetId="3">Tariff!$C$9:$W$43</definedName>
    <definedName name="_xlnm.Print_Area" localSheetId="25">'TAXDEPR 144A'!$A$1:$Y$70</definedName>
    <definedName name="_xlnm.Print_Area" localSheetId="26">TAXES!$A$1:$V$35</definedName>
    <definedName name="_xlnm.Print_Area" localSheetId="18">'TAXES-ENA'!$A$1:$W$35</definedName>
    <definedName name="_xlnm.Print_Titles" localSheetId="21">'144A DEBT'!$A:$B,'144A DEBT'!$1:$7</definedName>
    <definedName name="_xlnm.Print_Titles" localSheetId="9">'144A FCF'!$A:$C</definedName>
    <definedName name="_xlnm.Print_Titles" localSheetId="7">'Co IS'!$A:$B,'Co IS'!$1:$8</definedName>
    <definedName name="_xlnm.Print_Titles" localSheetId="8">CSHFLO!$A:$B,CSHFLO!$1:$8</definedName>
    <definedName name="_xlnm.Print_Titles" localSheetId="17">'CSHFLO w ePUP'!$A:$B,'CSHFLO w ePUP'!$1:$8</definedName>
    <definedName name="_xlnm.Print_Titles" localSheetId="16">'CSHFLO-ENA'!$A:$B,'CSHFLO-ENA'!$1:$8</definedName>
    <definedName name="_xlnm.Print_Titles" localSheetId="14">'ENE FCF'!$A:$C</definedName>
    <definedName name="_xlnm.Print_Titles" localSheetId="5">FUEL!$A:$B,FUEL!$1:$9</definedName>
    <definedName name="_xlnm.Print_Titles" localSheetId="13">'IS-ENA'!$A:$B,'IS-ENA'!$1:$8</definedName>
    <definedName name="_xlnm.Print_Titles" localSheetId="6">OandM!$A:$B,OandM!$1:$8</definedName>
    <definedName name="_xlnm.Print_Titles" localSheetId="4">Spot!$A:$B,Spot!$1:$6</definedName>
    <definedName name="_xlnm.Print_Titles" localSheetId="2">'Stratus Report'!$1:$10,'Stratus Report'!$A:$B</definedName>
    <definedName name="_xlnm.Print_Titles" localSheetId="3">Tariff!$A:$B,Tariff!$1:$8</definedName>
    <definedName name="_xlnm.Print_Titles" localSheetId="26">TAXES!$A:$B,TAXES!$1:$8</definedName>
    <definedName name="_xlnm.Print_Titles" localSheetId="18">'TAXES-ENA'!$A:$B,'TAXES-ENA'!$1:$8</definedName>
    <definedName name="SPOT">Spot!$C$6:$V$57</definedName>
    <definedName name="STRATUS">'Stratus Report'!$B$5:$U$73</definedName>
    <definedName name="SUMMARY">#REF!</definedName>
    <definedName name="_TAR1">Tariff!$A$1:$Q$36</definedName>
    <definedName name="TARIFF">Tariff!$C$9:$V$42</definedName>
    <definedName name="TAX" localSheetId="18">'TAXES-ENA'!$A$1:$Q$34</definedName>
    <definedName name="TAX">TAXES!$A$1:$Q$34</definedName>
    <definedName name="TAXES" localSheetId="18">'TAXES-ENA'!$C$9:$V$34</definedName>
    <definedName name="TAXES">TAXES!$C$9:$V$34</definedName>
    <definedName name="_XX1">'ASSUM 1'!$N$45:$N$45</definedName>
  </definedNames>
  <calcPr calcId="0" calcMode="manual" fullCalcOnLoad="1" iterate="1"/>
</workbook>
</file>

<file path=xl/calcChain.xml><?xml version="1.0" encoding="utf-8"?>
<calcChain xmlns="http://schemas.openxmlformats.org/spreadsheetml/2006/main">
  <c r="C5" i="15" l="1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C10" i="15"/>
  <c r="B11" i="15"/>
  <c r="B12" i="15"/>
  <c r="B13" i="15"/>
  <c r="B14" i="15"/>
  <c r="B15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B53" i="15"/>
  <c r="A3" i="16"/>
  <c r="B3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A8" i="16"/>
  <c r="A9" i="16"/>
  <c r="B9" i="16"/>
  <c r="L9" i="16"/>
  <c r="N9" i="16"/>
  <c r="Z9" i="16"/>
  <c r="A10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Z10" i="16"/>
  <c r="A11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Z11" i="16"/>
  <c r="A12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Z12" i="16"/>
  <c r="A13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Z13" i="16"/>
  <c r="A14" i="16"/>
  <c r="B14" i="16"/>
  <c r="A16" i="16"/>
  <c r="A17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Z17" i="16"/>
  <c r="A18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Z18" i="16"/>
  <c r="A19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Z19" i="16"/>
  <c r="A20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Z20" i="16"/>
  <c r="A21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Z21" i="16"/>
  <c r="A22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Z22" i="16"/>
  <c r="A23" i="16"/>
  <c r="B23" i="16"/>
  <c r="A25" i="16"/>
  <c r="A26" i="16"/>
  <c r="B26" i="16"/>
  <c r="Z26" i="16"/>
  <c r="A27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Z27" i="16"/>
  <c r="A28" i="16"/>
  <c r="B28" i="16"/>
  <c r="Z28" i="16"/>
  <c r="A29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Z29" i="16"/>
  <c r="A30" i="16"/>
  <c r="B30" i="16"/>
  <c r="A32" i="16"/>
  <c r="A33" i="16"/>
  <c r="B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Z33" i="16"/>
  <c r="A34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Z34" i="16"/>
  <c r="A35" i="16"/>
  <c r="B35" i="16"/>
  <c r="Z35" i="16"/>
  <c r="A36" i="16"/>
  <c r="B36" i="16"/>
  <c r="Z36" i="16"/>
  <c r="A37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Z37" i="16"/>
  <c r="A38" i="16"/>
  <c r="B38" i="16"/>
  <c r="Z38" i="16"/>
  <c r="A39" i="16"/>
  <c r="B39" i="16"/>
  <c r="Z39" i="16"/>
  <c r="A40" i="16"/>
  <c r="B40" i="16"/>
  <c r="Z40" i="16"/>
  <c r="A41" i="16"/>
  <c r="B41" i="16"/>
  <c r="Z41" i="16"/>
  <c r="A42" i="16"/>
  <c r="B42" i="16"/>
  <c r="Z42" i="16"/>
  <c r="A43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Z43" i="16"/>
  <c r="A44" i="16"/>
  <c r="B44" i="16"/>
  <c r="D44" i="16"/>
  <c r="E44" i="16"/>
  <c r="F44" i="16"/>
  <c r="G44" i="16"/>
  <c r="J44" i="16"/>
  <c r="K44" i="16"/>
  <c r="L44" i="16"/>
  <c r="M44" i="16"/>
  <c r="N44" i="16"/>
  <c r="O44" i="16"/>
  <c r="P44" i="16"/>
  <c r="Q44" i="16"/>
  <c r="R44" i="16"/>
  <c r="Z44" i="16"/>
  <c r="A45" i="16"/>
  <c r="B45" i="16"/>
  <c r="Z45" i="16"/>
  <c r="A46" i="16"/>
  <c r="B46" i="16"/>
  <c r="Z46" i="16"/>
  <c r="A47" i="16"/>
  <c r="B47" i="16"/>
  <c r="Z47" i="16"/>
  <c r="A48" i="16"/>
  <c r="B48" i="16"/>
  <c r="Z48" i="16"/>
  <c r="A49" i="16"/>
  <c r="B49" i="16"/>
  <c r="Z49" i="16"/>
  <c r="A50" i="16"/>
  <c r="B50" i="16"/>
  <c r="Z50" i="16"/>
  <c r="A51" i="16"/>
  <c r="B51" i="16"/>
  <c r="Z51" i="16"/>
  <c r="A52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Z52" i="16"/>
  <c r="A53" i="16"/>
  <c r="B53" i="16"/>
  <c r="A55" i="16"/>
  <c r="A56" i="16"/>
  <c r="B56" i="16"/>
  <c r="Z56" i="16"/>
  <c r="A57" i="16"/>
  <c r="B57" i="16"/>
  <c r="O57" i="16"/>
  <c r="P57" i="16"/>
  <c r="Q57" i="16"/>
  <c r="R57" i="16"/>
  <c r="Z57" i="16"/>
  <c r="A58" i="16"/>
  <c r="B58" i="16"/>
  <c r="O58" i="16"/>
  <c r="P58" i="16"/>
  <c r="Q58" i="16"/>
  <c r="R58" i="16"/>
  <c r="Z58" i="16"/>
  <c r="A59" i="16"/>
  <c r="B59" i="16"/>
  <c r="O59" i="16"/>
  <c r="P59" i="16"/>
  <c r="Q59" i="16"/>
  <c r="R59" i="16"/>
  <c r="Z59" i="16"/>
  <c r="A60" i="16"/>
  <c r="B60" i="16"/>
  <c r="B62" i="16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O4" i="30"/>
  <c r="R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AJ5" i="30"/>
  <c r="AK5" i="30"/>
  <c r="AL5" i="30"/>
  <c r="AM5" i="30"/>
  <c r="B7" i="30"/>
  <c r="C7" i="30"/>
  <c r="B8" i="30"/>
  <c r="A1" i="17"/>
  <c r="C5" i="17"/>
  <c r="A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A11" i="17"/>
  <c r="A12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AA12" i="17"/>
  <c r="A13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AA13" i="17"/>
  <c r="A14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AA14" i="17"/>
  <c r="A15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AA15" i="17"/>
  <c r="A16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AA16" i="17"/>
  <c r="A17" i="17"/>
  <c r="C17" i="17"/>
  <c r="A19" i="17"/>
  <c r="A20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AA20" i="17"/>
  <c r="A21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AA21" i="17"/>
  <c r="A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AA22" i="17"/>
  <c r="A23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AA23" i="17"/>
  <c r="A24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AA24" i="17"/>
  <c r="A25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AA25" i="17"/>
  <c r="A26" i="17"/>
  <c r="C26" i="17"/>
  <c r="A28" i="17"/>
  <c r="A29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AA29" i="17"/>
  <c r="A30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AA30" i="17"/>
  <c r="A31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AA31" i="17"/>
  <c r="A32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AA32" i="17"/>
  <c r="A33" i="17"/>
  <c r="C33" i="17"/>
  <c r="A35" i="17"/>
  <c r="A36" i="17"/>
  <c r="C36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AA36" i="17"/>
  <c r="A37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AA37" i="17"/>
  <c r="A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AA38" i="17"/>
  <c r="A39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AA39" i="17"/>
  <c r="A40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AA40" i="17"/>
  <c r="A41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AA41" i="17"/>
  <c r="A42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AA42" i="17"/>
  <c r="A43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AA43" i="17"/>
  <c r="A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AA44" i="17"/>
  <c r="A45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AA45" i="17"/>
  <c r="A46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AA46" i="17"/>
  <c r="A47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AA47" i="17"/>
  <c r="A48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AA48" i="17"/>
  <c r="A49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AA49" i="17"/>
  <c r="A50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AA50" i="17"/>
  <c r="A51" i="17"/>
  <c r="C51" i="17"/>
  <c r="D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AA51" i="17"/>
  <c r="A52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AA52" i="17"/>
  <c r="A53" i="17"/>
  <c r="C53" i="17"/>
  <c r="D53" i="17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AA53" i="17"/>
  <c r="A54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AA54" i="17"/>
  <c r="A55" i="17"/>
  <c r="C55" i="17"/>
  <c r="D55" i="17"/>
  <c r="E55" i="17"/>
  <c r="F55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AA55" i="17"/>
  <c r="A56" i="17"/>
  <c r="C56" i="17"/>
  <c r="A58" i="17"/>
  <c r="A59" i="17"/>
  <c r="C59" i="17"/>
  <c r="D59" i="17"/>
  <c r="E59" i="17"/>
  <c r="F59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AA59" i="17"/>
  <c r="A60" i="17"/>
  <c r="C60" i="17"/>
  <c r="D60" i="17"/>
  <c r="E60" i="17"/>
  <c r="F60" i="17"/>
  <c r="G60" i="17"/>
  <c r="H60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AA60" i="17"/>
  <c r="A61" i="17"/>
  <c r="C61" i="17"/>
  <c r="D61" i="17"/>
  <c r="E61" i="17"/>
  <c r="F61" i="17"/>
  <c r="G61" i="17"/>
  <c r="H61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AA61" i="17"/>
  <c r="A62" i="17"/>
  <c r="C62" i="17"/>
  <c r="D62" i="17"/>
  <c r="E62" i="17"/>
  <c r="F62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AA62" i="17"/>
  <c r="A63" i="17"/>
  <c r="C63" i="17"/>
  <c r="D65" i="17"/>
  <c r="E65" i="17"/>
  <c r="F65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C68" i="17"/>
  <c r="D68" i="17"/>
  <c r="E68" i="17"/>
  <c r="F68" i="17"/>
  <c r="G68" i="17"/>
  <c r="H68" i="17"/>
  <c r="I68" i="17"/>
  <c r="J68" i="17"/>
  <c r="K68" i="17"/>
  <c r="L68" i="17"/>
  <c r="M68" i="17"/>
  <c r="N68" i="17"/>
  <c r="O68" i="17"/>
  <c r="P68" i="17"/>
  <c r="Q68" i="17"/>
  <c r="R68" i="17"/>
  <c r="S68" i="17"/>
  <c r="T68" i="17"/>
  <c r="U68" i="17"/>
  <c r="V68" i="17"/>
  <c r="W68" i="17"/>
  <c r="X68" i="17"/>
  <c r="Y68" i="17"/>
  <c r="C69" i="17"/>
  <c r="D69" i="17"/>
  <c r="E69" i="17"/>
  <c r="F69" i="17"/>
  <c r="G69" i="17"/>
  <c r="H69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C70" i="17"/>
  <c r="D70" i="17"/>
  <c r="E70" i="17"/>
  <c r="F70" i="17"/>
  <c r="G70" i="17"/>
  <c r="H70" i="17"/>
  <c r="I70" i="17"/>
  <c r="J70" i="17"/>
  <c r="K70" i="17"/>
  <c r="L70" i="17"/>
  <c r="M70" i="17"/>
  <c r="N70" i="17"/>
  <c r="O70" i="17"/>
  <c r="P70" i="17"/>
  <c r="Q70" i="17"/>
  <c r="R70" i="17"/>
  <c r="S70" i="17"/>
  <c r="T70" i="17"/>
  <c r="U70" i="17"/>
  <c r="V70" i="17"/>
  <c r="W70" i="17"/>
  <c r="X70" i="17"/>
  <c r="Y70" i="17"/>
  <c r="C73" i="17"/>
  <c r="D73" i="17"/>
  <c r="E73" i="17"/>
  <c r="F73" i="17"/>
  <c r="G73" i="17"/>
  <c r="H73" i="17"/>
  <c r="I73" i="17"/>
  <c r="J73" i="17"/>
  <c r="K73" i="17"/>
  <c r="L73" i="17"/>
  <c r="M73" i="17"/>
  <c r="N73" i="17"/>
  <c r="O73" i="17"/>
  <c r="P73" i="17"/>
  <c r="Q73" i="17"/>
  <c r="R73" i="17"/>
  <c r="S73" i="17"/>
  <c r="T73" i="17"/>
  <c r="U73" i="17"/>
  <c r="V73" i="17"/>
  <c r="W73" i="17"/>
  <c r="X73" i="17"/>
  <c r="Y73" i="17"/>
  <c r="C77" i="17"/>
  <c r="E77" i="17"/>
  <c r="F77" i="17"/>
  <c r="G77" i="17"/>
  <c r="H77" i="17"/>
  <c r="I77" i="17"/>
  <c r="J77" i="17"/>
  <c r="K77" i="17"/>
  <c r="L77" i="17"/>
  <c r="C78" i="17"/>
  <c r="D78" i="17"/>
  <c r="E78" i="17"/>
  <c r="F78" i="17"/>
  <c r="G78" i="17"/>
  <c r="H78" i="17"/>
  <c r="I78" i="17"/>
  <c r="J78" i="17"/>
  <c r="K78" i="17"/>
  <c r="L78" i="17"/>
  <c r="M78" i="17"/>
  <c r="N78" i="17"/>
  <c r="O78" i="17"/>
  <c r="P78" i="17"/>
  <c r="Q78" i="17"/>
  <c r="R78" i="17"/>
  <c r="S78" i="17"/>
  <c r="T78" i="17"/>
  <c r="U78" i="17"/>
  <c r="V78" i="17"/>
  <c r="W78" i="17"/>
  <c r="X78" i="17"/>
  <c r="Y78" i="17"/>
  <c r="C79" i="17"/>
  <c r="D79" i="17"/>
  <c r="E79" i="17"/>
  <c r="F79" i="17"/>
  <c r="G79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T79" i="17"/>
  <c r="U79" i="17"/>
  <c r="V79" i="17"/>
  <c r="W79" i="17"/>
  <c r="X79" i="17"/>
  <c r="Y79" i="17"/>
  <c r="A83" i="17"/>
  <c r="D91" i="17"/>
  <c r="D92" i="17"/>
  <c r="D93" i="17"/>
  <c r="D94" i="17"/>
  <c r="D95" i="17"/>
  <c r="D96" i="17"/>
  <c r="D99" i="17"/>
  <c r="E99" i="17"/>
  <c r="F99" i="17"/>
  <c r="G99" i="17"/>
  <c r="H99" i="17"/>
  <c r="I99" i="17"/>
  <c r="J99" i="17"/>
  <c r="K99" i="17"/>
  <c r="L99" i="17"/>
  <c r="M99" i="17"/>
  <c r="N99" i="17"/>
  <c r="O99" i="17"/>
  <c r="P99" i="17"/>
  <c r="Q99" i="17"/>
  <c r="R99" i="17"/>
  <c r="S99" i="17"/>
  <c r="T99" i="17"/>
  <c r="U99" i="17"/>
  <c r="V99" i="17"/>
  <c r="W99" i="17"/>
  <c r="X99" i="17"/>
  <c r="Y99" i="17"/>
  <c r="A100" i="17"/>
  <c r="D101" i="17"/>
  <c r="E101" i="17"/>
  <c r="F101" i="17"/>
  <c r="G101" i="17"/>
  <c r="H101" i="17"/>
  <c r="I101" i="17"/>
  <c r="J101" i="17"/>
  <c r="K101" i="17"/>
  <c r="L101" i="17"/>
  <c r="M101" i="17"/>
  <c r="N101" i="17"/>
  <c r="O101" i="17"/>
  <c r="P101" i="17"/>
  <c r="Q101" i="17"/>
  <c r="R101" i="17"/>
  <c r="S101" i="17"/>
  <c r="T101" i="17"/>
  <c r="U101" i="17"/>
  <c r="V101" i="17"/>
  <c r="W101" i="17"/>
  <c r="X101" i="17"/>
  <c r="Y101" i="17"/>
  <c r="D102" i="17"/>
  <c r="E102" i="17"/>
  <c r="F102" i="17"/>
  <c r="G102" i="17"/>
  <c r="H102" i="17"/>
  <c r="I102" i="17"/>
  <c r="J102" i="17"/>
  <c r="K102" i="17"/>
  <c r="L102" i="17"/>
  <c r="M102" i="17"/>
  <c r="N102" i="17"/>
  <c r="O102" i="17"/>
  <c r="P102" i="17"/>
  <c r="Q102" i="17"/>
  <c r="R102" i="17"/>
  <c r="S102" i="17"/>
  <c r="T102" i="17"/>
  <c r="U102" i="17"/>
  <c r="V102" i="17"/>
  <c r="W102" i="17"/>
  <c r="X102" i="17"/>
  <c r="Y102" i="17"/>
  <c r="D103" i="17"/>
  <c r="E103" i="17"/>
  <c r="F103" i="17"/>
  <c r="G103" i="17"/>
  <c r="H103" i="17"/>
  <c r="I103" i="17"/>
  <c r="J103" i="17"/>
  <c r="K103" i="17"/>
  <c r="L103" i="17"/>
  <c r="M103" i="17"/>
  <c r="N103" i="17"/>
  <c r="O103" i="17"/>
  <c r="P103" i="17"/>
  <c r="Q103" i="17"/>
  <c r="R103" i="17"/>
  <c r="S103" i="17"/>
  <c r="T103" i="17"/>
  <c r="U103" i="17"/>
  <c r="V103" i="17"/>
  <c r="W103" i="17"/>
  <c r="X103" i="17"/>
  <c r="Y103" i="17"/>
  <c r="D104" i="17"/>
  <c r="E104" i="17"/>
  <c r="F104" i="17"/>
  <c r="G104" i="17"/>
  <c r="H104" i="17"/>
  <c r="I104" i="17"/>
  <c r="J104" i="17"/>
  <c r="K104" i="17"/>
  <c r="L104" i="17"/>
  <c r="M104" i="17"/>
  <c r="N104" i="17"/>
  <c r="O104" i="17"/>
  <c r="P104" i="17"/>
  <c r="Q104" i="17"/>
  <c r="R104" i="17"/>
  <c r="S104" i="17"/>
  <c r="T104" i="17"/>
  <c r="U104" i="17"/>
  <c r="V104" i="17"/>
  <c r="W104" i="17"/>
  <c r="X104" i="17"/>
  <c r="Y104" i="17"/>
  <c r="D105" i="17"/>
  <c r="E105" i="17"/>
  <c r="F105" i="17"/>
  <c r="G105" i="17"/>
  <c r="H105" i="17"/>
  <c r="I105" i="17"/>
  <c r="J105" i="17"/>
  <c r="K105" i="17"/>
  <c r="L105" i="17"/>
  <c r="M105" i="17"/>
  <c r="N105" i="17"/>
  <c r="O105" i="17"/>
  <c r="P105" i="17"/>
  <c r="Q105" i="17"/>
  <c r="R105" i="17"/>
  <c r="S105" i="17"/>
  <c r="T105" i="17"/>
  <c r="U105" i="17"/>
  <c r="V105" i="17"/>
  <c r="W105" i="17"/>
  <c r="X105" i="17"/>
  <c r="Y105" i="17"/>
  <c r="D106" i="17"/>
  <c r="E106" i="17"/>
  <c r="F106" i="17"/>
  <c r="G106" i="17"/>
  <c r="H106" i="17"/>
  <c r="I106" i="17"/>
  <c r="J106" i="17"/>
  <c r="K106" i="17"/>
  <c r="L106" i="17"/>
  <c r="M106" i="17"/>
  <c r="N106" i="17"/>
  <c r="O106" i="17"/>
  <c r="P106" i="17"/>
  <c r="Q106" i="17"/>
  <c r="R106" i="17"/>
  <c r="S106" i="17"/>
  <c r="T106" i="17"/>
  <c r="U106" i="17"/>
  <c r="V106" i="17"/>
  <c r="W106" i="17"/>
  <c r="X106" i="17"/>
  <c r="Y106" i="17"/>
  <c r="C107" i="17"/>
  <c r="D107" i="17"/>
  <c r="E107" i="17"/>
  <c r="F107" i="17"/>
  <c r="G107" i="17"/>
  <c r="H107" i="17"/>
  <c r="I107" i="17"/>
  <c r="J107" i="17"/>
  <c r="K107" i="17"/>
  <c r="L107" i="17"/>
  <c r="M107" i="17"/>
  <c r="N107" i="17"/>
  <c r="O107" i="17"/>
  <c r="P107" i="17"/>
  <c r="Q107" i="17"/>
  <c r="R107" i="17"/>
  <c r="S107" i="17"/>
  <c r="T107" i="17"/>
  <c r="U107" i="17"/>
  <c r="V107" i="17"/>
  <c r="W107" i="17"/>
  <c r="X107" i="17"/>
  <c r="Y107" i="17"/>
  <c r="C109" i="17"/>
  <c r="D109" i="17"/>
  <c r="D111" i="17"/>
  <c r="E111" i="17"/>
  <c r="F111" i="17"/>
  <c r="G111" i="17"/>
  <c r="H111" i="17"/>
  <c r="I111" i="17"/>
  <c r="J111" i="17"/>
  <c r="K111" i="17"/>
  <c r="L111" i="17"/>
  <c r="M111" i="17"/>
  <c r="N111" i="17"/>
  <c r="O111" i="17"/>
  <c r="P111" i="17"/>
  <c r="Q111" i="17"/>
  <c r="R111" i="17"/>
  <c r="S111" i="17"/>
  <c r="T111" i="17"/>
  <c r="U111" i="17"/>
  <c r="V111" i="17"/>
  <c r="W111" i="17"/>
  <c r="X111" i="17"/>
  <c r="Y111" i="17"/>
  <c r="D112" i="17"/>
  <c r="E112" i="17"/>
  <c r="F112" i="17"/>
  <c r="G112" i="17"/>
  <c r="H112" i="17"/>
  <c r="I112" i="17"/>
  <c r="J112" i="17"/>
  <c r="K112" i="17"/>
  <c r="L112" i="17"/>
  <c r="M112" i="17"/>
  <c r="N112" i="17"/>
  <c r="O112" i="17"/>
  <c r="P112" i="17"/>
  <c r="Q112" i="17"/>
  <c r="R112" i="17"/>
  <c r="S112" i="17"/>
  <c r="T112" i="17"/>
  <c r="U112" i="17"/>
  <c r="V112" i="17"/>
  <c r="W112" i="17"/>
  <c r="X112" i="17"/>
  <c r="Y112" i="17"/>
  <c r="D113" i="17"/>
  <c r="E113" i="17"/>
  <c r="F113" i="17"/>
  <c r="G113" i="17"/>
  <c r="H113" i="17"/>
  <c r="I113" i="17"/>
  <c r="J113" i="17"/>
  <c r="K113" i="17"/>
  <c r="L113" i="17"/>
  <c r="M113" i="17"/>
  <c r="N113" i="17"/>
  <c r="O113" i="17"/>
  <c r="P113" i="17"/>
  <c r="Q113" i="17"/>
  <c r="R113" i="17"/>
  <c r="S113" i="17"/>
  <c r="T113" i="17"/>
  <c r="U113" i="17"/>
  <c r="V113" i="17"/>
  <c r="W113" i="17"/>
  <c r="X113" i="17"/>
  <c r="Y113" i="17"/>
  <c r="D115" i="17"/>
  <c r="D116" i="17"/>
  <c r="C121" i="17"/>
  <c r="D121" i="17"/>
  <c r="E121" i="17"/>
  <c r="F121" i="17"/>
  <c r="G121" i="17"/>
  <c r="H121" i="17"/>
  <c r="I121" i="17"/>
  <c r="J121" i="17"/>
  <c r="K121" i="17"/>
  <c r="L121" i="17"/>
  <c r="M121" i="17"/>
  <c r="N121" i="17"/>
  <c r="O121" i="17"/>
  <c r="P121" i="17"/>
  <c r="Q121" i="17"/>
  <c r="R121" i="17"/>
  <c r="S121" i="17"/>
  <c r="T121" i="17"/>
  <c r="U121" i="17"/>
  <c r="V121" i="17"/>
  <c r="W121" i="17"/>
  <c r="X121" i="17"/>
  <c r="Y121" i="17"/>
  <c r="D122" i="17"/>
  <c r="E122" i="17"/>
  <c r="F122" i="17"/>
  <c r="G122" i="17"/>
  <c r="H122" i="17"/>
  <c r="I122" i="17"/>
  <c r="J122" i="17"/>
  <c r="K122" i="17"/>
  <c r="L122" i="17"/>
  <c r="M122" i="17"/>
  <c r="N122" i="17"/>
  <c r="O122" i="17"/>
  <c r="P122" i="17"/>
  <c r="Q122" i="17"/>
  <c r="R122" i="17"/>
  <c r="S122" i="17"/>
  <c r="T122" i="17"/>
  <c r="U122" i="17"/>
  <c r="V122" i="17"/>
  <c r="W122" i="17"/>
  <c r="X122" i="17"/>
  <c r="Y122" i="17"/>
  <c r="B124" i="17"/>
  <c r="C124" i="17"/>
  <c r="D124" i="17"/>
  <c r="E124" i="17"/>
  <c r="F124" i="17"/>
  <c r="G124" i="17"/>
  <c r="H124" i="17"/>
  <c r="I124" i="17"/>
  <c r="J124" i="17"/>
  <c r="K124" i="17"/>
  <c r="L124" i="17"/>
  <c r="M124" i="17"/>
  <c r="N124" i="17"/>
  <c r="O124" i="17"/>
  <c r="P124" i="17"/>
  <c r="Q124" i="17"/>
  <c r="R124" i="17"/>
  <c r="S124" i="17"/>
  <c r="T124" i="17"/>
  <c r="U124" i="17"/>
  <c r="V124" i="17"/>
  <c r="W124" i="17"/>
  <c r="X124" i="17"/>
  <c r="Y124" i="17"/>
  <c r="B125" i="17"/>
  <c r="C125" i="17"/>
  <c r="D125" i="17"/>
  <c r="E125" i="17"/>
  <c r="F125" i="17"/>
  <c r="G125" i="17"/>
  <c r="H125" i="17"/>
  <c r="I125" i="17"/>
  <c r="J125" i="17"/>
  <c r="K125" i="17"/>
  <c r="L125" i="17"/>
  <c r="M125" i="17"/>
  <c r="N125" i="17"/>
  <c r="O125" i="17"/>
  <c r="P125" i="17"/>
  <c r="Q125" i="17"/>
  <c r="R125" i="17"/>
  <c r="S125" i="17"/>
  <c r="T125" i="17"/>
  <c r="U125" i="17"/>
  <c r="V125" i="17"/>
  <c r="W125" i="17"/>
  <c r="X125" i="17"/>
  <c r="Y125" i="17"/>
  <c r="B126" i="17"/>
  <c r="C126" i="17"/>
  <c r="D126" i="17"/>
  <c r="E126" i="17"/>
  <c r="F126" i="17"/>
  <c r="G126" i="17"/>
  <c r="H126" i="17"/>
  <c r="I126" i="17"/>
  <c r="J126" i="17"/>
  <c r="K126" i="17"/>
  <c r="L126" i="17"/>
  <c r="M126" i="17"/>
  <c r="N126" i="17"/>
  <c r="O126" i="17"/>
  <c r="P126" i="17"/>
  <c r="Q126" i="17"/>
  <c r="R126" i="17"/>
  <c r="S126" i="17"/>
  <c r="T126" i="17"/>
  <c r="U126" i="17"/>
  <c r="V126" i="17"/>
  <c r="W126" i="17"/>
  <c r="X126" i="17"/>
  <c r="Y126" i="17"/>
  <c r="C127" i="17"/>
  <c r="D127" i="17"/>
  <c r="E127" i="17"/>
  <c r="F127" i="17"/>
  <c r="G127" i="17"/>
  <c r="H127" i="17"/>
  <c r="I127" i="17"/>
  <c r="J127" i="17"/>
  <c r="K127" i="17"/>
  <c r="L127" i="17"/>
  <c r="M127" i="17"/>
  <c r="N127" i="17"/>
  <c r="O127" i="17"/>
  <c r="P127" i="17"/>
  <c r="Q127" i="17"/>
  <c r="R127" i="17"/>
  <c r="S127" i="17"/>
  <c r="T127" i="17"/>
  <c r="U127" i="17"/>
  <c r="V127" i="17"/>
  <c r="W127" i="17"/>
  <c r="X127" i="17"/>
  <c r="Y127" i="17"/>
  <c r="B130" i="17"/>
  <c r="C130" i="17"/>
  <c r="D130" i="17"/>
  <c r="E130" i="17"/>
  <c r="F130" i="17"/>
  <c r="G130" i="17"/>
  <c r="H130" i="17"/>
  <c r="I130" i="17"/>
  <c r="J130" i="17"/>
  <c r="K130" i="17"/>
  <c r="L130" i="17"/>
  <c r="M130" i="17"/>
  <c r="N130" i="17"/>
  <c r="O130" i="17"/>
  <c r="P130" i="17"/>
  <c r="Q130" i="17"/>
  <c r="R130" i="17"/>
  <c r="S130" i="17"/>
  <c r="T130" i="17"/>
  <c r="U130" i="17"/>
  <c r="B131" i="17"/>
  <c r="C131" i="17"/>
  <c r="D131" i="17"/>
  <c r="E131" i="17"/>
  <c r="F131" i="17"/>
  <c r="G131" i="17"/>
  <c r="H131" i="17"/>
  <c r="I131" i="17"/>
  <c r="J131" i="17"/>
  <c r="K131" i="17"/>
  <c r="L131" i="17"/>
  <c r="M131" i="17"/>
  <c r="N131" i="17"/>
  <c r="O131" i="17"/>
  <c r="P131" i="17"/>
  <c r="Q131" i="17"/>
  <c r="R131" i="17"/>
  <c r="S131" i="17"/>
  <c r="T131" i="17"/>
  <c r="U131" i="17"/>
  <c r="B132" i="17"/>
  <c r="C132" i="17"/>
  <c r="D132" i="17"/>
  <c r="E132" i="17"/>
  <c r="F132" i="17"/>
  <c r="G132" i="17"/>
  <c r="H132" i="17"/>
  <c r="I132" i="17"/>
  <c r="J132" i="17"/>
  <c r="K132" i="17"/>
  <c r="L132" i="17"/>
  <c r="M132" i="17"/>
  <c r="N132" i="17"/>
  <c r="O132" i="17"/>
  <c r="P132" i="17"/>
  <c r="Q132" i="17"/>
  <c r="R132" i="17"/>
  <c r="S132" i="17"/>
  <c r="T132" i="17"/>
  <c r="U132" i="17"/>
  <c r="C133" i="17"/>
  <c r="D133" i="17"/>
  <c r="E133" i="17"/>
  <c r="F133" i="17"/>
  <c r="G133" i="17"/>
  <c r="H133" i="17"/>
  <c r="I133" i="17"/>
  <c r="J133" i="17"/>
  <c r="K133" i="17"/>
  <c r="L133" i="17"/>
  <c r="M133" i="17"/>
  <c r="N133" i="17"/>
  <c r="O133" i="17"/>
  <c r="P133" i="17"/>
  <c r="Q133" i="17"/>
  <c r="R133" i="17"/>
  <c r="S133" i="17"/>
  <c r="T133" i="17"/>
  <c r="U133" i="17"/>
  <c r="V133" i="17"/>
  <c r="W133" i="17"/>
  <c r="X133" i="17"/>
  <c r="Y133" i="17"/>
  <c r="GU1" i="2"/>
  <c r="B7" i="2"/>
  <c r="D7" i="2"/>
  <c r="K7" i="2"/>
  <c r="S7" i="2"/>
  <c r="C8" i="2"/>
  <c r="D8" i="2"/>
  <c r="K8" i="2"/>
  <c r="K9" i="2"/>
  <c r="H10" i="2"/>
  <c r="K10" i="2"/>
  <c r="D11" i="2"/>
  <c r="H11" i="2"/>
  <c r="I11" i="2"/>
  <c r="K11" i="2"/>
  <c r="D12" i="2"/>
  <c r="H12" i="2"/>
  <c r="I12" i="2"/>
  <c r="K12" i="2"/>
  <c r="H13" i="2"/>
  <c r="I13" i="2"/>
  <c r="K13" i="2"/>
  <c r="D14" i="2"/>
  <c r="H14" i="2"/>
  <c r="I14" i="2"/>
  <c r="K14" i="2"/>
  <c r="H15" i="2"/>
  <c r="I15" i="2"/>
  <c r="K15" i="2"/>
  <c r="K16" i="2"/>
  <c r="K17" i="2"/>
  <c r="K18" i="2"/>
  <c r="B19" i="2"/>
  <c r="C19" i="2"/>
  <c r="D19" i="2"/>
  <c r="I19" i="2"/>
  <c r="K19" i="2"/>
  <c r="S19" i="2"/>
  <c r="I20" i="2"/>
  <c r="K20" i="2"/>
  <c r="H21" i="2"/>
  <c r="I21" i="2"/>
  <c r="K21" i="2"/>
  <c r="K22" i="2"/>
  <c r="N22" i="2"/>
  <c r="B23" i="2"/>
  <c r="C23" i="2"/>
  <c r="D23" i="2"/>
  <c r="K23" i="2"/>
  <c r="B24" i="2"/>
  <c r="H24" i="2"/>
  <c r="H25" i="2"/>
  <c r="M25" i="2"/>
  <c r="N25" i="2"/>
  <c r="S26" i="2"/>
  <c r="B27" i="2"/>
  <c r="C27" i="2"/>
  <c r="D27" i="2"/>
  <c r="S27" i="2"/>
  <c r="D29" i="2"/>
  <c r="N29" i="2"/>
  <c r="Q29" i="2"/>
  <c r="R29" i="2"/>
  <c r="S29" i="2"/>
  <c r="N30" i="2"/>
  <c r="S30" i="2"/>
  <c r="I31" i="2"/>
  <c r="N31" i="2"/>
  <c r="I32" i="2"/>
  <c r="I33" i="2"/>
  <c r="D34" i="2"/>
  <c r="I34" i="2"/>
  <c r="I35" i="2"/>
  <c r="H36" i="2"/>
  <c r="I38" i="2"/>
  <c r="N39" i="2"/>
  <c r="S39" i="2"/>
  <c r="I40" i="2"/>
  <c r="S40" i="2"/>
  <c r="I41" i="2"/>
  <c r="S41" i="2"/>
  <c r="B42" i="2"/>
  <c r="C42" i="2"/>
  <c r="I42" i="2"/>
  <c r="S42" i="2"/>
  <c r="B43" i="2"/>
  <c r="C43" i="2"/>
  <c r="I43" i="2"/>
  <c r="L43" i="2"/>
  <c r="I44" i="2"/>
  <c r="L44" i="2"/>
  <c r="I45" i="2"/>
  <c r="I46" i="2"/>
  <c r="R46" i="2"/>
  <c r="I47" i="2"/>
  <c r="I48" i="2"/>
  <c r="I49" i="2"/>
  <c r="I50" i="2"/>
  <c r="L9" i="3"/>
  <c r="N9" i="3"/>
  <c r="Q9" i="3"/>
  <c r="L10" i="3"/>
  <c r="N10" i="3"/>
  <c r="Q10" i="3"/>
  <c r="T10" i="3"/>
  <c r="L11" i="3"/>
  <c r="N11" i="3"/>
  <c r="Q11" i="3"/>
  <c r="L12" i="3"/>
  <c r="N12" i="3"/>
  <c r="Q12" i="3"/>
  <c r="L13" i="3"/>
  <c r="N13" i="3"/>
  <c r="Q13" i="3"/>
  <c r="E14" i="3"/>
  <c r="L14" i="3"/>
  <c r="T14" i="3"/>
  <c r="L16" i="3"/>
  <c r="L17" i="3"/>
  <c r="N17" i="3"/>
  <c r="Q17" i="3"/>
  <c r="L18" i="3"/>
  <c r="N18" i="3"/>
  <c r="Q18" i="3"/>
  <c r="L19" i="3"/>
  <c r="N19" i="3"/>
  <c r="Q19" i="3"/>
  <c r="L20" i="3"/>
  <c r="N20" i="3"/>
  <c r="Q20" i="3"/>
  <c r="L21" i="3"/>
  <c r="N21" i="3"/>
  <c r="Q21" i="3"/>
  <c r="L22" i="3"/>
  <c r="N22" i="3"/>
  <c r="Q22" i="3"/>
  <c r="E23" i="3"/>
  <c r="L23" i="3"/>
  <c r="L25" i="3"/>
  <c r="L26" i="3"/>
  <c r="L27" i="3"/>
  <c r="N27" i="3"/>
  <c r="Q27" i="3"/>
  <c r="L28" i="3"/>
  <c r="N28" i="3"/>
  <c r="Q28" i="3"/>
  <c r="L29" i="3"/>
  <c r="N29" i="3"/>
  <c r="Q29" i="3"/>
  <c r="E30" i="3"/>
  <c r="L30" i="3"/>
  <c r="L32" i="3"/>
  <c r="L33" i="3"/>
  <c r="N33" i="3"/>
  <c r="Q33" i="3"/>
  <c r="E34" i="3"/>
  <c r="L34" i="3"/>
  <c r="N34" i="3"/>
  <c r="Q34" i="3"/>
  <c r="L35" i="3"/>
  <c r="N35" i="3"/>
  <c r="Q35" i="3"/>
  <c r="L36" i="3"/>
  <c r="N36" i="3"/>
  <c r="Q36" i="3"/>
  <c r="L37" i="3"/>
  <c r="N37" i="3"/>
  <c r="Q37" i="3"/>
  <c r="E38" i="3"/>
  <c r="L38" i="3"/>
  <c r="N38" i="3"/>
  <c r="Q38" i="3"/>
  <c r="E39" i="3"/>
  <c r="L39" i="3"/>
  <c r="N39" i="3"/>
  <c r="Q39" i="3"/>
  <c r="L40" i="3"/>
  <c r="N40" i="3"/>
  <c r="Q40" i="3"/>
  <c r="L41" i="3"/>
  <c r="N41" i="3"/>
  <c r="Q41" i="3"/>
  <c r="L42" i="3"/>
  <c r="N42" i="3"/>
  <c r="Q42" i="3"/>
  <c r="L43" i="3"/>
  <c r="N43" i="3"/>
  <c r="Q43" i="3"/>
  <c r="L44" i="3"/>
  <c r="N44" i="3"/>
  <c r="Q44" i="3"/>
  <c r="L45" i="3"/>
  <c r="N45" i="3"/>
  <c r="Q45" i="3"/>
  <c r="L46" i="3"/>
  <c r="N46" i="3"/>
  <c r="Q46" i="3"/>
  <c r="L47" i="3"/>
  <c r="L48" i="3"/>
  <c r="E49" i="3"/>
  <c r="L49" i="3"/>
  <c r="L50" i="3"/>
  <c r="N50" i="3"/>
  <c r="Q50" i="3"/>
  <c r="L51" i="3"/>
  <c r="N51" i="3"/>
  <c r="Q51" i="3"/>
  <c r="L52" i="3"/>
  <c r="N52" i="3"/>
  <c r="Q52" i="3"/>
  <c r="E53" i="3"/>
  <c r="L53" i="3"/>
  <c r="L55" i="3"/>
  <c r="A56" i="3"/>
  <c r="L56" i="3"/>
  <c r="N56" i="3"/>
  <c r="Q56" i="3"/>
  <c r="A57" i="3"/>
  <c r="D57" i="3"/>
  <c r="L57" i="3"/>
  <c r="N57" i="3"/>
  <c r="Q57" i="3"/>
  <c r="A58" i="3"/>
  <c r="D58" i="3"/>
  <c r="L58" i="3"/>
  <c r="N58" i="3"/>
  <c r="Q58" i="3"/>
  <c r="A59" i="3"/>
  <c r="L59" i="3"/>
  <c r="N59" i="3"/>
  <c r="Q59" i="3"/>
  <c r="E60" i="3"/>
  <c r="L60" i="3"/>
  <c r="E62" i="3"/>
  <c r="L62" i="3"/>
  <c r="N62" i="3"/>
  <c r="Q62" i="3"/>
  <c r="E64" i="3"/>
  <c r="A1" i="18"/>
  <c r="A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A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14" i="18"/>
  <c r="A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A15" i="18"/>
  <c r="A16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A16" i="18"/>
  <c r="A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A17" i="18"/>
  <c r="A18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A18" i="18"/>
  <c r="A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A19" i="18"/>
  <c r="A21" i="18"/>
  <c r="A22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A22" i="18"/>
  <c r="A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AA23" i="18"/>
  <c r="A24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A24" i="18"/>
  <c r="A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A25" i="18"/>
  <c r="A26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A26" i="18"/>
  <c r="A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AA27" i="18"/>
  <c r="A29" i="18"/>
  <c r="A30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A30" i="18"/>
  <c r="A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AA31" i="18"/>
  <c r="A32" i="18"/>
  <c r="C32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AA32" i="18"/>
  <c r="A33" i="18"/>
  <c r="C33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AA33" i="18"/>
  <c r="AA34" i="18"/>
  <c r="A35" i="18"/>
  <c r="A36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AA36" i="18"/>
  <c r="A37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A37" i="18"/>
  <c r="A38" i="18"/>
  <c r="C38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AA38" i="18"/>
  <c r="A39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A39" i="18"/>
  <c r="A40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AA40" i="18"/>
  <c r="A41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A41" i="18"/>
  <c r="A42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A42" i="18"/>
  <c r="A43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A43" i="18"/>
  <c r="A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A44" i="18"/>
  <c r="A45" i="18"/>
  <c r="C45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A45" i="18"/>
  <c r="A46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A46" i="18"/>
  <c r="A47" i="18"/>
  <c r="C47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A47" i="18"/>
  <c r="A48" i="18"/>
  <c r="C48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A48" i="18"/>
  <c r="A49" i="18"/>
  <c r="C49" i="18"/>
  <c r="D49" i="18"/>
  <c r="E49" i="18"/>
  <c r="F49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A49" i="18"/>
  <c r="A50" i="18"/>
  <c r="C50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A50" i="18"/>
  <c r="A51" i="18"/>
  <c r="C51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A51" i="18"/>
  <c r="A52" i="18"/>
  <c r="C52" i="18"/>
  <c r="D52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A52" i="18"/>
  <c r="A53" i="18"/>
  <c r="C53" i="18"/>
  <c r="D53" i="18"/>
  <c r="E53" i="18"/>
  <c r="F53" i="18"/>
  <c r="G53" i="18"/>
  <c r="H53" i="18"/>
  <c r="I53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A53" i="18"/>
  <c r="A54" i="18"/>
  <c r="C54" i="18"/>
  <c r="D54" i="18"/>
  <c r="E54" i="18"/>
  <c r="F54" i="18"/>
  <c r="G54" i="18"/>
  <c r="H54" i="18"/>
  <c r="I54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A54" i="18"/>
  <c r="A55" i="18"/>
  <c r="C55" i="18"/>
  <c r="D55" i="18"/>
  <c r="E55" i="18"/>
  <c r="F55" i="18"/>
  <c r="G55" i="18"/>
  <c r="H55" i="18"/>
  <c r="I55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A55" i="18"/>
  <c r="A57" i="18"/>
  <c r="A58" i="18"/>
  <c r="C58" i="18"/>
  <c r="D58" i="18"/>
  <c r="E58" i="18"/>
  <c r="F58" i="18"/>
  <c r="G58" i="18"/>
  <c r="H58" i="18"/>
  <c r="I58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A58" i="18"/>
  <c r="A59" i="18"/>
  <c r="C59" i="18"/>
  <c r="D59" i="18"/>
  <c r="E59" i="18"/>
  <c r="F59" i="18"/>
  <c r="G59" i="18"/>
  <c r="H59" i="18"/>
  <c r="I59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A59" i="18"/>
  <c r="A60" i="18"/>
  <c r="C60" i="18"/>
  <c r="D60" i="18"/>
  <c r="E60" i="18"/>
  <c r="F60" i="18"/>
  <c r="G60" i="18"/>
  <c r="H60" i="18"/>
  <c r="I60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A60" i="18"/>
  <c r="A61" i="18"/>
  <c r="C61" i="18"/>
  <c r="D61" i="18"/>
  <c r="E61" i="18"/>
  <c r="F61" i="18"/>
  <c r="G61" i="18"/>
  <c r="H61" i="18"/>
  <c r="I61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A61" i="18"/>
  <c r="A63" i="18"/>
  <c r="C63" i="18"/>
  <c r="D63" i="18"/>
  <c r="E63" i="18"/>
  <c r="F63" i="18"/>
  <c r="G63" i="18"/>
  <c r="H63" i="18"/>
  <c r="I63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A63" i="18"/>
  <c r="A66" i="18"/>
  <c r="A67" i="18"/>
  <c r="F67" i="18"/>
  <c r="G67" i="18"/>
  <c r="H67" i="18"/>
  <c r="I67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A69" i="18"/>
  <c r="F69" i="18"/>
  <c r="G69" i="18"/>
  <c r="H69" i="18"/>
  <c r="I69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A70" i="18"/>
  <c r="F70" i="18"/>
  <c r="G70" i="18"/>
  <c r="H70" i="18"/>
  <c r="I70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1" i="11"/>
  <c r="A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A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A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E12" i="31"/>
  <c r="E13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D17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D19" i="31"/>
  <c r="E19" i="31"/>
  <c r="F19" i="31"/>
  <c r="G19" i="31"/>
  <c r="H19" i="31"/>
  <c r="I19" i="31"/>
  <c r="J19" i="31"/>
  <c r="K19" i="31"/>
  <c r="L19" i="31"/>
  <c r="M19" i="31"/>
  <c r="N19" i="31"/>
  <c r="O19" i="31"/>
  <c r="P19" i="31"/>
  <c r="Q19" i="31"/>
  <c r="R19" i="31"/>
  <c r="S19" i="31"/>
  <c r="T19" i="31"/>
  <c r="U19" i="31"/>
  <c r="V19" i="31"/>
  <c r="W19" i="31"/>
  <c r="X19" i="31"/>
  <c r="D21" i="31"/>
  <c r="E21" i="3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D26" i="31"/>
  <c r="E26" i="31"/>
  <c r="F26" i="31"/>
  <c r="G26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T26" i="31"/>
  <c r="U26" i="31"/>
  <c r="V26" i="31"/>
  <c r="W26" i="31"/>
  <c r="X26" i="31"/>
  <c r="D27" i="31"/>
  <c r="E27" i="31"/>
  <c r="F27" i="31"/>
  <c r="G27" i="31"/>
  <c r="H27" i="31"/>
  <c r="I27" i="31"/>
  <c r="J27" i="31"/>
  <c r="K27" i="31"/>
  <c r="L27" i="31"/>
  <c r="M27" i="31"/>
  <c r="N27" i="31"/>
  <c r="O27" i="31"/>
  <c r="P27" i="31"/>
  <c r="Q27" i="31"/>
  <c r="R27" i="31"/>
  <c r="S27" i="31"/>
  <c r="T27" i="31"/>
  <c r="U27" i="31"/>
  <c r="V27" i="31"/>
  <c r="W27" i="31"/>
  <c r="X27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D32" i="31"/>
  <c r="E32" i="31"/>
  <c r="F32" i="31"/>
  <c r="G32" i="31"/>
  <c r="H32" i="31"/>
  <c r="I32" i="31"/>
  <c r="J32" i="31"/>
  <c r="K32" i="31"/>
  <c r="L32" i="31"/>
  <c r="M32" i="31"/>
  <c r="N32" i="31"/>
  <c r="O32" i="31"/>
  <c r="P32" i="31"/>
  <c r="Q32" i="31"/>
  <c r="R32" i="31"/>
  <c r="S32" i="31"/>
  <c r="T32" i="31"/>
  <c r="U32" i="31"/>
  <c r="V32" i="31"/>
  <c r="W32" i="31"/>
  <c r="X32" i="31"/>
  <c r="D34" i="31"/>
  <c r="E34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D38" i="31"/>
  <c r="E38" i="31"/>
  <c r="F38" i="31"/>
  <c r="G38" i="31"/>
  <c r="H38" i="31"/>
  <c r="I38" i="31"/>
  <c r="J38" i="31"/>
  <c r="K38" i="31"/>
  <c r="L38" i="31"/>
  <c r="M38" i="31"/>
  <c r="N38" i="31"/>
  <c r="O38" i="31"/>
  <c r="P38" i="31"/>
  <c r="Q38" i="31"/>
  <c r="R38" i="31"/>
  <c r="S38" i="31"/>
  <c r="T38" i="31"/>
  <c r="U38" i="31"/>
  <c r="V38" i="31"/>
  <c r="W38" i="31"/>
  <c r="X38" i="31"/>
  <c r="E40" i="31"/>
  <c r="F40" i="31"/>
  <c r="G40" i="31"/>
  <c r="H40" i="31"/>
  <c r="I40" i="31"/>
  <c r="J40" i="31"/>
  <c r="K40" i="31"/>
  <c r="L40" i="31"/>
  <c r="M40" i="31"/>
  <c r="N40" i="31"/>
  <c r="O40" i="31"/>
  <c r="P40" i="31"/>
  <c r="Q40" i="31"/>
  <c r="R40" i="31"/>
  <c r="S40" i="31"/>
  <c r="T40" i="31"/>
  <c r="U40" i="31"/>
  <c r="V40" i="31"/>
  <c r="W40" i="31"/>
  <c r="X40" i="31"/>
  <c r="I44" i="31"/>
  <c r="K44" i="31"/>
  <c r="M44" i="31"/>
  <c r="O44" i="31"/>
  <c r="Q44" i="31"/>
  <c r="S44" i="31"/>
  <c r="U44" i="31"/>
  <c r="E45" i="31"/>
  <c r="F45" i="31"/>
  <c r="G45" i="31"/>
  <c r="H45" i="31"/>
  <c r="I45" i="31"/>
  <c r="J45" i="31"/>
  <c r="K45" i="31"/>
  <c r="L45" i="31"/>
  <c r="M45" i="31"/>
  <c r="N45" i="31"/>
  <c r="O45" i="31"/>
  <c r="R45" i="31"/>
  <c r="S45" i="31"/>
  <c r="A1" i="12"/>
  <c r="A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A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A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A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A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A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A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A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A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A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A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A37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B53" i="12"/>
  <c r="B54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C62" i="12"/>
  <c r="A1" i="32"/>
  <c r="A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A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A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A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A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A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A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A21" i="32"/>
  <c r="C21" i="32"/>
  <c r="D21" i="32"/>
  <c r="E21" i="32"/>
  <c r="F21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V21" i="32"/>
  <c r="C22" i="32"/>
  <c r="D22" i="32"/>
  <c r="E22" i="32"/>
  <c r="F22" i="32"/>
  <c r="G22" i="32"/>
  <c r="H22" i="32"/>
  <c r="I22" i="32"/>
  <c r="J22" i="32"/>
  <c r="K22" i="32"/>
  <c r="L22" i="32"/>
  <c r="M22" i="32"/>
  <c r="N22" i="32"/>
  <c r="O22" i="32"/>
  <c r="P22" i="32"/>
  <c r="Q22" i="32"/>
  <c r="R22" i="32"/>
  <c r="S22" i="32"/>
  <c r="T22" i="32"/>
  <c r="U22" i="32"/>
  <c r="V22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A24" i="32"/>
  <c r="C24" i="32"/>
  <c r="D24" i="32"/>
  <c r="E24" i="32"/>
  <c r="F24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C26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S26" i="32"/>
  <c r="T26" i="32"/>
  <c r="U26" i="32"/>
  <c r="V26" i="32"/>
  <c r="C29" i="32"/>
  <c r="D29" i="32"/>
  <c r="E29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S29" i="32"/>
  <c r="T29" i="32"/>
  <c r="U29" i="32"/>
  <c r="V29" i="32"/>
  <c r="C30" i="32"/>
  <c r="D30" i="32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S30" i="32"/>
  <c r="T30" i="32"/>
  <c r="U30" i="32"/>
  <c r="V30" i="32"/>
  <c r="C31" i="32"/>
  <c r="D31" i="32"/>
  <c r="E31" i="32"/>
  <c r="F31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S31" i="32"/>
  <c r="T31" i="32"/>
  <c r="U31" i="32"/>
  <c r="V31" i="32"/>
  <c r="C32" i="32"/>
  <c r="D32" i="32"/>
  <c r="E32" i="32"/>
  <c r="F32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S32" i="32"/>
  <c r="T32" i="32"/>
  <c r="U32" i="32"/>
  <c r="V32" i="32"/>
  <c r="C33" i="32"/>
  <c r="D33" i="32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C34" i="32"/>
  <c r="D34" i="32"/>
  <c r="E34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A36" i="32"/>
  <c r="C36" i="32"/>
  <c r="D36" i="32"/>
  <c r="E36" i="32"/>
  <c r="F36" i="32"/>
  <c r="G36" i="32"/>
  <c r="H36" i="32"/>
  <c r="I36" i="32"/>
  <c r="J36" i="32"/>
  <c r="K36" i="32"/>
  <c r="L36" i="32"/>
  <c r="M36" i="32"/>
  <c r="N36" i="32"/>
  <c r="O36" i="32"/>
  <c r="P36" i="32"/>
  <c r="Q36" i="32"/>
  <c r="R36" i="32"/>
  <c r="S36" i="32"/>
  <c r="T36" i="32"/>
  <c r="U36" i="32"/>
  <c r="V36" i="32"/>
  <c r="C37" i="32"/>
  <c r="D37" i="32"/>
  <c r="E37" i="32"/>
  <c r="F37" i="32"/>
  <c r="G37" i="32"/>
  <c r="H37" i="32"/>
  <c r="I37" i="32"/>
  <c r="J37" i="32"/>
  <c r="K37" i="32"/>
  <c r="L37" i="32"/>
  <c r="M37" i="32"/>
  <c r="N37" i="32"/>
  <c r="O37" i="32"/>
  <c r="P37" i="32"/>
  <c r="Q37" i="32"/>
  <c r="R37" i="32"/>
  <c r="S37" i="32"/>
  <c r="T37" i="32"/>
  <c r="U37" i="32"/>
  <c r="V37" i="32"/>
  <c r="A38" i="32"/>
  <c r="C38" i="32"/>
  <c r="D38" i="32"/>
  <c r="E38" i="32"/>
  <c r="F38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S38" i="32"/>
  <c r="T38" i="32"/>
  <c r="U38" i="32"/>
  <c r="V38" i="32"/>
  <c r="C40" i="32"/>
  <c r="D40" i="32"/>
  <c r="E40" i="32"/>
  <c r="F40" i="32"/>
  <c r="G40" i="32"/>
  <c r="H40" i="32"/>
  <c r="I40" i="32"/>
  <c r="J40" i="32"/>
  <c r="K40" i="32"/>
  <c r="L40" i="32"/>
  <c r="M40" i="32"/>
  <c r="N40" i="32"/>
  <c r="O40" i="32"/>
  <c r="P40" i="32"/>
  <c r="Q40" i="32"/>
  <c r="R40" i="32"/>
  <c r="S40" i="32"/>
  <c r="T40" i="32"/>
  <c r="U40" i="32"/>
  <c r="V40" i="32"/>
  <c r="C44" i="32"/>
  <c r="D44" i="32"/>
  <c r="E44" i="32"/>
  <c r="F44" i="32"/>
  <c r="G44" i="32"/>
  <c r="H44" i="32"/>
  <c r="I44" i="32"/>
  <c r="J44" i="32"/>
  <c r="K44" i="32"/>
  <c r="L44" i="32"/>
  <c r="M44" i="32"/>
  <c r="N44" i="32"/>
  <c r="O44" i="32"/>
  <c r="P44" i="32"/>
  <c r="Q44" i="32"/>
  <c r="R44" i="32"/>
  <c r="S44" i="32"/>
  <c r="T44" i="32"/>
  <c r="U44" i="32"/>
  <c r="V44" i="32"/>
  <c r="C45" i="32"/>
  <c r="D45" i="32"/>
  <c r="E45" i="32"/>
  <c r="F45" i="32"/>
  <c r="G45" i="32"/>
  <c r="H45" i="32"/>
  <c r="I45" i="32"/>
  <c r="J45" i="32"/>
  <c r="K45" i="32"/>
  <c r="L45" i="32"/>
  <c r="M45" i="32"/>
  <c r="N45" i="32"/>
  <c r="O45" i="32"/>
  <c r="P45" i="32"/>
  <c r="Q45" i="32"/>
  <c r="R45" i="32"/>
  <c r="S45" i="32"/>
  <c r="T45" i="32"/>
  <c r="U45" i="32"/>
  <c r="C48" i="32"/>
  <c r="D48" i="32"/>
  <c r="E48" i="32"/>
  <c r="F48" i="32"/>
  <c r="G48" i="32"/>
  <c r="H48" i="32"/>
  <c r="I48" i="32"/>
  <c r="J48" i="32"/>
  <c r="K48" i="32"/>
  <c r="L48" i="32"/>
  <c r="M48" i="32"/>
  <c r="N48" i="32"/>
  <c r="O48" i="32"/>
  <c r="P48" i="32"/>
  <c r="Q48" i="32"/>
  <c r="R48" i="32"/>
  <c r="S48" i="32"/>
  <c r="T48" i="32"/>
  <c r="U48" i="32"/>
  <c r="V48" i="32"/>
  <c r="C49" i="32"/>
  <c r="D49" i="32"/>
  <c r="E49" i="32"/>
  <c r="F49" i="32"/>
  <c r="G49" i="32"/>
  <c r="H49" i="32"/>
  <c r="I49" i="32"/>
  <c r="J49" i="32"/>
  <c r="K49" i="32"/>
  <c r="L49" i="32"/>
  <c r="M49" i="32"/>
  <c r="N49" i="32"/>
  <c r="O49" i="32"/>
  <c r="P49" i="32"/>
  <c r="Q49" i="32"/>
  <c r="R49" i="32"/>
  <c r="S49" i="32"/>
  <c r="T49" i="32"/>
  <c r="U49" i="32"/>
  <c r="V49" i="32"/>
  <c r="C50" i="32"/>
  <c r="D50" i="32"/>
  <c r="E50" i="32"/>
  <c r="F50" i="32"/>
  <c r="G50" i="32"/>
  <c r="H50" i="32"/>
  <c r="I50" i="32"/>
  <c r="J50" i="32"/>
  <c r="K50" i="32"/>
  <c r="L50" i="32"/>
  <c r="M50" i="32"/>
  <c r="N50" i="32"/>
  <c r="O50" i="32"/>
  <c r="P50" i="32"/>
  <c r="Q50" i="32"/>
  <c r="R50" i="32"/>
  <c r="S50" i="32"/>
  <c r="T50" i="32"/>
  <c r="U50" i="32"/>
  <c r="V50" i="32"/>
  <c r="C53" i="32"/>
  <c r="D53" i="32"/>
  <c r="E53" i="32"/>
  <c r="F53" i="32"/>
  <c r="G53" i="32"/>
  <c r="H53" i="32"/>
  <c r="I53" i="32"/>
  <c r="J53" i="32"/>
  <c r="K53" i="32"/>
  <c r="L53" i="32"/>
  <c r="M53" i="32"/>
  <c r="N53" i="32"/>
  <c r="O53" i="32"/>
  <c r="P53" i="32"/>
  <c r="Q53" i="32"/>
  <c r="R53" i="32"/>
  <c r="C56" i="32"/>
  <c r="D56" i="32"/>
  <c r="E56" i="32"/>
  <c r="F56" i="32"/>
  <c r="G56" i="32"/>
  <c r="H56" i="32"/>
  <c r="I56" i="32"/>
  <c r="J56" i="32"/>
  <c r="K56" i="32"/>
  <c r="L56" i="32"/>
  <c r="M56" i="32"/>
  <c r="N56" i="32"/>
  <c r="O56" i="32"/>
  <c r="P56" i="32"/>
  <c r="Q56" i="32"/>
  <c r="R56" i="32"/>
  <c r="B57" i="32"/>
  <c r="B58" i="32"/>
  <c r="C59" i="32"/>
  <c r="D59" i="32"/>
  <c r="E59" i="32"/>
  <c r="F59" i="32"/>
  <c r="G59" i="32"/>
  <c r="H59" i="32"/>
  <c r="I59" i="32"/>
  <c r="J59" i="32"/>
  <c r="K59" i="32"/>
  <c r="L59" i="32"/>
  <c r="M59" i="32"/>
  <c r="N59" i="32"/>
  <c r="O59" i="32"/>
  <c r="P59" i="32"/>
  <c r="Q59" i="32"/>
  <c r="R59" i="32"/>
  <c r="C61" i="32"/>
  <c r="D61" i="32"/>
  <c r="E61" i="32"/>
  <c r="F61" i="32"/>
  <c r="G61" i="32"/>
  <c r="H61" i="32"/>
  <c r="I61" i="32"/>
  <c r="J61" i="32"/>
  <c r="K61" i="32"/>
  <c r="L61" i="32"/>
  <c r="M61" i="32"/>
  <c r="N61" i="32"/>
  <c r="O61" i="32"/>
  <c r="P61" i="32"/>
  <c r="Q61" i="32"/>
  <c r="R61" i="32"/>
  <c r="C65" i="32"/>
  <c r="D65" i="32"/>
  <c r="E65" i="32"/>
  <c r="F65" i="32"/>
  <c r="G65" i="32"/>
  <c r="H65" i="32"/>
  <c r="I65" i="32"/>
  <c r="J65" i="32"/>
  <c r="K65" i="32"/>
  <c r="L65" i="32"/>
  <c r="M65" i="32"/>
  <c r="N65" i="32"/>
  <c r="O65" i="32"/>
  <c r="P65" i="32"/>
  <c r="Q65" i="32"/>
  <c r="R65" i="32"/>
  <c r="S65" i="32"/>
  <c r="T65" i="32"/>
  <c r="U65" i="32"/>
  <c r="V65" i="32"/>
  <c r="C66" i="32"/>
  <c r="A1" i="27"/>
  <c r="A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A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A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A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A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A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A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A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A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C23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C26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C27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C28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C29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C30" i="27"/>
  <c r="D30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A32" i="27"/>
  <c r="C32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C33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A34" i="27"/>
  <c r="C34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C36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C40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C41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C44" i="27"/>
  <c r="D44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C45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C49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C52" i="27"/>
  <c r="D52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B53" i="27"/>
  <c r="B54" i="27"/>
  <c r="C55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C57" i="27"/>
  <c r="D57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C61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C62" i="27"/>
  <c r="B2" i="24"/>
  <c r="B3" i="24"/>
  <c r="I10" i="24"/>
  <c r="E11" i="24"/>
  <c r="I11" i="24"/>
  <c r="K11" i="24"/>
  <c r="L11" i="24"/>
  <c r="A12" i="24"/>
  <c r="E12" i="24"/>
  <c r="I12" i="24"/>
  <c r="K12" i="24"/>
  <c r="A13" i="24"/>
  <c r="E13" i="24"/>
  <c r="I13" i="24"/>
  <c r="K13" i="24"/>
  <c r="A14" i="24"/>
  <c r="E14" i="24"/>
  <c r="I14" i="24"/>
  <c r="K14" i="24"/>
  <c r="A15" i="24"/>
  <c r="E15" i="24"/>
  <c r="I15" i="24"/>
  <c r="K15" i="24"/>
  <c r="A16" i="24"/>
  <c r="E16" i="24"/>
  <c r="I16" i="24"/>
  <c r="K16" i="24"/>
  <c r="A17" i="24"/>
  <c r="E17" i="24"/>
  <c r="I17" i="24"/>
  <c r="K17" i="24"/>
  <c r="A18" i="24"/>
  <c r="E18" i="24"/>
  <c r="I18" i="24"/>
  <c r="K18" i="24"/>
  <c r="A19" i="24"/>
  <c r="E19" i="24"/>
  <c r="I19" i="24"/>
  <c r="K19" i="24"/>
  <c r="A20" i="24"/>
  <c r="E20" i="24"/>
  <c r="I20" i="24"/>
  <c r="K20" i="24"/>
  <c r="A21" i="24"/>
  <c r="E21" i="24"/>
  <c r="I21" i="24"/>
  <c r="K21" i="24"/>
  <c r="A22" i="24"/>
  <c r="E22" i="24"/>
  <c r="I22" i="24"/>
  <c r="K22" i="24"/>
  <c r="A23" i="24"/>
  <c r="E23" i="24"/>
  <c r="I23" i="24"/>
  <c r="K23" i="24"/>
  <c r="A24" i="24"/>
  <c r="E24" i="24"/>
  <c r="I24" i="24"/>
  <c r="K24" i="24"/>
  <c r="A25" i="24"/>
  <c r="E25" i="24"/>
  <c r="I25" i="24"/>
  <c r="K25" i="24"/>
  <c r="A26" i="24"/>
  <c r="E26" i="24"/>
  <c r="I26" i="24"/>
  <c r="K26" i="24"/>
  <c r="A27" i="24"/>
  <c r="E27" i="24"/>
  <c r="K27" i="24"/>
  <c r="E28" i="24"/>
  <c r="K28" i="24"/>
  <c r="E29" i="24"/>
  <c r="K29" i="24"/>
  <c r="E30" i="24"/>
  <c r="K30" i="24"/>
  <c r="E31" i="24"/>
  <c r="K31" i="24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C10" i="21"/>
  <c r="B11" i="21"/>
  <c r="B12" i="21"/>
  <c r="B13" i="21"/>
  <c r="B14" i="21"/>
  <c r="B15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Z37" i="21"/>
  <c r="AA37" i="21"/>
  <c r="AB37" i="21"/>
  <c r="AC37" i="21"/>
  <c r="AD37" i="21"/>
  <c r="AE37" i="21"/>
  <c r="AF37" i="21"/>
  <c r="AG37" i="21"/>
  <c r="AH37" i="21"/>
  <c r="AI37" i="21"/>
  <c r="AJ37" i="21"/>
  <c r="AK37" i="21"/>
  <c r="AL37" i="21"/>
  <c r="AM37" i="21"/>
  <c r="AN37" i="21"/>
  <c r="AO37" i="21"/>
  <c r="AP37" i="21"/>
  <c r="AQ37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C41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T44" i="21"/>
  <c r="U44" i="21"/>
  <c r="V44" i="21"/>
  <c r="B48" i="21"/>
  <c r="C48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W48" i="21"/>
  <c r="B51" i="21"/>
  <c r="C51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B53" i="21"/>
  <c r="A1" i="22"/>
  <c r="C5" i="22"/>
  <c r="A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A11" i="22"/>
  <c r="A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AA12" i="22"/>
  <c r="A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AA13" i="22"/>
  <c r="A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AA14" i="22"/>
  <c r="A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AA15" i="22"/>
  <c r="A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AA16" i="22"/>
  <c r="A17" i="22"/>
  <c r="C17" i="22"/>
  <c r="A19" i="22"/>
  <c r="A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AA20" i="22"/>
  <c r="A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AA21" i="22"/>
  <c r="A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AA22" i="22"/>
  <c r="A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AA23" i="22"/>
  <c r="A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AA24" i="22"/>
  <c r="A25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AA25" i="22"/>
  <c r="A26" i="22"/>
  <c r="C26" i="22"/>
  <c r="A28" i="22"/>
  <c r="A29" i="22"/>
  <c r="C29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AA29" i="22"/>
  <c r="A30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X30" i="22"/>
  <c r="Y30" i="22"/>
  <c r="AA30" i="22"/>
  <c r="A31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AA31" i="22"/>
  <c r="A32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AA32" i="22"/>
  <c r="A33" i="22"/>
  <c r="C33" i="22"/>
  <c r="A35" i="22"/>
  <c r="A36" i="22"/>
  <c r="C36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AA36" i="22"/>
  <c r="A37" i="22"/>
  <c r="C37" i="22"/>
  <c r="D37" i="22"/>
  <c r="E37" i="22"/>
  <c r="F3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T37" i="22"/>
  <c r="U37" i="22"/>
  <c r="V37" i="22"/>
  <c r="W37" i="22"/>
  <c r="X37" i="22"/>
  <c r="Y37" i="22"/>
  <c r="AA37" i="22"/>
  <c r="A38" i="22"/>
  <c r="C38" i="22"/>
  <c r="D38" i="22"/>
  <c r="E38" i="22"/>
  <c r="F38" i="22"/>
  <c r="G38" i="22"/>
  <c r="H38" i="22"/>
  <c r="I38" i="22"/>
  <c r="J38" i="22"/>
  <c r="K38" i="22"/>
  <c r="L38" i="22"/>
  <c r="M38" i="22"/>
  <c r="N38" i="22"/>
  <c r="O38" i="22"/>
  <c r="P38" i="22"/>
  <c r="Q38" i="22"/>
  <c r="R38" i="22"/>
  <c r="S38" i="22"/>
  <c r="T38" i="22"/>
  <c r="U38" i="22"/>
  <c r="V38" i="22"/>
  <c r="W38" i="22"/>
  <c r="X38" i="22"/>
  <c r="Y38" i="22"/>
  <c r="AA38" i="22"/>
  <c r="A39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AA39" i="22"/>
  <c r="A40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AA40" i="22"/>
  <c r="A41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AA41" i="22"/>
  <c r="A42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AA42" i="22"/>
  <c r="A43" i="22"/>
  <c r="C43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AA43" i="22"/>
  <c r="A44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AA44" i="22"/>
  <c r="A45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AA45" i="22"/>
  <c r="A46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AA46" i="22"/>
  <c r="A47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AA47" i="22"/>
  <c r="A48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AA48" i="22"/>
  <c r="A49" i="22"/>
  <c r="C49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AA49" i="22"/>
  <c r="A50" i="22"/>
  <c r="C50" i="22"/>
  <c r="D50" i="22"/>
  <c r="E50" i="22"/>
  <c r="F50" i="22"/>
  <c r="G50" i="22"/>
  <c r="H50" i="22"/>
  <c r="I50" i="22"/>
  <c r="J50" i="22"/>
  <c r="K50" i="22"/>
  <c r="L50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AA50" i="22"/>
  <c r="A51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AA51" i="22"/>
  <c r="A52" i="22"/>
  <c r="C52" i="22"/>
  <c r="D52" i="22"/>
  <c r="E52" i="22"/>
  <c r="F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V52" i="22"/>
  <c r="W52" i="22"/>
  <c r="X52" i="22"/>
  <c r="Y52" i="22"/>
  <c r="AA52" i="22"/>
  <c r="A53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AA53" i="22"/>
  <c r="A54" i="22"/>
  <c r="C54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AA54" i="22"/>
  <c r="A55" i="22"/>
  <c r="C55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AA55" i="22"/>
  <c r="A56" i="22"/>
  <c r="C56" i="22"/>
  <c r="A58" i="22"/>
  <c r="A59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AA59" i="22"/>
  <c r="A60" i="22"/>
  <c r="C60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AA60" i="22"/>
  <c r="A61" i="22"/>
  <c r="C61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AA61" i="22"/>
  <c r="A62" i="22"/>
  <c r="C62" i="22"/>
  <c r="D62" i="22"/>
  <c r="E62" i="22"/>
  <c r="F62" i="22"/>
  <c r="G62" i="22"/>
  <c r="H62" i="22"/>
  <c r="I62" i="22"/>
  <c r="J62" i="22"/>
  <c r="K62" i="22"/>
  <c r="L62" i="22"/>
  <c r="M62" i="22"/>
  <c r="N62" i="22"/>
  <c r="O62" i="22"/>
  <c r="P62" i="22"/>
  <c r="Q62" i="22"/>
  <c r="R62" i="22"/>
  <c r="S62" i="22"/>
  <c r="T62" i="22"/>
  <c r="U62" i="22"/>
  <c r="V62" i="22"/>
  <c r="W62" i="22"/>
  <c r="X62" i="22"/>
  <c r="Y62" i="22"/>
  <c r="AA62" i="22"/>
  <c r="A63" i="22"/>
  <c r="C63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C68" i="22"/>
  <c r="D68" i="22"/>
  <c r="E68" i="22"/>
  <c r="F68" i="22"/>
  <c r="G68" i="22"/>
  <c r="H68" i="22"/>
  <c r="I68" i="22"/>
  <c r="J68" i="22"/>
  <c r="K68" i="22"/>
  <c r="L68" i="22"/>
  <c r="M68" i="22"/>
  <c r="N68" i="22"/>
  <c r="O68" i="22"/>
  <c r="P68" i="22"/>
  <c r="Q68" i="22"/>
  <c r="R68" i="22"/>
  <c r="S68" i="22"/>
  <c r="T68" i="22"/>
  <c r="U68" i="22"/>
  <c r="V68" i="22"/>
  <c r="W68" i="22"/>
  <c r="X68" i="22"/>
  <c r="Y68" i="22"/>
  <c r="C69" i="22"/>
  <c r="D69" i="22"/>
  <c r="E69" i="22"/>
  <c r="F69" i="22"/>
  <c r="G69" i="22"/>
  <c r="H69" i="22"/>
  <c r="I69" i="22"/>
  <c r="J69" i="22"/>
  <c r="K69" i="22"/>
  <c r="L69" i="22"/>
  <c r="M69" i="22"/>
  <c r="N69" i="22"/>
  <c r="O69" i="22"/>
  <c r="P69" i="22"/>
  <c r="Q69" i="22"/>
  <c r="R69" i="22"/>
  <c r="S69" i="22"/>
  <c r="T69" i="22"/>
  <c r="U69" i="22"/>
  <c r="V69" i="22"/>
  <c r="W69" i="22"/>
  <c r="X69" i="22"/>
  <c r="Y69" i="22"/>
  <c r="C70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C73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C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C78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C79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A83" i="22"/>
  <c r="D91" i="22"/>
  <c r="D92" i="22"/>
  <c r="D93" i="22"/>
  <c r="D94" i="22"/>
  <c r="D95" i="22"/>
  <c r="D99" i="22"/>
  <c r="E99" i="22"/>
  <c r="F99" i="22"/>
  <c r="G99" i="22"/>
  <c r="H99" i="22"/>
  <c r="I99" i="22"/>
  <c r="J99" i="22"/>
  <c r="K99" i="22"/>
  <c r="L99" i="22"/>
  <c r="M99" i="22"/>
  <c r="N99" i="22"/>
  <c r="O99" i="22"/>
  <c r="P99" i="22"/>
  <c r="Q99" i="22"/>
  <c r="R99" i="22"/>
  <c r="S99" i="22"/>
  <c r="T99" i="22"/>
  <c r="U99" i="22"/>
  <c r="V99" i="22"/>
  <c r="W99" i="22"/>
  <c r="X99" i="22"/>
  <c r="Y99" i="22"/>
  <c r="D101" i="22"/>
  <c r="E101" i="22"/>
  <c r="F101" i="22"/>
  <c r="G101" i="22"/>
  <c r="H101" i="22"/>
  <c r="I101" i="22"/>
  <c r="J101" i="22"/>
  <c r="K101" i="22"/>
  <c r="L101" i="22"/>
  <c r="M101" i="22"/>
  <c r="N101" i="22"/>
  <c r="O101" i="22"/>
  <c r="P101" i="22"/>
  <c r="Q101" i="22"/>
  <c r="R101" i="22"/>
  <c r="S101" i="22"/>
  <c r="T101" i="22"/>
  <c r="U101" i="22"/>
  <c r="V101" i="22"/>
  <c r="W101" i="22"/>
  <c r="X101" i="22"/>
  <c r="Y101" i="22"/>
  <c r="D102" i="22"/>
  <c r="E102" i="22"/>
  <c r="F102" i="22"/>
  <c r="G102" i="22"/>
  <c r="H102" i="22"/>
  <c r="I102" i="22"/>
  <c r="J102" i="22"/>
  <c r="K102" i="22"/>
  <c r="L102" i="22"/>
  <c r="M102" i="22"/>
  <c r="N102" i="22"/>
  <c r="O102" i="22"/>
  <c r="P102" i="22"/>
  <c r="Q102" i="22"/>
  <c r="R102" i="22"/>
  <c r="S102" i="22"/>
  <c r="T102" i="22"/>
  <c r="U102" i="22"/>
  <c r="V102" i="22"/>
  <c r="W102" i="22"/>
  <c r="X102" i="22"/>
  <c r="Y102" i="22"/>
  <c r="D103" i="22"/>
  <c r="E103" i="22"/>
  <c r="F103" i="22"/>
  <c r="G103" i="22"/>
  <c r="H103" i="22"/>
  <c r="I103" i="22"/>
  <c r="J103" i="22"/>
  <c r="K103" i="22"/>
  <c r="L103" i="22"/>
  <c r="M103" i="22"/>
  <c r="N103" i="22"/>
  <c r="O103" i="22"/>
  <c r="P103" i="22"/>
  <c r="Q103" i="22"/>
  <c r="R103" i="22"/>
  <c r="S103" i="22"/>
  <c r="T103" i="22"/>
  <c r="U103" i="22"/>
  <c r="V103" i="22"/>
  <c r="W103" i="22"/>
  <c r="X103" i="22"/>
  <c r="Y103" i="22"/>
  <c r="D104" i="22"/>
  <c r="E104" i="22"/>
  <c r="F104" i="22"/>
  <c r="G104" i="22"/>
  <c r="H104" i="22"/>
  <c r="I104" i="22"/>
  <c r="J104" i="22"/>
  <c r="K104" i="22"/>
  <c r="L104" i="22"/>
  <c r="M104" i="22"/>
  <c r="N104" i="22"/>
  <c r="O104" i="22"/>
  <c r="P104" i="22"/>
  <c r="Q104" i="22"/>
  <c r="R104" i="22"/>
  <c r="S104" i="22"/>
  <c r="T104" i="22"/>
  <c r="U104" i="22"/>
  <c r="V104" i="22"/>
  <c r="W104" i="22"/>
  <c r="X104" i="22"/>
  <c r="Y104" i="22"/>
  <c r="D105" i="22"/>
  <c r="E105" i="22"/>
  <c r="F105" i="22"/>
  <c r="G105" i="22"/>
  <c r="H105" i="22"/>
  <c r="I105" i="22"/>
  <c r="J105" i="22"/>
  <c r="K105" i="22"/>
  <c r="L105" i="22"/>
  <c r="M105" i="22"/>
  <c r="N105" i="22"/>
  <c r="O105" i="22"/>
  <c r="P105" i="22"/>
  <c r="Q105" i="22"/>
  <c r="R105" i="22"/>
  <c r="S105" i="22"/>
  <c r="T105" i="22"/>
  <c r="U105" i="22"/>
  <c r="V105" i="22"/>
  <c r="W105" i="22"/>
  <c r="X105" i="22"/>
  <c r="Y105" i="22"/>
  <c r="D106" i="22"/>
  <c r="E106" i="22"/>
  <c r="F106" i="22"/>
  <c r="G106" i="22"/>
  <c r="H106" i="22"/>
  <c r="I106" i="22"/>
  <c r="J106" i="22"/>
  <c r="K106" i="22"/>
  <c r="L106" i="22"/>
  <c r="M106" i="22"/>
  <c r="N106" i="22"/>
  <c r="O106" i="22"/>
  <c r="P106" i="22"/>
  <c r="Q106" i="22"/>
  <c r="R106" i="22"/>
  <c r="S106" i="22"/>
  <c r="T106" i="22"/>
  <c r="U106" i="22"/>
  <c r="V106" i="22"/>
  <c r="W106" i="22"/>
  <c r="X106" i="22"/>
  <c r="Y106" i="22"/>
  <c r="C107" i="22"/>
  <c r="D107" i="22"/>
  <c r="E107" i="22"/>
  <c r="F107" i="22"/>
  <c r="G107" i="22"/>
  <c r="H107" i="22"/>
  <c r="I107" i="22"/>
  <c r="J107" i="22"/>
  <c r="K107" i="22"/>
  <c r="L107" i="22"/>
  <c r="M107" i="22"/>
  <c r="N107" i="22"/>
  <c r="O107" i="22"/>
  <c r="P107" i="22"/>
  <c r="Q107" i="22"/>
  <c r="R107" i="22"/>
  <c r="S107" i="22"/>
  <c r="T107" i="22"/>
  <c r="U107" i="22"/>
  <c r="V107" i="22"/>
  <c r="W107" i="22"/>
  <c r="X107" i="22"/>
  <c r="Y107" i="22"/>
  <c r="C109" i="22"/>
  <c r="D109" i="22"/>
  <c r="D111" i="22"/>
  <c r="E111" i="22"/>
  <c r="F111" i="22"/>
  <c r="G111" i="22"/>
  <c r="H111" i="22"/>
  <c r="I111" i="22"/>
  <c r="J111" i="22"/>
  <c r="K111" i="22"/>
  <c r="L111" i="22"/>
  <c r="M111" i="22"/>
  <c r="N111" i="22"/>
  <c r="O111" i="22"/>
  <c r="P111" i="22"/>
  <c r="Q111" i="22"/>
  <c r="R111" i="22"/>
  <c r="S111" i="22"/>
  <c r="T111" i="22"/>
  <c r="U111" i="22"/>
  <c r="V111" i="22"/>
  <c r="W111" i="22"/>
  <c r="X111" i="22"/>
  <c r="Y111" i="22"/>
  <c r="D112" i="22"/>
  <c r="E112" i="22"/>
  <c r="F112" i="22"/>
  <c r="G112" i="22"/>
  <c r="H112" i="22"/>
  <c r="I112" i="22"/>
  <c r="J112" i="22"/>
  <c r="K112" i="22"/>
  <c r="L112" i="22"/>
  <c r="M112" i="22"/>
  <c r="N112" i="22"/>
  <c r="O112" i="22"/>
  <c r="P112" i="22"/>
  <c r="Q112" i="22"/>
  <c r="R112" i="22"/>
  <c r="S112" i="22"/>
  <c r="T112" i="22"/>
  <c r="U112" i="22"/>
  <c r="V112" i="22"/>
  <c r="W112" i="22"/>
  <c r="X112" i="22"/>
  <c r="Y112" i="22"/>
  <c r="D113" i="22"/>
  <c r="E113" i="22"/>
  <c r="F113" i="22"/>
  <c r="G113" i="22"/>
  <c r="H113" i="22"/>
  <c r="I113" i="22"/>
  <c r="J113" i="22"/>
  <c r="K113" i="22"/>
  <c r="L113" i="22"/>
  <c r="M113" i="22"/>
  <c r="N113" i="22"/>
  <c r="O113" i="22"/>
  <c r="P113" i="22"/>
  <c r="Q113" i="22"/>
  <c r="R113" i="22"/>
  <c r="S113" i="22"/>
  <c r="T113" i="22"/>
  <c r="U113" i="22"/>
  <c r="V113" i="22"/>
  <c r="W113" i="22"/>
  <c r="X113" i="22"/>
  <c r="Y113" i="22"/>
  <c r="D115" i="22"/>
  <c r="D116" i="22"/>
  <c r="C121" i="22"/>
  <c r="D121" i="22"/>
  <c r="E121" i="22"/>
  <c r="F121" i="22"/>
  <c r="G121" i="22"/>
  <c r="H121" i="22"/>
  <c r="I121" i="22"/>
  <c r="J121" i="22"/>
  <c r="K121" i="22"/>
  <c r="L121" i="22"/>
  <c r="M121" i="22"/>
  <c r="N121" i="22"/>
  <c r="O121" i="22"/>
  <c r="P121" i="22"/>
  <c r="Q121" i="22"/>
  <c r="R121" i="22"/>
  <c r="S121" i="22"/>
  <c r="T121" i="22"/>
  <c r="U121" i="22"/>
  <c r="V121" i="22"/>
  <c r="W121" i="22"/>
  <c r="X121" i="22"/>
  <c r="Y121" i="22"/>
  <c r="D122" i="22"/>
  <c r="E122" i="22"/>
  <c r="F122" i="22"/>
  <c r="G122" i="22"/>
  <c r="H122" i="22"/>
  <c r="I122" i="22"/>
  <c r="J122" i="22"/>
  <c r="K122" i="22"/>
  <c r="L122" i="22"/>
  <c r="M122" i="22"/>
  <c r="N122" i="22"/>
  <c r="O122" i="22"/>
  <c r="P122" i="22"/>
  <c r="Q122" i="22"/>
  <c r="R122" i="22"/>
  <c r="S122" i="22"/>
  <c r="T122" i="22"/>
  <c r="U122" i="22"/>
  <c r="V122" i="22"/>
  <c r="W122" i="22"/>
  <c r="X122" i="22"/>
  <c r="Y122" i="22"/>
  <c r="B124" i="22"/>
  <c r="C124" i="22"/>
  <c r="D124" i="22"/>
  <c r="E124" i="22"/>
  <c r="F124" i="22"/>
  <c r="G124" i="22"/>
  <c r="H124" i="22"/>
  <c r="I124" i="22"/>
  <c r="J124" i="22"/>
  <c r="K124" i="22"/>
  <c r="L124" i="22"/>
  <c r="M124" i="22"/>
  <c r="N124" i="22"/>
  <c r="O124" i="22"/>
  <c r="P124" i="22"/>
  <c r="Q124" i="22"/>
  <c r="R124" i="22"/>
  <c r="S124" i="22"/>
  <c r="T124" i="22"/>
  <c r="U124" i="22"/>
  <c r="V124" i="22"/>
  <c r="W124" i="22"/>
  <c r="X124" i="22"/>
  <c r="Y124" i="22"/>
  <c r="B125" i="22"/>
  <c r="C125" i="22"/>
  <c r="D125" i="22"/>
  <c r="E125" i="22"/>
  <c r="F125" i="22"/>
  <c r="G125" i="22"/>
  <c r="H125" i="22"/>
  <c r="I125" i="22"/>
  <c r="J125" i="22"/>
  <c r="K125" i="22"/>
  <c r="L125" i="22"/>
  <c r="M125" i="22"/>
  <c r="N125" i="22"/>
  <c r="O125" i="22"/>
  <c r="P125" i="22"/>
  <c r="Q125" i="22"/>
  <c r="R125" i="22"/>
  <c r="S125" i="22"/>
  <c r="T125" i="22"/>
  <c r="U125" i="22"/>
  <c r="V125" i="22"/>
  <c r="W125" i="22"/>
  <c r="X125" i="22"/>
  <c r="Y125" i="22"/>
  <c r="B126" i="22"/>
  <c r="C126" i="22"/>
  <c r="D126" i="22"/>
  <c r="E126" i="22"/>
  <c r="F126" i="22"/>
  <c r="G126" i="22"/>
  <c r="H126" i="22"/>
  <c r="I126" i="22"/>
  <c r="J126" i="22"/>
  <c r="K126" i="22"/>
  <c r="L126" i="22"/>
  <c r="M126" i="22"/>
  <c r="N126" i="22"/>
  <c r="O126" i="22"/>
  <c r="P126" i="22"/>
  <c r="Q126" i="22"/>
  <c r="R126" i="22"/>
  <c r="S126" i="22"/>
  <c r="T126" i="22"/>
  <c r="U126" i="22"/>
  <c r="V126" i="22"/>
  <c r="W126" i="22"/>
  <c r="X126" i="22"/>
  <c r="Y126" i="22"/>
  <c r="C127" i="22"/>
  <c r="D127" i="22"/>
  <c r="E127" i="22"/>
  <c r="F127" i="22"/>
  <c r="G127" i="22"/>
  <c r="H127" i="22"/>
  <c r="I127" i="22"/>
  <c r="J127" i="22"/>
  <c r="K127" i="22"/>
  <c r="L127" i="22"/>
  <c r="M127" i="22"/>
  <c r="N127" i="22"/>
  <c r="O127" i="22"/>
  <c r="P127" i="22"/>
  <c r="Q127" i="22"/>
  <c r="R127" i="22"/>
  <c r="S127" i="22"/>
  <c r="T127" i="22"/>
  <c r="U127" i="22"/>
  <c r="V127" i="22"/>
  <c r="W127" i="22"/>
  <c r="X127" i="22"/>
  <c r="Y127" i="22"/>
  <c r="B130" i="22"/>
  <c r="C130" i="22"/>
  <c r="D130" i="22"/>
  <c r="E130" i="22"/>
  <c r="F130" i="22"/>
  <c r="G130" i="22"/>
  <c r="H130" i="22"/>
  <c r="I130" i="22"/>
  <c r="J130" i="22"/>
  <c r="K130" i="22"/>
  <c r="L130" i="22"/>
  <c r="M130" i="22"/>
  <c r="N130" i="22"/>
  <c r="O130" i="22"/>
  <c r="P130" i="22"/>
  <c r="Q130" i="22"/>
  <c r="R130" i="22"/>
  <c r="S130" i="22"/>
  <c r="T130" i="22"/>
  <c r="U130" i="22"/>
  <c r="B131" i="22"/>
  <c r="C131" i="22"/>
  <c r="D131" i="22"/>
  <c r="E131" i="22"/>
  <c r="F131" i="22"/>
  <c r="G131" i="22"/>
  <c r="H131" i="22"/>
  <c r="I131" i="22"/>
  <c r="J131" i="22"/>
  <c r="K131" i="22"/>
  <c r="L131" i="22"/>
  <c r="M131" i="22"/>
  <c r="N131" i="22"/>
  <c r="O131" i="22"/>
  <c r="P131" i="22"/>
  <c r="Q131" i="22"/>
  <c r="R131" i="22"/>
  <c r="S131" i="22"/>
  <c r="T131" i="22"/>
  <c r="U131" i="22"/>
  <c r="B132" i="22"/>
  <c r="C132" i="22"/>
  <c r="D132" i="22"/>
  <c r="E132" i="22"/>
  <c r="F132" i="22"/>
  <c r="G132" i="22"/>
  <c r="H132" i="22"/>
  <c r="I132" i="22"/>
  <c r="J132" i="22"/>
  <c r="K132" i="22"/>
  <c r="L132" i="22"/>
  <c r="M132" i="22"/>
  <c r="N132" i="22"/>
  <c r="O132" i="22"/>
  <c r="P132" i="22"/>
  <c r="Q132" i="22"/>
  <c r="R132" i="22"/>
  <c r="S132" i="22"/>
  <c r="T132" i="22"/>
  <c r="U132" i="22"/>
  <c r="C133" i="22"/>
  <c r="D133" i="22"/>
  <c r="E133" i="22"/>
  <c r="F133" i="22"/>
  <c r="G133" i="22"/>
  <c r="H133" i="22"/>
  <c r="I133" i="22"/>
  <c r="J133" i="22"/>
  <c r="K133" i="22"/>
  <c r="L133" i="22"/>
  <c r="M133" i="22"/>
  <c r="N133" i="22"/>
  <c r="O133" i="22"/>
  <c r="P133" i="22"/>
  <c r="Q133" i="22"/>
  <c r="R133" i="22"/>
  <c r="S133" i="22"/>
  <c r="T133" i="22"/>
  <c r="U133" i="22"/>
  <c r="V133" i="22"/>
  <c r="W133" i="22"/>
  <c r="X133" i="22"/>
  <c r="Y133" i="22"/>
  <c r="C3" i="25"/>
  <c r="D3" i="25"/>
  <c r="C4" i="25"/>
  <c r="C5" i="25"/>
  <c r="D5" i="25"/>
  <c r="C6" i="25"/>
  <c r="D6" i="25"/>
  <c r="C7" i="25"/>
  <c r="D7" i="25"/>
  <c r="E7" i="25"/>
  <c r="C8" i="25"/>
  <c r="D8" i="25"/>
  <c r="C9" i="25"/>
  <c r="D9" i="25"/>
  <c r="C10" i="25"/>
  <c r="D10" i="25"/>
  <c r="D1" i="29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O4" i="29"/>
  <c r="R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AG4" i="29"/>
  <c r="AH4" i="29"/>
  <c r="AI4" i="29"/>
  <c r="AJ4" i="29"/>
  <c r="AK4" i="29"/>
  <c r="AL4" i="29"/>
  <c r="AM4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AD5" i="29"/>
  <c r="AE5" i="29"/>
  <c r="AF5" i="29"/>
  <c r="AG5" i="29"/>
  <c r="AH5" i="29"/>
  <c r="AI5" i="29"/>
  <c r="AJ5" i="29"/>
  <c r="AK5" i="29"/>
  <c r="AL5" i="29"/>
  <c r="AM5" i="29"/>
  <c r="B7" i="29"/>
  <c r="C7" i="29"/>
  <c r="B8" i="29"/>
  <c r="A1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A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A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A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A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A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A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A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A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A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A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A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A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A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A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A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A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A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A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A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A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A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A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A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A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A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A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A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A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A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A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A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A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A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A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A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A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A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A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A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A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A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A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A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A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A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A1" i="26"/>
  <c r="A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A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A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C29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C90" i="26"/>
  <c r="D90" i="26"/>
  <c r="E90" i="26"/>
  <c r="F90" i="26"/>
  <c r="G90" i="26"/>
  <c r="H90" i="26"/>
  <c r="I90" i="26"/>
  <c r="J90" i="26"/>
  <c r="K90" i="26"/>
  <c r="L90" i="26"/>
  <c r="M90" i="26"/>
  <c r="N90" i="26"/>
  <c r="O90" i="26"/>
  <c r="P90" i="26"/>
  <c r="Q90" i="26"/>
  <c r="R90" i="26"/>
  <c r="S90" i="26"/>
  <c r="T90" i="26"/>
  <c r="U90" i="26"/>
  <c r="V90" i="26"/>
  <c r="A1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A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A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A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A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A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A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A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A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A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A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A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A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A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A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A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A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A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A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O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A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8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A140" i="6"/>
  <c r="A141" i="6"/>
  <c r="A142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A158" i="6"/>
  <c r="A159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A160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A161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A162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A163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A164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A165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A166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A167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A168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A169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A170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A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A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C44" i="7"/>
  <c r="C45" i="7"/>
  <c r="A1" i="19"/>
  <c r="A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A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A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A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AA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AA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AA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AA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AA19" i="19"/>
  <c r="A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AA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AA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AA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AA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AA26" i="19"/>
  <c r="A27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AA27" i="19"/>
  <c r="A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AA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AA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AA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AA33" i="19"/>
  <c r="AA34" i="19"/>
  <c r="A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AA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AA37" i="19"/>
  <c r="A38" i="19"/>
  <c r="B38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AA38" i="19"/>
  <c r="A39" i="19"/>
  <c r="B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AA39" i="19"/>
  <c r="A40" i="19"/>
  <c r="B40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X40" i="19"/>
  <c r="Y40" i="19"/>
  <c r="AA40" i="19"/>
  <c r="A41" i="19"/>
  <c r="B41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AA41" i="19"/>
  <c r="A42" i="19"/>
  <c r="B42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AA42" i="19"/>
  <c r="A43" i="19"/>
  <c r="B43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AA43" i="19"/>
  <c r="A44" i="19"/>
  <c r="B44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V44" i="19"/>
  <c r="W44" i="19"/>
  <c r="X44" i="19"/>
  <c r="Y44" i="19"/>
  <c r="AA44" i="19"/>
  <c r="A45" i="19"/>
  <c r="B45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AA45" i="19"/>
  <c r="A46" i="19"/>
  <c r="B46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X46" i="19"/>
  <c r="Y46" i="19"/>
  <c r="AA46" i="19"/>
  <c r="A47" i="19"/>
  <c r="B47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AA47" i="19"/>
  <c r="A48" i="19"/>
  <c r="B48" i="19"/>
  <c r="C48" i="19"/>
  <c r="D48" i="19"/>
  <c r="E48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V48" i="19"/>
  <c r="W48" i="19"/>
  <c r="X48" i="19"/>
  <c r="Y48" i="19"/>
  <c r="AA48" i="19"/>
  <c r="A49" i="19"/>
  <c r="B49" i="19"/>
  <c r="C49" i="19"/>
  <c r="D49" i="19"/>
  <c r="E49" i="19"/>
  <c r="F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AA49" i="19"/>
  <c r="A50" i="19"/>
  <c r="B50" i="19"/>
  <c r="C50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X50" i="19"/>
  <c r="Y50" i="19"/>
  <c r="AA50" i="19"/>
  <c r="A51" i="19"/>
  <c r="B51" i="19"/>
  <c r="C51" i="19"/>
  <c r="D51" i="19"/>
  <c r="E51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V51" i="19"/>
  <c r="W51" i="19"/>
  <c r="X51" i="19"/>
  <c r="Y51" i="19"/>
  <c r="AA51" i="19"/>
  <c r="A52" i="19"/>
  <c r="B52" i="19"/>
  <c r="C52" i="19"/>
  <c r="D52" i="19"/>
  <c r="E52" i="19"/>
  <c r="F52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S52" i="19"/>
  <c r="T52" i="19"/>
  <c r="U52" i="19"/>
  <c r="V52" i="19"/>
  <c r="W52" i="19"/>
  <c r="X52" i="19"/>
  <c r="Y52" i="19"/>
  <c r="AA52" i="19"/>
  <c r="A53" i="19"/>
  <c r="B53" i="19"/>
  <c r="C53" i="19"/>
  <c r="D53" i="19"/>
  <c r="E53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T53" i="19"/>
  <c r="U53" i="19"/>
  <c r="V53" i="19"/>
  <c r="W53" i="19"/>
  <c r="X53" i="19"/>
  <c r="Y53" i="19"/>
  <c r="AA53" i="19"/>
  <c r="A54" i="19"/>
  <c r="B54" i="19"/>
  <c r="C54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V54" i="19"/>
  <c r="W54" i="19"/>
  <c r="X54" i="19"/>
  <c r="Y54" i="19"/>
  <c r="AA54" i="19"/>
  <c r="A55" i="19"/>
  <c r="B55" i="19"/>
  <c r="C55" i="19"/>
  <c r="D55" i="19"/>
  <c r="E55" i="19"/>
  <c r="F55" i="19"/>
  <c r="G55" i="19"/>
  <c r="H55" i="19"/>
  <c r="I55" i="19"/>
  <c r="J55" i="19"/>
  <c r="K55" i="19"/>
  <c r="L55" i="19"/>
  <c r="M55" i="19"/>
  <c r="N55" i="19"/>
  <c r="O55" i="19"/>
  <c r="P55" i="19"/>
  <c r="Q55" i="19"/>
  <c r="R55" i="19"/>
  <c r="S55" i="19"/>
  <c r="T55" i="19"/>
  <c r="U55" i="19"/>
  <c r="V55" i="19"/>
  <c r="W55" i="19"/>
  <c r="X55" i="19"/>
  <c r="Y55" i="19"/>
  <c r="AA55" i="19"/>
  <c r="A57" i="19"/>
  <c r="A58" i="19"/>
  <c r="B58" i="19"/>
  <c r="C58" i="19"/>
  <c r="D58" i="19"/>
  <c r="E58" i="19"/>
  <c r="F58" i="19"/>
  <c r="G58" i="19"/>
  <c r="H58" i="19"/>
  <c r="I58" i="19"/>
  <c r="J58" i="19"/>
  <c r="K58" i="19"/>
  <c r="L58" i="19"/>
  <c r="M58" i="19"/>
  <c r="N58" i="19"/>
  <c r="O58" i="19"/>
  <c r="P58" i="19"/>
  <c r="Q58" i="19"/>
  <c r="R58" i="19"/>
  <c r="S58" i="19"/>
  <c r="T58" i="19"/>
  <c r="U58" i="19"/>
  <c r="V58" i="19"/>
  <c r="W58" i="19"/>
  <c r="X58" i="19"/>
  <c r="Y58" i="19"/>
  <c r="AA58" i="19"/>
  <c r="A59" i="19"/>
  <c r="B59" i="19"/>
  <c r="C59" i="19"/>
  <c r="D59" i="19"/>
  <c r="E59" i="19"/>
  <c r="F59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T59" i="19"/>
  <c r="U59" i="19"/>
  <c r="V59" i="19"/>
  <c r="W59" i="19"/>
  <c r="X59" i="19"/>
  <c r="Y59" i="19"/>
  <c r="AA59" i="19"/>
  <c r="A60" i="19"/>
  <c r="B60" i="19"/>
  <c r="C60" i="19"/>
  <c r="D60" i="19"/>
  <c r="E60" i="19"/>
  <c r="F60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S60" i="19"/>
  <c r="T60" i="19"/>
  <c r="U60" i="19"/>
  <c r="V60" i="19"/>
  <c r="W60" i="19"/>
  <c r="X60" i="19"/>
  <c r="Y60" i="19"/>
  <c r="AA60" i="19"/>
  <c r="A61" i="19"/>
  <c r="B61" i="19"/>
  <c r="C61" i="19"/>
  <c r="D61" i="19"/>
  <c r="E61" i="19"/>
  <c r="F61" i="19"/>
  <c r="G61" i="19"/>
  <c r="H61" i="19"/>
  <c r="I61" i="19"/>
  <c r="J61" i="19"/>
  <c r="K61" i="19"/>
  <c r="L61" i="19"/>
  <c r="M61" i="19"/>
  <c r="N61" i="19"/>
  <c r="O61" i="19"/>
  <c r="P61" i="19"/>
  <c r="Q61" i="19"/>
  <c r="R61" i="19"/>
  <c r="S61" i="19"/>
  <c r="T61" i="19"/>
  <c r="U61" i="19"/>
  <c r="V61" i="19"/>
  <c r="W61" i="19"/>
  <c r="X61" i="19"/>
  <c r="Y61" i="19"/>
  <c r="AA61" i="19"/>
  <c r="A63" i="19"/>
  <c r="B63" i="19"/>
  <c r="C63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S63" i="19"/>
  <c r="T63" i="19"/>
  <c r="U63" i="19"/>
  <c r="V63" i="19"/>
  <c r="W63" i="19"/>
  <c r="X63" i="19"/>
  <c r="Y63" i="19"/>
  <c r="AA63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T67" i="19"/>
  <c r="U67" i="19"/>
  <c r="V67" i="19"/>
  <c r="W67" i="19"/>
  <c r="X67" i="19"/>
  <c r="Y67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T69" i="19"/>
  <c r="U69" i="19"/>
  <c r="V69" i="19"/>
  <c r="W69" i="19"/>
  <c r="X69" i="19"/>
  <c r="Y69" i="19"/>
  <c r="F70" i="19"/>
  <c r="G70" i="19"/>
  <c r="H70" i="19"/>
  <c r="I70" i="19"/>
  <c r="J70" i="19"/>
  <c r="K70" i="19"/>
  <c r="L70" i="19"/>
  <c r="M70" i="19"/>
  <c r="N70" i="19"/>
  <c r="O70" i="19"/>
  <c r="P70" i="19"/>
  <c r="Q70" i="19"/>
  <c r="R70" i="19"/>
  <c r="S70" i="19"/>
  <c r="T70" i="19"/>
  <c r="U70" i="19"/>
  <c r="V70" i="19"/>
  <c r="W70" i="19"/>
  <c r="X70" i="19"/>
  <c r="Y70" i="19"/>
  <c r="A1" i="20"/>
  <c r="A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A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A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A1" i="28"/>
  <c r="A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A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A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</calcChain>
</file>

<file path=xl/sharedStrings.xml><?xml version="1.0" encoding="utf-8"?>
<sst xmlns="http://schemas.openxmlformats.org/spreadsheetml/2006/main" count="917" uniqueCount="482">
  <si>
    <t>DELMARVA, VA</t>
  </si>
  <si>
    <t>Assumptions</t>
  </si>
  <si>
    <t>POWER SALES (megawatts)</t>
  </si>
  <si>
    <t>DEPRECIATION</t>
  </si>
  <si>
    <t>15 Yr MACRS</t>
  </si>
  <si>
    <t xml:space="preserve">Debt </t>
  </si>
  <si>
    <t>144A CONSTRUCTION FINANCING ASSUMPTIONS</t>
  </si>
  <si>
    <t>GE - LM6000 SC</t>
  </si>
  <si>
    <t>per GT</t>
  </si>
  <si>
    <t>Winter</t>
  </si>
  <si>
    <t>Summer</t>
  </si>
  <si>
    <t>Project Years</t>
  </si>
  <si>
    <t>Annual rate</t>
  </si>
  <si>
    <t>Amort</t>
  </si>
  <si>
    <t>Construction Schedule</t>
  </si>
  <si>
    <t>Start Date</t>
  </si>
  <si>
    <t>End Date</t>
  </si>
  <si>
    <t>Net Plant  Output</t>
  </si>
  <si>
    <t>Book Depreciation Rates: (Straight Line per year)</t>
  </si>
  <si>
    <t>Construction Term (months)</t>
  </si>
  <si>
    <t>Debt</t>
  </si>
  <si>
    <t>Net Installed Capacity</t>
  </si>
  <si>
    <t>Equity</t>
  </si>
  <si>
    <t>Capacity Rate</t>
  </si>
  <si>
    <t>Rate/Year</t>
  </si>
  <si>
    <t># of Years</t>
  </si>
  <si>
    <t>144A</t>
  </si>
  <si>
    <t>Total</t>
  </si>
  <si>
    <t>Transmission &amp; Line Losses</t>
  </si>
  <si>
    <t xml:space="preserve">   Category 1</t>
  </si>
  <si>
    <t>Lender</t>
  </si>
  <si>
    <t>Long-term</t>
  </si>
  <si>
    <t>Total Capacity Sales</t>
  </si>
  <si>
    <t xml:space="preserve">   Category 2</t>
  </si>
  <si>
    <t>Amount (%)</t>
  </si>
  <si>
    <t>Net Energy Produced (MWh's)</t>
  </si>
  <si>
    <t xml:space="preserve">   Category 3</t>
  </si>
  <si>
    <t>Amount (MMs)</t>
  </si>
  <si>
    <t>Degredation/yr</t>
  </si>
  <si>
    <t xml:space="preserve">   Category 4</t>
  </si>
  <si>
    <t>Draw Date</t>
  </si>
  <si>
    <t xml:space="preserve">Net Energy Available </t>
  </si>
  <si>
    <t xml:space="preserve">   Category 5</t>
  </si>
  <si>
    <t>Interest Rates:</t>
  </si>
  <si>
    <t xml:space="preserve">   Category 6 - Amortization (S-L)</t>
  </si>
  <si>
    <t xml:space="preserve">   Base Rate Index</t>
  </si>
  <si>
    <t>Unknown</t>
  </si>
  <si>
    <t>TARIFF</t>
  </si>
  <si>
    <t xml:space="preserve">   Base Rate</t>
  </si>
  <si>
    <t>FIXED:</t>
  </si>
  <si>
    <t>Year</t>
  </si>
  <si>
    <t>Escalation</t>
  </si>
  <si>
    <t>Tax Depn &amp; Amrtn Rates</t>
  </si>
  <si>
    <t xml:space="preserve">   Spread</t>
  </si>
  <si>
    <t>Capacity ($/kw/month)</t>
  </si>
  <si>
    <t xml:space="preserve">   Category 1 - Major Equip.</t>
  </si>
  <si>
    <t>15 MACRS</t>
  </si>
  <si>
    <t xml:space="preserve">   Swap Spread</t>
  </si>
  <si>
    <t xml:space="preserve">   US $ Component</t>
  </si>
  <si>
    <t xml:space="preserve">   Category 2 - Engineering/Construction</t>
  </si>
  <si>
    <t xml:space="preserve">      Total</t>
  </si>
  <si>
    <t xml:space="preserve">   Category 3 - Other (Straight Line)</t>
  </si>
  <si>
    <t>VARIABLE:</t>
  </si>
  <si>
    <t xml:space="preserve">   Category 4 - Soft/finance Costs</t>
  </si>
  <si>
    <t>Net Option Revenue ($/kWh)</t>
  </si>
  <si>
    <t>Financing Fees (on total amount)</t>
  </si>
  <si>
    <t xml:space="preserve">   July/August peak hrs optioned</t>
  </si>
  <si>
    <t>US E&amp;P / Book Depreciation</t>
  </si>
  <si>
    <t>US E&amp;P Amortization Rt.</t>
  </si>
  <si>
    <t>DEBT ASSUMPTIONS</t>
  </si>
  <si>
    <t>Net Spot Revenue ($/kWh)</t>
  </si>
  <si>
    <t>144A On/Off</t>
  </si>
  <si>
    <t>Commitment Fees</t>
  </si>
  <si>
    <t xml:space="preserve">OPERATING EXPENSES </t>
  </si>
  <si>
    <t>Resulting 1st Year Power Cost</t>
  </si>
  <si>
    <t>Component</t>
  </si>
  <si>
    <t>Annual</t>
  </si>
  <si>
    <t>O&amp;M:</t>
  </si>
  <si>
    <t>in US$ MM</t>
  </si>
  <si>
    <t>Debt ratio</t>
  </si>
  <si>
    <t>PLANT OPERATING DATA</t>
  </si>
  <si>
    <t xml:space="preserve">   Management Fee </t>
  </si>
  <si>
    <t>Working Capital Requirement (First full Year )</t>
  </si>
  <si>
    <t>Amortization:</t>
  </si>
  <si>
    <t>Heat Rates:</t>
  </si>
  <si>
    <t>Degradation</t>
  </si>
  <si>
    <t xml:space="preserve">   Fixed Costs</t>
  </si>
  <si>
    <t>O&amp;M Days</t>
  </si>
  <si>
    <t xml:space="preserve">   Term (Years)</t>
  </si>
  <si>
    <t xml:space="preserve">  Diesel (Btu/kWh)</t>
  </si>
  <si>
    <t xml:space="preserve">   Variable Costs mills/kw</t>
  </si>
  <si>
    <t xml:space="preserve">Fuel days </t>
  </si>
  <si>
    <t xml:space="preserve">   Method</t>
  </si>
  <si>
    <t>(1=S/L,0=Mortgage)</t>
  </si>
  <si>
    <t xml:space="preserve">         Heating Value (HHV Btu/bbl)</t>
  </si>
  <si>
    <t xml:space="preserve">   Maintenance Reserve</t>
  </si>
  <si>
    <t xml:space="preserve">   Payments per year</t>
  </si>
  <si>
    <t>Semi</t>
  </si>
  <si>
    <t xml:space="preserve">   O&amp;M Fee</t>
  </si>
  <si>
    <t xml:space="preserve">   Grace Period (Years)</t>
  </si>
  <si>
    <t>Project Life Years</t>
  </si>
  <si>
    <t xml:space="preserve">   TPS Parts Co. </t>
  </si>
  <si>
    <t>INFLATION</t>
  </si>
  <si>
    <t xml:space="preserve">   DSRF Y/N 1/0</t>
  </si>
  <si>
    <t>Commercial Operations Date</t>
  </si>
  <si>
    <t xml:space="preserve">   Other</t>
  </si>
  <si>
    <t>US Inflation</t>
  </si>
  <si>
    <t>per year</t>
  </si>
  <si>
    <t>Months of Operation Year 1</t>
  </si>
  <si>
    <t xml:space="preserve">         Total O&amp;M Costs in (US cents/kWh)</t>
  </si>
  <si>
    <t>Other:</t>
  </si>
  <si>
    <t>FUEL</t>
  </si>
  <si>
    <t xml:space="preserve">   Marketing Fee</t>
  </si>
  <si>
    <t>TAXES</t>
  </si>
  <si>
    <t xml:space="preserve">   Property Tax</t>
  </si>
  <si>
    <t>per $100</t>
  </si>
  <si>
    <t>See TAXES</t>
  </si>
  <si>
    <t>Federal Income Tax Rate</t>
  </si>
  <si>
    <t xml:space="preserve">Commodity Prices - HHV </t>
  </si>
  <si>
    <t xml:space="preserve">   Operating Insurance</t>
  </si>
  <si>
    <t>VA Liscense &amp; Special Regulatory Tax year:</t>
  </si>
  <si>
    <t xml:space="preserve">   Fuel Oil ($/MMBtu)</t>
  </si>
  <si>
    <t>Virginia Income Tax Rate Post 2000</t>
  </si>
  <si>
    <t xml:space="preserve">   Interest Rate on reserves</t>
  </si>
  <si>
    <t>VA State Recording/document tax $/$100 of value</t>
  </si>
  <si>
    <t>Debt Service Reserve Fund</t>
  </si>
  <si>
    <t>Switch</t>
  </si>
  <si>
    <t>LC Charge</t>
  </si>
  <si>
    <t>Fuel Taxes (%)</t>
  </si>
  <si>
    <t>Property Tangible Assets per $100</t>
  </si>
  <si>
    <t>yr 0-</t>
  </si>
  <si>
    <t>DSRF months</t>
  </si>
  <si>
    <t>These are effective rates</t>
  </si>
  <si>
    <t>and older</t>
  </si>
  <si>
    <t>Real Property per $100</t>
  </si>
  <si>
    <t>Cash Flow</t>
  </si>
  <si>
    <t>DELMARVA PRELIMINARY CAPITAL BUDGET</t>
  </si>
  <si>
    <t>PROJECT CAPITAL COSTS</t>
  </si>
  <si>
    <t>Book</t>
  </si>
  <si>
    <t>Tax</t>
  </si>
  <si>
    <t>Depreciation</t>
  </si>
  <si>
    <t>Major Equipment</t>
  </si>
  <si>
    <t>US $ MM</t>
  </si>
  <si>
    <t>Category</t>
  </si>
  <si>
    <t>Equipment Costs</t>
  </si>
  <si>
    <t>Balance of EPC</t>
  </si>
  <si>
    <t>Other</t>
  </si>
  <si>
    <t>Duties on Equipment</t>
  </si>
  <si>
    <t xml:space="preserve">   Total Major Equipment</t>
  </si>
  <si>
    <t>Engineering / Construction</t>
  </si>
  <si>
    <t xml:space="preserve">   Total Engineering / Construction</t>
  </si>
  <si>
    <t>Land</t>
  </si>
  <si>
    <t>Transmission Costs</t>
  </si>
  <si>
    <t>AES Development Cost Reimbursement</t>
  </si>
  <si>
    <t>Six Ring Bus</t>
  </si>
  <si>
    <t xml:space="preserve">   Total Other</t>
  </si>
  <si>
    <t>Soft Costs</t>
  </si>
  <si>
    <t>Development Cost Budget</t>
  </si>
  <si>
    <t>Construction Over-site budget</t>
  </si>
  <si>
    <t>(000's/mo)</t>
  </si>
  <si>
    <t xml:space="preserve">Other </t>
  </si>
  <si>
    <t>Financing Fees</t>
  </si>
  <si>
    <t>Spares and Tools</t>
  </si>
  <si>
    <t>Builders Risk Insurance</t>
  </si>
  <si>
    <t>Of EPC K</t>
  </si>
  <si>
    <t>O&amp;M Mobilization</t>
  </si>
  <si>
    <t>Lender Legal</t>
  </si>
  <si>
    <t>Vehicles</t>
  </si>
  <si>
    <t>Document Recording Tax (State of VA tax)</t>
  </si>
  <si>
    <t>Working Capital</t>
  </si>
  <si>
    <t xml:space="preserve">Debt Reserve </t>
  </si>
  <si>
    <t>Environmental Impact Assessment</t>
  </si>
  <si>
    <t xml:space="preserve">   Total Soft Costs</t>
  </si>
  <si>
    <t>Contingency</t>
  </si>
  <si>
    <t xml:space="preserve">   Total Contingency</t>
  </si>
  <si>
    <t>Interest During Construction</t>
  </si>
  <si>
    <t>TOTAL PROJECT COSTS</t>
  </si>
  <si>
    <t>Fuel</t>
  </si>
  <si>
    <t>O&amp;M</t>
  </si>
  <si>
    <t>Stratus Report</t>
  </si>
  <si>
    <t>Options</t>
  </si>
  <si>
    <t>Net Option Premium</t>
  </si>
  <si>
    <t xml:space="preserve">Esculated </t>
  </si>
  <si>
    <t>Capacity</t>
  </si>
  <si>
    <t>$/kW-Yr-Non Esculated</t>
  </si>
  <si>
    <t>$/kW-Yr- Esculated</t>
  </si>
  <si>
    <t>Capacity Factor</t>
  </si>
  <si>
    <t>Case</t>
  </si>
  <si>
    <t>1= Base Case</t>
  </si>
  <si>
    <t>Production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</si>
  <si>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</si>
  <si>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</si>
  <si>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</si>
  <si>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</si>
  <si>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</si>
  <si>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</si>
  <si>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</si>
  <si>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</si>
  <si>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</si>
  <si>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</si>
  <si>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</si>
  <si>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</si>
  <si>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Percentage</t>
  </si>
  <si>
    <t>Monthly Fuel Prices</t>
  </si>
  <si>
    <t>Base Case =1</t>
  </si>
  <si>
    <t>Stratus had calculations that would not properly calculate the capacity factor normally</t>
  </si>
  <si>
    <t>Spot Rates</t>
  </si>
  <si>
    <t>BOT Down Side=0</t>
  </si>
  <si>
    <t>Project Revenues</t>
  </si>
  <si>
    <t>US $ 000s</t>
  </si>
  <si>
    <t>Months of Operation</t>
  </si>
  <si>
    <t>Energy Production (Diesel):</t>
  </si>
  <si>
    <t>Capacity Installed (MW)</t>
  </si>
  <si>
    <t>Annual Dispatch</t>
  </si>
  <si>
    <t>Operating Hours</t>
  </si>
  <si>
    <t xml:space="preserve">   Net Energy Available for Sale</t>
  </si>
  <si>
    <t>REVENUES</t>
  </si>
  <si>
    <t>MWh's Consumed</t>
  </si>
  <si>
    <t>Cumulative Plant Generating Hrs</t>
  </si>
  <si>
    <t>Fixed:</t>
  </si>
  <si>
    <t>Contract Capacity</t>
  </si>
  <si>
    <t>Capacity Pricing from Stratus ($/MW-Yr)</t>
  </si>
  <si>
    <t>Total Capacity Charges</t>
  </si>
  <si>
    <t>July/August Options</t>
  </si>
  <si>
    <t>MWhs/during month</t>
  </si>
  <si>
    <t>Net Escalated Option Revenue</t>
  </si>
  <si>
    <t>Spot Revenue</t>
  </si>
  <si>
    <t>Spot Rate/MWh</t>
  </si>
  <si>
    <t>MWh's Sold</t>
  </si>
  <si>
    <t>Escalated Spot Revenue</t>
  </si>
  <si>
    <t>Total Variable Charges</t>
  </si>
  <si>
    <t>Tariff Summary</t>
  </si>
  <si>
    <t xml:space="preserve">    Spot Revenue with adjustment factor</t>
  </si>
  <si>
    <t>Total cents/kWh</t>
  </si>
  <si>
    <t>Average price years (1-10)</t>
  </si>
  <si>
    <t>Average price years (11-15)</t>
  </si>
  <si>
    <t>Delmarva, VA</t>
  </si>
  <si>
    <t>Spot Market Revenue</t>
  </si>
  <si>
    <t>Months</t>
  </si>
  <si>
    <t>Generation</t>
  </si>
  <si>
    <t>Spot Prices</t>
  </si>
  <si>
    <t>Revenue</t>
  </si>
  <si>
    <t>Total MWhs</t>
  </si>
  <si>
    <t>Total Revenue</t>
  </si>
  <si>
    <t>Escalated Total Spot Revenue</t>
  </si>
  <si>
    <t>Annual Average Spot Price</t>
  </si>
  <si>
    <t>Annual Average Unesculated Spot Price</t>
  </si>
  <si>
    <t>Project Fuel Charges</t>
  </si>
  <si>
    <t>Heat Rate (Btu / kWh)</t>
  </si>
  <si>
    <t>Consumption</t>
  </si>
  <si>
    <t>$/MMBtu</t>
  </si>
  <si>
    <t>MWH</t>
  </si>
  <si>
    <t>MMBtus's/yr</t>
  </si>
  <si>
    <t>Barrels /year</t>
  </si>
  <si>
    <t>TOTAL FUELS COST- Esculated</t>
  </si>
  <si>
    <t>TOTAL per MWh generated</t>
  </si>
  <si>
    <t>Strike Price</t>
  </si>
  <si>
    <t>Operating Expenses</t>
  </si>
  <si>
    <t>Cumulative Operating Hours</t>
  </si>
  <si>
    <t>O &amp; M Costs:</t>
  </si>
  <si>
    <t xml:space="preserve">                   Total O&amp;M</t>
  </si>
  <si>
    <t xml:space="preserve">                       Total Other</t>
  </si>
  <si>
    <t xml:space="preserve">      TOTAL OPERATING EXPS</t>
  </si>
  <si>
    <t>O&amp;M Cost/kWh w/o other</t>
  </si>
  <si>
    <t>O&amp;M Cost/kWh Total</t>
  </si>
  <si>
    <t>Maintenance Accrual</t>
  </si>
  <si>
    <t>Beginning Balance</t>
  </si>
  <si>
    <t>Maintenance Accrual Exp</t>
  </si>
  <si>
    <t>Ending Balance</t>
  </si>
  <si>
    <t>Interest Income</t>
  </si>
  <si>
    <t>Cummulative Spare Turbine Payments</t>
  </si>
  <si>
    <t>Property Tax</t>
  </si>
  <si>
    <t>Tangible Asset Value</t>
  </si>
  <si>
    <t>Rate on Machinery</t>
  </si>
  <si>
    <t>Tangible Property</t>
  </si>
  <si>
    <t>Land Value</t>
  </si>
  <si>
    <t>Rate for Real property</t>
  </si>
  <si>
    <t>Total Property</t>
  </si>
  <si>
    <t>Working Capital Requirement</t>
  </si>
  <si>
    <t>Annual increase/(release)</t>
  </si>
  <si>
    <t>Project Income Statement</t>
  </si>
  <si>
    <t>Project Revenues:</t>
  </si>
  <si>
    <t xml:space="preserve">    Capacity Charges</t>
  </si>
  <si>
    <t xml:space="preserve">    Option Revenue</t>
  </si>
  <si>
    <t xml:space="preserve">    Spot Revenue</t>
  </si>
  <si>
    <t>Total Project Revenues</t>
  </si>
  <si>
    <t>Project Operating Expenses:</t>
  </si>
  <si>
    <t xml:space="preserve">   Fuel Charges</t>
  </si>
  <si>
    <t xml:space="preserve">   O&amp;M</t>
  </si>
  <si>
    <t xml:space="preserve">   Other O&amp;M</t>
  </si>
  <si>
    <t>Total Operating Expenses</t>
  </si>
  <si>
    <t>Operating Income</t>
  </si>
  <si>
    <t>Project Interest Expense:</t>
  </si>
  <si>
    <t xml:space="preserve">   Long Term Debt</t>
  </si>
  <si>
    <t xml:space="preserve">   LC Charge on DSRF</t>
  </si>
  <si>
    <t xml:space="preserve">   Interest Income </t>
  </si>
  <si>
    <t>Total Debt Services</t>
  </si>
  <si>
    <t>EBDT</t>
  </si>
  <si>
    <t>Depreciation &amp; Amortization</t>
  </si>
  <si>
    <t>Earnings Before Taxes</t>
  </si>
  <si>
    <t>VA Income Taxes</t>
  </si>
  <si>
    <t>Book Income Taxes</t>
  </si>
  <si>
    <t>Total Taxes</t>
  </si>
  <si>
    <t>NET BOOK INCOME</t>
  </si>
  <si>
    <t xml:space="preserve">   O&amp;M Expenses</t>
  </si>
  <si>
    <t xml:space="preserve">   Working Capital Changes</t>
  </si>
  <si>
    <t xml:space="preserve">   Return of Maintenance Reserve</t>
  </si>
  <si>
    <t>Operating Cash Flow</t>
  </si>
  <si>
    <t>Debt Service:</t>
  </si>
  <si>
    <t xml:space="preserve">   Interest Payments</t>
  </si>
  <si>
    <t xml:space="preserve">   Principal Payments</t>
  </si>
  <si>
    <t xml:space="preserve">      Total Debt Service</t>
  </si>
  <si>
    <t>Federal Income Taxes</t>
  </si>
  <si>
    <t>NET A-T CASH FLOW</t>
  </si>
  <si>
    <t>Debt Service Coverage Ratios</t>
  </si>
  <si>
    <t>Debt Life</t>
  </si>
  <si>
    <t>Long Term Debt</t>
  </si>
  <si>
    <t xml:space="preserve">     Interest</t>
  </si>
  <si>
    <t xml:space="preserve">     Principal</t>
  </si>
  <si>
    <t>Long Term Debt Service</t>
  </si>
  <si>
    <t>TOTAL DEBT SERVICE</t>
  </si>
  <si>
    <t>DSC Ratios:</t>
  </si>
  <si>
    <t xml:space="preserve">    Long Term DSCR</t>
  </si>
  <si>
    <t xml:space="preserve">    Average</t>
  </si>
  <si>
    <t xml:space="preserve">    Minimum</t>
  </si>
  <si>
    <t xml:space="preserve">    Average Life</t>
  </si>
  <si>
    <t>Total Debt Coverage Ratio</t>
  </si>
  <si>
    <t>DSRF Maintenance</t>
  </si>
  <si>
    <t>(Addition)/release</t>
  </si>
  <si>
    <t>LC Charge for DSRF</t>
  </si>
  <si>
    <t>Check</t>
  </si>
  <si>
    <t>Date</t>
  </si>
  <si>
    <t>Draw Schedule &amp; Capital Budget</t>
  </si>
  <si>
    <t>Construction Term</t>
  </si>
  <si>
    <t>Financing Months</t>
  </si>
  <si>
    <t>Net Interest During Consturction</t>
  </si>
  <si>
    <t>EQUITY &amp; DEBT FUNDING:</t>
  </si>
  <si>
    <t>TOTAL DRAW DOWN</t>
  </si>
  <si>
    <t>INITIAL TOTAL DRAW DOWN</t>
  </si>
  <si>
    <t>INITIAL EQUITY &amp; DEBT FUNDING:</t>
  </si>
  <si>
    <t>INTEREST DURING CONSTRUCTION - Page 2</t>
  </si>
  <si>
    <t>CONSTRUCTION FINANCING TERMS:</t>
  </si>
  <si>
    <t>Commitment ($000s)</t>
  </si>
  <si>
    <t>Rate</t>
  </si>
  <si>
    <t>Spread</t>
  </si>
  <si>
    <t>Swap</t>
  </si>
  <si>
    <t>Other Fees</t>
  </si>
  <si>
    <t>Draw</t>
  </si>
  <si>
    <t>Fund Monthly Commitment</t>
  </si>
  <si>
    <t>Aggregate fund consumption</t>
  </si>
  <si>
    <t>Ending Cash Balance</t>
  </si>
  <si>
    <t>Previous Months Interest Accrued</t>
  </si>
  <si>
    <t>Aggregate Draw Downs</t>
  </si>
  <si>
    <t>Interest Accrued</t>
  </si>
  <si>
    <t xml:space="preserve">    Total Other Fee</t>
  </si>
  <si>
    <t>Monthly Interest income</t>
  </si>
  <si>
    <t>Monthly Interest</t>
  </si>
  <si>
    <t>Net Monthly interest expense/(income)</t>
  </si>
  <si>
    <t>Total Interest During Construction</t>
  </si>
  <si>
    <t>Total Other Fees</t>
  </si>
  <si>
    <t>Total Capital Costs</t>
  </si>
  <si>
    <t>Cumulative Capital Costs</t>
  </si>
  <si>
    <t>Equity by Year</t>
  </si>
  <si>
    <t>Total Equity</t>
  </si>
  <si>
    <t>If All Equity</t>
  </si>
  <si>
    <t>BOOK DEPRECIATION</t>
  </si>
  <si>
    <t>Depreciate</t>
  </si>
  <si>
    <t>Total in</t>
  </si>
  <si>
    <t>(1=Yes,0=No)</t>
  </si>
  <si>
    <t>TAX DEPRECIATION</t>
  </si>
  <si>
    <t>TOTAL TAX DEPRECIATION</t>
  </si>
  <si>
    <t xml:space="preserve">   &amp; AMORTIZATION</t>
  </si>
  <si>
    <t>BEGINNING BALANCE</t>
  </si>
  <si>
    <t>ENDING BALANCE</t>
  </si>
  <si>
    <t>INCOME TAXES</t>
  </si>
  <si>
    <t>EBTDA</t>
  </si>
  <si>
    <t>Tax Depreciation</t>
  </si>
  <si>
    <t>VA State Income Taxes</t>
  </si>
  <si>
    <t>Earnings After State Taxes</t>
  </si>
  <si>
    <t xml:space="preserve">NOL Carryforward </t>
  </si>
  <si>
    <t xml:space="preserve">   Beginning Balance of NOL</t>
  </si>
  <si>
    <t xml:space="preserve">   Additions</t>
  </si>
  <si>
    <t xml:space="preserve">   NOL Carryforwards Used</t>
  </si>
  <si>
    <t xml:space="preserve">   Ending Bal of NOL Carryforwards</t>
  </si>
  <si>
    <t>Taxable Income</t>
  </si>
  <si>
    <t>Tax Rate Determination:</t>
  </si>
  <si>
    <t xml:space="preserve">      Net Tax Rate</t>
  </si>
  <si>
    <t>Adjusted Taxable Income</t>
  </si>
  <si>
    <t>Tax Liability Before Credits</t>
  </si>
  <si>
    <t>Income Taxes Paid (Not including Property Tax)</t>
  </si>
  <si>
    <t>Construction Draw Schedule Phase I</t>
  </si>
  <si>
    <t>Month of Construction</t>
  </si>
  <si>
    <t>Contract year</t>
  </si>
  <si>
    <t xml:space="preserve">Tranche 1: </t>
  </si>
  <si>
    <t>Principal:</t>
  </si>
  <si>
    <t>M</t>
  </si>
  <si>
    <t>Interest Rate:</t>
  </si>
  <si>
    <t xml:space="preserve">Term </t>
  </si>
  <si>
    <t>Semiannual Periods</t>
  </si>
  <si>
    <t>Amortization Method</t>
  </si>
  <si>
    <t>Grace Period</t>
  </si>
  <si>
    <t>Years</t>
  </si>
  <si>
    <t>Principal</t>
  </si>
  <si>
    <t>Interest</t>
  </si>
  <si>
    <t>Payment</t>
  </si>
  <si>
    <t>Summary</t>
  </si>
  <si>
    <t>Total Payment</t>
  </si>
  <si>
    <t>Payment Principal</t>
  </si>
  <si>
    <t>Debt Service Phase II</t>
  </si>
  <si>
    <t>Months /year</t>
  </si>
  <si>
    <t>Other!</t>
  </si>
  <si>
    <t>Long Term</t>
  </si>
  <si>
    <t>Peak Season Weight</t>
  </si>
  <si>
    <t>Non-Peak Season Weight</t>
  </si>
  <si>
    <t xml:space="preserve"> Debt Amort</t>
  </si>
  <si>
    <t>ENA Price Risk Mgmt Debt</t>
  </si>
  <si>
    <t>Cash To(From) Equity from Draw</t>
  </si>
  <si>
    <t>Cash To Equity from Ops</t>
  </si>
  <si>
    <t>XNPV</t>
  </si>
  <si>
    <t>XIRR</t>
  </si>
  <si>
    <t>TOTAL FCF</t>
  </si>
  <si>
    <t>Free Cash Flows</t>
  </si>
  <si>
    <t>PROJECT TECO</t>
  </si>
  <si>
    <t>Preliminary Option Premium</t>
  </si>
  <si>
    <t>($ in thousands)</t>
  </si>
  <si>
    <t>MW available</t>
  </si>
  <si>
    <t>Fuel used</t>
  </si>
  <si>
    <t>FO2</t>
  </si>
  <si>
    <t>FO2/NG</t>
  </si>
  <si>
    <t>NG</t>
  </si>
  <si>
    <t>Extrinsic value</t>
  </si>
  <si>
    <t>Intrinsic value</t>
  </si>
  <si>
    <t>Option premium *</t>
  </si>
  <si>
    <t>Fixed O&amp;M (inc SG&amp;A)</t>
  </si>
  <si>
    <t>Discounted at</t>
  </si>
  <si>
    <t>Initial Collateral Value</t>
  </si>
  <si>
    <t>Less Fixed O&amp;M</t>
  </si>
  <si>
    <t>Residual Collateral Value</t>
  </si>
  <si>
    <t>$/kw</t>
  </si>
  <si>
    <t>Balance on Debt</t>
  </si>
  <si>
    <t>Delta</t>
  </si>
  <si>
    <t>Term Outstanding</t>
  </si>
  <si>
    <t>Average Life</t>
  </si>
  <si>
    <t>ENA Assumptions</t>
  </si>
  <si>
    <t>Project Year</t>
  </si>
  <si>
    <t>Term</t>
  </si>
  <si>
    <t>Interest Rate</t>
  </si>
  <si>
    <t>Equity IRR</t>
  </si>
  <si>
    <t>Spread Over Treasuries</t>
  </si>
  <si>
    <t>Treasury Rate</t>
  </si>
  <si>
    <t>ENA</t>
  </si>
  <si>
    <t>Bond-Years</t>
  </si>
  <si>
    <t>FCF NPV@</t>
  </si>
  <si>
    <t>Financing Fee</t>
  </si>
  <si>
    <t>Original Debt</t>
  </si>
  <si>
    <t xml:space="preserve">   Fixed Pmt from ENA</t>
  </si>
  <si>
    <t xml:space="preserve">   Floating Pmt from ENA</t>
  </si>
  <si>
    <t xml:space="preserve">   Floating Pmt to ENA</t>
  </si>
  <si>
    <t xml:space="preserve">   Fixed Pmt to ENA</t>
  </si>
  <si>
    <t>Non-Investment Grade</t>
  </si>
  <si>
    <t>Fee Sensitivity Analysis</t>
  </si>
  <si>
    <t>T + 150 bps</t>
  </si>
  <si>
    <t>Equity Returns</t>
  </si>
  <si>
    <t>T + 250 bps</t>
  </si>
  <si>
    <t>ENA Fee</t>
  </si>
  <si>
    <t>$ MM</t>
  </si>
  <si>
    <t>Total Output (MW's)</t>
  </si>
  <si>
    <t>15 year proforma</t>
  </si>
  <si>
    <t xml:space="preserve">Rate: T (6.50%)+ 450 bps </t>
  </si>
  <si>
    <t>50% Leverage</t>
  </si>
  <si>
    <t>Equity ROE of 14.31%</t>
  </si>
  <si>
    <t>Each 10 bp equals .98% of Value (PV 20, 8%)</t>
  </si>
  <si>
    <t>TECO Base Case:</t>
  </si>
  <si>
    <t xml:space="preserve">   Equity ROE: 18.14%</t>
  </si>
  <si>
    <t xml:space="preserve">   Debt: T+450 bps</t>
  </si>
  <si>
    <t xml:space="preserve">   Term: 15 yr. Proforma</t>
  </si>
  <si>
    <t xml:space="preserve">   Debt Ratio: 51%</t>
  </si>
  <si>
    <t>MW's</t>
  </si>
  <si>
    <t>All-in Cap Cost</t>
  </si>
  <si>
    <t>50 MW Block NOT Taken OutNo ENA Fees Taken Out</t>
  </si>
  <si>
    <t>Tot Op. EXPS w/o Mgmt &amp; Mkt. Fee</t>
  </si>
  <si>
    <t>Fixed O&amp;M (Yvan's Numbers)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</si>
</sst>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h:mm\ AM/PM"/>
    <numFmt numFmtId="165" formatCode="#,##0.0"/>
    <numFmt numFmtId="166" formatCode="&quot;$&quot;#,##0.00"/>
    <numFmt numFmtId="168" formatCode="hh:mm"/>
    <numFmt numFmtId="169" formatCode="0.0%"/>
    <numFmt numFmtId="170" formatCode="&quot;$&quot;#,##0"/>
    <numFmt numFmtId="171" formatCode="&quot;$&quot;#,##0.0000"/>
    <numFmt numFmtId="172" formatCode=";;;"/>
    <numFmt numFmtId="173" formatCode="#,##0.000"/>
    <numFmt numFmtId="174" formatCode="&quot;$&quot;#,##0.0"/>
    <numFmt numFmtId="175" formatCode="&quot;$&quot;#,##0.000"/>
    <numFmt numFmtId="176" formatCode="&quot;$&quot;#,##0.00000"/>
    <numFmt numFmtId="177" formatCode="&quot;$&quot;#,##0.0000000"/>
    <numFmt numFmtId="178" formatCode="0.000"/>
    <numFmt numFmtId="179" formatCode="0.0"/>
    <numFmt numFmtId="180" formatCode="0.0000"/>
    <numFmt numFmtId="181" formatCode="General;[Red]\-General"/>
    <numFmt numFmtId="184" formatCode="0.000%"/>
    <numFmt numFmtId="186" formatCode="_(&quot;$&quot;* #,##0.0_);_(&quot;$&quot;* \(#,##0.0\);_(&quot;$&quot;* &quot;-&quot;??_);_(@_)"/>
    <numFmt numFmtId="188" formatCode="_(&quot;$&quot;* #,##0_);_(&quot;$&quot;* \(#,##0\);_(&quot;$&quot;* &quot;-&quot;??_);_(@_)"/>
    <numFmt numFmtId="207" formatCode="0.0000000000000000000000%"/>
    <numFmt numFmtId="210" formatCode="_(* #,##0_);_(* \(#,##0\);_(* &quot;-&quot;??_);_(@_)"/>
    <numFmt numFmtId="211" formatCode="m/d/yy"/>
  </numFmts>
  <fonts count="38">
    <font>
      <sz val="12"/>
      <name val="P-TIMES"/>
    </font>
    <font>
      <b/>
      <i/>
      <sz val="18"/>
      <name val="Times New Roman"/>
    </font>
    <font>
      <b/>
      <sz val="12"/>
      <name val="Times New Roman"/>
    </font>
    <font>
      <sz val="12"/>
      <name val="Times New Roman"/>
    </font>
    <font>
      <u/>
      <sz val="12"/>
      <name val="Times New Roman"/>
    </font>
    <font>
      <b/>
      <u/>
      <sz val="12"/>
      <name val="Times New Roman"/>
    </font>
    <font>
      <i/>
      <sz val="12"/>
      <name val="Times New Roman"/>
    </font>
    <font>
      <b/>
      <i/>
      <u/>
      <sz val="12"/>
      <name val="Times New Roman"/>
    </font>
    <font>
      <sz val="8"/>
      <name val="P-TIMES"/>
    </font>
    <font>
      <b/>
      <sz val="10"/>
      <color indexed="10"/>
      <name val="Times New Roman"/>
    </font>
    <font>
      <i/>
      <sz val="10"/>
      <name val="Times New Roman"/>
    </font>
    <font>
      <sz val="12"/>
      <color indexed="8"/>
      <name val="Times New Roman"/>
    </font>
    <font>
      <b/>
      <sz val="12"/>
      <color indexed="8"/>
      <name val="Times New Roman"/>
    </font>
    <font>
      <u/>
      <sz val="12"/>
      <color indexed="8"/>
      <name val="Times New Roman"/>
    </font>
    <font>
      <i/>
      <sz val="8"/>
      <name val="Times New Roman"/>
    </font>
    <font>
      <sz val="8"/>
      <name val="Times New Roman"/>
    </font>
    <font>
      <b/>
      <i/>
      <sz val="12"/>
      <name val="Times New Roman"/>
    </font>
    <font>
      <b/>
      <i/>
      <sz val="18"/>
      <name val="P-TIMES"/>
    </font>
    <font>
      <sz val="12"/>
      <name val="P-TIMES"/>
    </font>
    <font>
      <b/>
      <sz val="8"/>
      <name val="Times New Roman"/>
    </font>
    <font>
      <b/>
      <sz val="10"/>
      <name val="Times New Roman"/>
    </font>
    <font>
      <sz val="10"/>
      <name val="Times New Roman"/>
    </font>
    <font>
      <b/>
      <sz val="12"/>
      <name val="P-TIMES"/>
    </font>
    <font>
      <b/>
      <u/>
      <sz val="12"/>
      <name val="P-TIMES"/>
    </font>
    <font>
      <b/>
      <sz val="14"/>
      <name val="Times New Roman"/>
    </font>
    <font>
      <i/>
      <u/>
      <sz val="12"/>
      <name val="Times New Roman"/>
    </font>
    <font>
      <sz val="12"/>
      <color indexed="9"/>
      <name val="Times New Roman"/>
    </font>
    <font>
      <u/>
      <sz val="12"/>
      <name val="P-TIMES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 val="singleAccounting"/>
      <sz val="10"/>
      <name val="Times New Roman"/>
      <family val="1"/>
    </font>
    <font>
      <sz val="10"/>
      <name val="Arial"/>
    </font>
    <font>
      <b/>
      <sz val="12"/>
      <color indexed="12"/>
      <name val="Times New Roman"/>
      <family val="1"/>
    </font>
    <font>
      <u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/>
    </fill>
    <fill>
      <patternFill patternType="solid">
        <bgColor indexed="9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thick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43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170" fontId="3" fillId="0" borderId="0"/>
    <xf numFmtId="0" fontId="3" fillId="0" borderId="0"/>
    <xf numFmtId="170" fontId="3" fillId="0" borderId="0"/>
    <xf numFmtId="0" fontId="3" fillId="0" borderId="0"/>
    <xf numFmtId="170" fontId="18" fillId="0" borderId="0"/>
    <xf numFmtId="170" fontId="18" fillId="0" borderId="0"/>
    <xf numFmtId="0" fontId="35" fillId="0" borderId="0"/>
    <xf numFmtId="170" fontId="18" fillId="0" borderId="0"/>
    <xf numFmtId="0" fontId="3" fillId="0" borderId="0"/>
    <xf numFmtId="0" fontId="3" fillId="0" borderId="0"/>
    <xf numFmtId="3" fontId="18" fillId="0" borderId="0"/>
    <xf numFmtId="0" fontId="3" fillId="0" borderId="0"/>
    <xf numFmtId="170" fontId="18" fillId="0" borderId="0"/>
    <xf numFmtId="9" fontId="35" fillId="0" borderId="0" applyFont="0" applyFill="0" applyBorder="0" applyAlignment="0" applyProtection="0"/>
  </cellStyleXfs>
  <cellXfs count="849">
    <xf numFmtId="0" fontId="3" fillId="0" borderId="0" xfId="0" applyNumberFormat="1" applyFont="1" applyAlignment="1"/>
    <xf numFmtId="0" fontId="0" fillId="0" borderId="1" xfId="0" applyNumberFormat="1" applyBorder="1"/>
    <xf numFmtId="0" fontId="0" fillId="0" borderId="0" xfId="0" applyNumberFormat="1" applyFont="1" applyAlignment="1"/>
    <xf numFmtId="0" fontId="0" fillId="0" borderId="0" xfId="0" applyFont="1" applyAlignment="1"/>
    <xf numFmtId="0" fontId="1" fillId="2" borderId="0" xfId="0" applyNumberFormat="1" applyFont="1" applyFill="1" applyAlignment="1"/>
    <xf numFmtId="0" fontId="2" fillId="2" borderId="0" xfId="0" applyNumberFormat="1" applyFont="1" applyFill="1" applyAlignment="1" applyProtection="1">
      <protection locked="0"/>
    </xf>
    <xf numFmtId="0" fontId="3" fillId="0" borderId="0" xfId="0" applyNumberFormat="1" applyFont="1" applyAlignment="1" applyProtection="1">
      <protection locked="0"/>
    </xf>
    <xf numFmtId="0" fontId="3" fillId="0" borderId="0" xfId="0" applyFont="1" applyAlignment="1"/>
    <xf numFmtId="0" fontId="0" fillId="0" borderId="0" xfId="0" applyNumberFormat="1" applyFont="1" applyAlignment="1" applyProtection="1">
      <protection locked="0"/>
    </xf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 applyProtection="1">
      <protection locked="0"/>
    </xf>
    <xf numFmtId="4" fontId="3" fillId="0" borderId="0" xfId="0" applyNumberFormat="1" applyFont="1" applyAlignment="1" applyProtection="1">
      <protection locked="0"/>
    </xf>
    <xf numFmtId="0" fontId="3" fillId="3" borderId="0" xfId="0" applyFont="1" applyFill="1" applyAlignment="1"/>
    <xf numFmtId="0" fontId="2" fillId="4" borderId="0" xfId="0" applyNumberFormat="1" applyFont="1" applyFill="1" applyAlignment="1" applyProtection="1">
      <protection locked="0"/>
    </xf>
    <xf numFmtId="169" fontId="2" fillId="4" borderId="0" xfId="0" applyNumberFormat="1" applyFont="1" applyFill="1" applyAlignment="1" applyProtection="1">
      <protection locked="0"/>
    </xf>
    <xf numFmtId="4" fontId="2" fillId="4" borderId="0" xfId="0" applyNumberFormat="1" applyFont="1" applyFill="1" applyAlignment="1" applyProtection="1">
      <protection locked="0"/>
    </xf>
    <xf numFmtId="0" fontId="3" fillId="2" borderId="0" xfId="0" applyNumberFormat="1" applyFont="1" applyFill="1" applyAlignment="1" applyProtection="1">
      <protection locked="0"/>
    </xf>
    <xf numFmtId="0" fontId="2" fillId="2" borderId="4" xfId="0" applyNumberFormat="1" applyFont="1" applyFill="1" applyBorder="1" applyAlignment="1"/>
    <xf numFmtId="0" fontId="3" fillId="0" borderId="5" xfId="0" applyFont="1" applyBorder="1" applyAlignment="1"/>
    <xf numFmtId="0" fontId="3" fillId="0" borderId="5" xfId="0" applyNumberFormat="1" applyFont="1" applyBorder="1" applyAlignment="1"/>
    <xf numFmtId="0" fontId="3" fillId="0" borderId="1" xfId="0" applyFont="1" applyBorder="1" applyAlignment="1"/>
    <xf numFmtId="0" fontId="2" fillId="0" borderId="4" xfId="0" applyFont="1" applyBorder="1" applyAlignment="1"/>
    <xf numFmtId="0" fontId="3" fillId="0" borderId="1" xfId="0" applyNumberFormat="1" applyFont="1" applyBorder="1" applyAlignment="1" applyProtection="1">
      <protection locked="0"/>
    </xf>
    <xf numFmtId="0" fontId="3" fillId="2" borderId="4" xfId="0" applyNumberFormat="1" applyFont="1" applyFill="1" applyBorder="1" applyAlignment="1" applyProtection="1">
      <alignment horizontal="center"/>
      <protection locked="0"/>
    </xf>
    <xf numFmtId="0" fontId="0" fillId="0" borderId="5" xfId="0" applyBorder="1"/>
    <xf numFmtId="0" fontId="2" fillId="0" borderId="5" xfId="0" applyNumberFormat="1" applyFont="1" applyBorder="1" applyAlignment="1"/>
    <xf numFmtId="0" fontId="2" fillId="0" borderId="5" xfId="0" applyFont="1" applyBorder="1" applyAlignment="1">
      <alignment horizontal="center"/>
    </xf>
    <xf numFmtId="0" fontId="3" fillId="0" borderId="1" xfId="0" applyNumberFormat="1" applyFont="1" applyBorder="1" applyAlignment="1"/>
    <xf numFmtId="0" fontId="2" fillId="2" borderId="5" xfId="0" applyNumberFormat="1" applyFont="1" applyFill="1" applyBorder="1" applyAlignment="1" applyProtection="1">
      <protection locked="0"/>
    </xf>
    <xf numFmtId="10" fontId="2" fillId="2" borderId="5" xfId="0" applyNumberFormat="1" applyFont="1" applyFill="1" applyBorder="1" applyAlignment="1" applyProtection="1">
      <protection locked="0"/>
    </xf>
    <xf numFmtId="0" fontId="0" fillId="0" borderId="1" xfId="0" applyBorder="1"/>
    <xf numFmtId="0" fontId="3" fillId="2" borderId="1" xfId="0" applyNumberFormat="1" applyFont="1" applyFill="1" applyBorder="1" applyAlignment="1"/>
    <xf numFmtId="0" fontId="4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4" fontId="3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>
      <alignment horizontal="center"/>
    </xf>
    <xf numFmtId="0" fontId="2" fillId="2" borderId="1" xfId="0" applyNumberFormat="1" applyFont="1" applyFill="1" applyBorder="1" applyAlignment="1" applyProtection="1">
      <protection locked="0"/>
    </xf>
    <xf numFmtId="0" fontId="5" fillId="2" borderId="0" xfId="0" applyNumberFormat="1" applyFont="1" applyFill="1" applyAlignment="1">
      <alignment horizontal="center"/>
    </xf>
    <xf numFmtId="4" fontId="3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10" fontId="3" fillId="2" borderId="5" xfId="0" applyNumberFormat="1" applyFont="1" applyFill="1" applyBorder="1" applyAlignment="1" applyProtection="1">
      <alignment horizontal="center"/>
      <protection locked="0"/>
    </xf>
    <xf numFmtId="0" fontId="3" fillId="2" borderId="0" xfId="0" applyNumberFormat="1" applyFont="1" applyFill="1" applyAlignment="1" applyProtection="1">
      <alignment horizontal="center"/>
      <protection locked="0"/>
    </xf>
    <xf numFmtId="17" fontId="3" fillId="2" borderId="0" xfId="0" applyNumberFormat="1" applyFont="1" applyFill="1" applyAlignment="1" applyProtection="1">
      <alignment horizontal="center"/>
      <protection locked="0"/>
    </xf>
    <xf numFmtId="0" fontId="2" fillId="0" borderId="1" xfId="0" applyFont="1" applyBorder="1" applyAlignment="1"/>
    <xf numFmtId="166" fontId="3" fillId="0" borderId="0" xfId="0" applyNumberFormat="1" applyFont="1" applyAlignment="1">
      <alignment horizontal="center"/>
    </xf>
    <xf numFmtId="10" fontId="3" fillId="0" borderId="0" xfId="0" applyNumberFormat="1" applyFont="1" applyAlignment="1" applyProtection="1">
      <alignment horizontal="center"/>
      <protection locked="0"/>
    </xf>
    <xf numFmtId="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/>
    <xf numFmtId="0" fontId="3" fillId="0" borderId="0" xfId="0" applyFont="1" applyAlignment="1">
      <alignment horizontal="center"/>
    </xf>
    <xf numFmtId="4" fontId="3" fillId="0" borderId="1" xfId="0" applyNumberFormat="1" applyFont="1" applyBorder="1" applyAlignment="1" applyProtection="1">
      <protection locked="0"/>
    </xf>
    <xf numFmtId="0" fontId="5" fillId="0" borderId="0" xfId="0" applyFont="1" applyAlignment="1">
      <alignment horizontal="center"/>
    </xf>
    <xf numFmtId="0" fontId="5" fillId="2" borderId="1" xfId="0" applyNumberFormat="1" applyFont="1" applyFill="1" applyBorder="1" applyAlignment="1"/>
    <xf numFmtId="0" fontId="3" fillId="0" borderId="0" xfId="0" applyNumberFormat="1" applyFont="1" applyAlignment="1" applyProtection="1">
      <alignment horizontal="center"/>
      <protection locked="0"/>
    </xf>
    <xf numFmtId="9" fontId="3" fillId="2" borderId="0" xfId="0" applyNumberFormat="1" applyFont="1" applyFill="1" applyAlignment="1" applyProtection="1">
      <alignment horizontal="center"/>
      <protection locked="0"/>
    </xf>
    <xf numFmtId="0" fontId="6" fillId="2" borderId="1" xfId="0" applyNumberFormat="1" applyFont="1" applyFill="1" applyBorder="1" applyAlignment="1"/>
    <xf numFmtId="166" fontId="3" fillId="2" borderId="0" xfId="0" applyNumberFormat="1" applyFont="1" applyFill="1" applyAlignment="1" applyProtection="1">
      <alignment horizontal="center"/>
      <protection locked="0"/>
    </xf>
    <xf numFmtId="3" fontId="3" fillId="2" borderId="0" xfId="0" applyNumberFormat="1" applyFont="1" applyFill="1" applyAlignment="1"/>
    <xf numFmtId="3" fontId="3" fillId="2" borderId="0" xfId="0" applyNumberFormat="1" applyFont="1" applyFill="1" applyAlignment="1">
      <alignment horizontal="center"/>
    </xf>
    <xf numFmtId="0" fontId="4" fillId="0" borderId="0" xfId="0" applyFont="1" applyAlignment="1"/>
    <xf numFmtId="9" fontId="4" fillId="0" borderId="0" xfId="0" applyNumberFormat="1" applyFont="1" applyAlignment="1" applyProtection="1">
      <alignment horizontal="center"/>
      <protection locked="0"/>
    </xf>
    <xf numFmtId="169" fontId="4" fillId="0" borderId="0" xfId="0" applyNumberFormat="1" applyFont="1" applyAlignment="1" applyProtection="1">
      <alignment horizontal="center"/>
      <protection locked="0"/>
    </xf>
    <xf numFmtId="17" fontId="3" fillId="0" borderId="0" xfId="0" applyNumberFormat="1" applyFont="1" applyAlignment="1" applyProtection="1">
      <alignment horizontal="center"/>
      <protection locked="0"/>
    </xf>
    <xf numFmtId="0" fontId="3" fillId="2" borderId="5" xfId="0" applyNumberFormat="1" applyFont="1" applyFill="1" applyBorder="1" applyAlignment="1" applyProtection="1">
      <protection locked="0"/>
    </xf>
    <xf numFmtId="3" fontId="3" fillId="2" borderId="5" xfId="0" applyNumberFormat="1" applyFont="1" applyFill="1" applyBorder="1" applyAlignment="1" applyProtection="1">
      <protection locked="0"/>
    </xf>
    <xf numFmtId="4" fontId="3" fillId="2" borderId="5" xfId="0" applyNumberFormat="1" applyFont="1" applyFill="1" applyBorder="1" applyAlignment="1" applyProtection="1">
      <protection locked="0"/>
    </xf>
    <xf numFmtId="3" fontId="3" fillId="2" borderId="5" xfId="0" applyNumberFormat="1" applyFont="1" applyFill="1" applyBorder="1" applyAlignment="1"/>
    <xf numFmtId="10" fontId="3" fillId="2" borderId="0" xfId="0" applyNumberFormat="1" applyFont="1" applyFill="1" applyAlignment="1" applyProtection="1">
      <alignment horizontal="center"/>
      <protection locked="0"/>
    </xf>
    <xf numFmtId="0" fontId="7" fillId="2" borderId="1" xfId="0" applyNumberFormat="1" applyFont="1" applyFill="1" applyBorder="1" applyAlignment="1"/>
    <xf numFmtId="0" fontId="5" fillId="2" borderId="0" xfId="0" applyFont="1" applyFill="1" applyAlignment="1">
      <alignment horizontal="center"/>
    </xf>
    <xf numFmtId="0" fontId="2" fillId="2" borderId="1" xfId="0" applyNumberFormat="1" applyFont="1" applyFill="1" applyBorder="1" applyAlignment="1"/>
    <xf numFmtId="171" fontId="3" fillId="2" borderId="0" xfId="0" applyNumberFormat="1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3" fontId="3" fillId="0" borderId="0" xfId="0" applyNumberFormat="1" applyFont="1" applyAlignment="1" applyProtection="1">
      <alignment horizontal="center"/>
      <protection locked="0"/>
    </xf>
    <xf numFmtId="0" fontId="3" fillId="0" borderId="5" xfId="0" applyNumberFormat="1" applyFont="1" applyBorder="1" applyAlignment="1" applyProtection="1">
      <protection locked="0"/>
    </xf>
    <xf numFmtId="0" fontId="3" fillId="0" borderId="4" xfId="0" applyNumberFormat="1" applyFont="1" applyBorder="1" applyAlignment="1"/>
    <xf numFmtId="169" fontId="3" fillId="2" borderId="0" xfId="0" applyNumberFormat="1" applyFont="1" applyFill="1" applyAlignment="1" applyProtection="1">
      <alignment horizontal="center"/>
      <protection locked="0"/>
    </xf>
    <xf numFmtId="0" fontId="2" fillId="0" borderId="5" xfId="0" applyNumberFormat="1" applyFont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NumberFormat="1" applyFont="1" applyFill="1" applyAlignment="1">
      <alignment horizontal="center"/>
    </xf>
    <xf numFmtId="169" fontId="3" fillId="2" borderId="5" xfId="0" applyNumberFormat="1" applyFont="1" applyFill="1" applyBorder="1" applyAlignment="1" applyProtection="1">
      <alignment horizontal="center"/>
      <protection locked="0"/>
    </xf>
    <xf numFmtId="10" fontId="2" fillId="2" borderId="0" xfId="0" applyNumberFormat="1" applyFont="1" applyFill="1" applyAlignment="1">
      <alignment horizontal="center"/>
    </xf>
    <xf numFmtId="3" fontId="3" fillId="2" borderId="0" xfId="0" applyNumberFormat="1" applyFont="1" applyFill="1" applyAlignment="1" applyProtection="1">
      <alignment horizontal="center"/>
      <protection locked="0"/>
    </xf>
    <xf numFmtId="171" fontId="3" fillId="2" borderId="0" xfId="0" applyNumberFormat="1" applyFont="1" applyFill="1" applyAlignment="1" applyProtection="1">
      <alignment horizontal="center"/>
      <protection locked="0"/>
    </xf>
    <xf numFmtId="170" fontId="3" fillId="2" borderId="0" xfId="0" applyNumberFormat="1" applyFont="1" applyFill="1" applyAlignment="1" applyProtection="1">
      <alignment horizontal="center"/>
      <protection locked="0"/>
    </xf>
    <xf numFmtId="0" fontId="2" fillId="2" borderId="0" xfId="0" applyNumberFormat="1" applyFont="1" applyFill="1" applyAlignment="1" applyProtection="1">
      <alignment horizontal="center"/>
      <protection locked="0"/>
    </xf>
    <xf numFmtId="0" fontId="6" fillId="0" borderId="0" xfId="0" applyFont="1" applyAlignment="1"/>
    <xf numFmtId="173" fontId="6" fillId="2" borderId="0" xfId="0" applyNumberFormat="1" applyFont="1" applyFill="1" applyAlignment="1">
      <alignment horizontal="left"/>
    </xf>
    <xf numFmtId="0" fontId="3" fillId="2" borderId="5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/>
    <xf numFmtId="0" fontId="2" fillId="2" borderId="5" xfId="0" applyNumberFormat="1" applyFont="1" applyFill="1" applyBorder="1" applyAlignment="1"/>
    <xf numFmtId="165" fontId="3" fillId="0" borderId="0" xfId="0" applyNumberFormat="1" applyFont="1" applyAlignment="1"/>
    <xf numFmtId="0" fontId="1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"/>
    </xf>
    <xf numFmtId="0" fontId="2" fillId="4" borderId="0" xfId="0" applyNumberFormat="1" applyFont="1" applyFill="1" applyAlignment="1"/>
    <xf numFmtId="0" fontId="3" fillId="4" borderId="0" xfId="0" applyNumberFormat="1" applyFont="1" applyFill="1" applyAlignment="1"/>
    <xf numFmtId="0" fontId="2" fillId="4" borderId="0" xfId="0" applyNumberFormat="1" applyFont="1" applyFill="1" applyAlignment="1">
      <alignment horizontal="center"/>
    </xf>
    <xf numFmtId="0" fontId="0" fillId="0" borderId="0" xfId="0"/>
    <xf numFmtId="0" fontId="2" fillId="2" borderId="0" xfId="0" applyNumberFormat="1" applyFont="1" applyFill="1" applyAlignment="1"/>
    <xf numFmtId="0" fontId="3" fillId="2" borderId="5" xfId="0" applyNumberFormat="1" applyFont="1" applyFill="1" applyBorder="1" applyAlignment="1"/>
    <xf numFmtId="0" fontId="2" fillId="2" borderId="4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/>
    <xf numFmtId="3" fontId="2" fillId="2" borderId="1" xfId="0" applyNumberFormat="1" applyFont="1" applyFill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11" fillId="0" borderId="1" xfId="0" applyFont="1" applyBorder="1" applyAlignment="1"/>
    <xf numFmtId="172" fontId="2" fillId="2" borderId="0" xfId="0" applyNumberFormat="1" applyFont="1" applyFill="1" applyAlignment="1" applyProtection="1">
      <protection hidden="1"/>
    </xf>
    <xf numFmtId="0" fontId="2" fillId="0" borderId="0" xfId="0" applyNumberFormat="1" applyFont="1" applyAlignment="1">
      <alignment horizontal="center"/>
    </xf>
    <xf numFmtId="0" fontId="12" fillId="0" borderId="1" xfId="0" applyFont="1" applyBorder="1" applyAlignment="1"/>
    <xf numFmtId="3" fontId="3" fillId="0" borderId="0" xfId="0" applyNumberFormat="1" applyFont="1" applyAlignment="1"/>
    <xf numFmtId="0" fontId="5" fillId="0" borderId="1" xfId="0" applyNumberFormat="1" applyFont="1" applyBorder="1" applyAlignment="1">
      <alignment horizontal="center"/>
    </xf>
    <xf numFmtId="0" fontId="5" fillId="0" borderId="0" xfId="0" applyNumberFormat="1" applyFont="1" applyAlignment="1">
      <alignment horizontal="center"/>
    </xf>
    <xf numFmtId="175" fontId="3" fillId="2" borderId="3" xfId="0" applyNumberFormat="1" applyFont="1" applyFill="1" applyBorder="1" applyAlignment="1" applyProtection="1">
      <alignment horizontal="center"/>
      <protection locked="0"/>
    </xf>
    <xf numFmtId="175" fontId="11" fillId="2" borderId="1" xfId="0" applyNumberFormat="1" applyFont="1" applyFill="1" applyBorder="1" applyAlignment="1" applyProtection="1">
      <alignment horizontal="center"/>
      <protection locked="0"/>
    </xf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Alignment="1"/>
    <xf numFmtId="0" fontId="0" fillId="0" borderId="3" xfId="0" applyNumberFormat="1" applyBorder="1"/>
    <xf numFmtId="175" fontId="13" fillId="2" borderId="1" xfId="0" applyNumberFormat="1" applyFont="1" applyFill="1" applyBorder="1" applyAlignment="1" applyProtection="1">
      <alignment horizontal="center"/>
      <protection locked="0"/>
    </xf>
    <xf numFmtId="175" fontId="3" fillId="0" borderId="3" xfId="0" applyNumberFormat="1" applyFont="1" applyBorder="1" applyAlignment="1" applyProtection="1">
      <alignment horizontal="center"/>
      <protection locked="0"/>
    </xf>
    <xf numFmtId="170" fontId="14" fillId="2" borderId="0" xfId="0" applyNumberFormat="1" applyFont="1" applyFill="1" applyAlignment="1">
      <alignment horizontal="center"/>
    </xf>
    <xf numFmtId="175" fontId="4" fillId="2" borderId="3" xfId="0" applyNumberFormat="1" applyFont="1" applyFill="1" applyBorder="1" applyAlignment="1" applyProtection="1">
      <alignment horizontal="center"/>
      <protection locked="0"/>
    </xf>
    <xf numFmtId="0" fontId="11" fillId="2" borderId="1" xfId="0" applyNumberFormat="1" applyFont="1" applyFill="1" applyBorder="1" applyAlignment="1" applyProtection="1">
      <protection locked="0"/>
    </xf>
    <xf numFmtId="175" fontId="3" fillId="2" borderId="3" xfId="0" applyNumberFormat="1" applyFont="1" applyFill="1" applyBorder="1" applyAlignment="1">
      <alignment horizontal="center"/>
    </xf>
    <xf numFmtId="0" fontId="12" fillId="2" borderId="1" xfId="0" applyNumberFormat="1" applyFont="1" applyFill="1" applyBorder="1" applyAlignment="1" applyProtection="1">
      <protection locked="0"/>
    </xf>
    <xf numFmtId="166" fontId="10" fillId="2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0" fontId="15" fillId="2" borderId="0" xfId="0" applyNumberFormat="1" applyFont="1" applyFill="1" applyAlignment="1"/>
    <xf numFmtId="173" fontId="6" fillId="2" borderId="0" xfId="0" applyNumberFormat="1" applyFont="1" applyFill="1" applyAlignment="1" applyProtection="1">
      <alignment horizontal="center"/>
      <protection locked="0"/>
    </xf>
    <xf numFmtId="3" fontId="3" fillId="0" borderId="0" xfId="0" applyNumberFormat="1" applyFont="1" applyAlignment="1" applyProtection="1">
      <protection locked="0"/>
    </xf>
    <xf numFmtId="10" fontId="3" fillId="0" borderId="1" xfId="0" applyNumberFormat="1" applyFont="1" applyBorder="1" applyAlignment="1"/>
    <xf numFmtId="10" fontId="3" fillId="0" borderId="0" xfId="0" applyNumberFormat="1" applyFont="1" applyAlignment="1" applyProtection="1">
      <protection locked="0"/>
    </xf>
    <xf numFmtId="10" fontId="10" fillId="2" borderId="0" xfId="0" applyNumberFormat="1" applyFont="1" applyFill="1" applyAlignment="1" applyProtection="1">
      <alignment horizontal="center"/>
      <protection locked="0"/>
    </xf>
    <xf numFmtId="169" fontId="6" fillId="2" borderId="0" xfId="0" applyNumberFormat="1" applyFont="1" applyFill="1" applyAlignment="1" applyProtection="1">
      <alignment horizontal="center"/>
      <protection locked="0"/>
    </xf>
    <xf numFmtId="0" fontId="16" fillId="2" borderId="1" xfId="0" applyNumberFormat="1" applyFont="1" applyFill="1" applyBorder="1" applyAlignment="1"/>
    <xf numFmtId="175" fontId="12" fillId="2" borderId="1" xfId="0" applyNumberFormat="1" applyFont="1" applyFill="1" applyBorder="1" applyAlignment="1" applyProtection="1">
      <alignment horizontal="center"/>
      <protection locked="0"/>
    </xf>
    <xf numFmtId="175" fontId="2" fillId="2" borderId="3" xfId="0" applyNumberFormat="1" applyFont="1" applyFill="1" applyBorder="1" applyAlignment="1" applyProtection="1">
      <alignment horizontal="center"/>
      <protection locked="0"/>
    </xf>
    <xf numFmtId="170" fontId="2" fillId="2" borderId="1" xfId="0" applyNumberFormat="1" applyFont="1" applyFill="1" applyBorder="1" applyAlignment="1">
      <alignment horizontal="center"/>
    </xf>
    <xf numFmtId="0" fontId="3" fillId="2" borderId="5" xfId="0" applyFont="1" applyFill="1" applyBorder="1" applyAlignment="1"/>
    <xf numFmtId="172" fontId="3" fillId="2" borderId="5" xfId="0" applyNumberFormat="1" applyFont="1" applyFill="1" applyBorder="1" applyAlignment="1" applyProtection="1">
      <alignment horizontal="center"/>
      <protection locked="0" hidden="1"/>
    </xf>
    <xf numFmtId="0" fontId="3" fillId="2" borderId="0" xfId="0" applyFont="1" applyFill="1" applyAlignment="1"/>
    <xf numFmtId="172" fontId="3" fillId="2" borderId="0" xfId="0" applyNumberFormat="1" applyFont="1" applyFill="1" applyAlignment="1" applyProtection="1">
      <alignment horizontal="center"/>
      <protection locked="0" hidden="1"/>
    </xf>
    <xf numFmtId="0" fontId="14" fillId="2" borderId="0" xfId="0" applyNumberFormat="1" applyFont="1" applyFill="1" applyAlignment="1"/>
    <xf numFmtId="0" fontId="17" fillId="0" borderId="0" xfId="0" applyFont="1" applyAlignment="1"/>
    <xf numFmtId="0" fontId="3" fillId="0" borderId="0" xfId="12" applyAlignment="1"/>
    <xf numFmtId="0" fontId="2" fillId="0" borderId="0" xfId="12" applyNumberFormat="1" applyFont="1" applyAlignment="1"/>
    <xf numFmtId="0" fontId="2" fillId="0" borderId="0" xfId="12" applyNumberFormat="1" applyFont="1" applyAlignment="1">
      <alignment horizontal="center"/>
    </xf>
    <xf numFmtId="2" fontId="3" fillId="0" borderId="0" xfId="12" applyNumberFormat="1"/>
    <xf numFmtId="0" fontId="3" fillId="0" borderId="0" xfId="12" applyFont="1" applyAlignment="1">
      <alignment horizontal="center"/>
    </xf>
    <xf numFmtId="170" fontId="3" fillId="0" borderId="0" xfId="12" applyNumberFormat="1"/>
    <xf numFmtId="166" fontId="4" fillId="0" borderId="0" xfId="12" applyNumberFormat="1" applyFont="1" applyAlignment="1"/>
    <xf numFmtId="166" fontId="3" fillId="0" borderId="0" xfId="12" applyNumberFormat="1"/>
    <xf numFmtId="0" fontId="3" fillId="0" borderId="0" xfId="12" applyNumberFormat="1" applyFont="1" applyAlignment="1"/>
    <xf numFmtId="10" fontId="3" fillId="0" borderId="0" xfId="12" applyNumberFormat="1"/>
    <xf numFmtId="176" fontId="3" fillId="0" borderId="0" xfId="12" applyNumberFormat="1"/>
    <xf numFmtId="0" fontId="3" fillId="0" borderId="0" xfId="12" applyNumberFormat="1" applyFont="1" applyAlignment="1" applyProtection="1">
      <alignment horizontal="center"/>
      <protection locked="0"/>
    </xf>
    <xf numFmtId="0" fontId="3" fillId="0" borderId="0" xfId="12" applyNumberFormat="1" applyProtection="1">
      <protection locked="0"/>
    </xf>
    <xf numFmtId="0" fontId="3" fillId="0" borderId="0" xfId="12" applyNumberFormat="1"/>
    <xf numFmtId="0" fontId="2" fillId="0" borderId="4" xfId="12" applyNumberFormat="1" applyFont="1" applyBorder="1" applyAlignment="1"/>
    <xf numFmtId="0" fontId="2" fillId="0" borderId="5" xfId="12" applyFont="1" applyBorder="1" applyAlignment="1"/>
    <xf numFmtId="0" fontId="2" fillId="0" borderId="4" xfId="12" applyFont="1" applyBorder="1" applyAlignment="1"/>
    <xf numFmtId="0" fontId="3" fillId="0" borderId="1" xfId="12" applyBorder="1"/>
    <xf numFmtId="0" fontId="3" fillId="0" borderId="1" xfId="12" applyNumberFormat="1" applyBorder="1"/>
    <xf numFmtId="4" fontId="3" fillId="0" borderId="0" xfId="12" applyNumberFormat="1" applyProtection="1">
      <protection locked="0"/>
    </xf>
    <xf numFmtId="4" fontId="3" fillId="0" borderId="1" xfId="12" applyNumberFormat="1" applyBorder="1" applyProtection="1">
      <protection locked="0"/>
    </xf>
    <xf numFmtId="0" fontId="2" fillId="0" borderId="1" xfId="12" applyNumberFormat="1" applyFont="1" applyBorder="1" applyAlignment="1"/>
    <xf numFmtId="0" fontId="3" fillId="0" borderId="1" xfId="12" applyNumberFormat="1" applyBorder="1" applyProtection="1">
      <protection locked="0"/>
    </xf>
    <xf numFmtId="10" fontId="3" fillId="0" borderId="1" xfId="12" applyNumberFormat="1" applyBorder="1"/>
    <xf numFmtId="10" fontId="4" fillId="0" borderId="0" xfId="12" applyNumberFormat="1" applyFont="1" applyAlignment="1"/>
    <xf numFmtId="10" fontId="4" fillId="0" borderId="1" xfId="12" applyNumberFormat="1" applyFont="1" applyBorder="1" applyAlignment="1"/>
    <xf numFmtId="166" fontId="3" fillId="0" borderId="1" xfId="12" applyNumberFormat="1" applyBorder="1"/>
    <xf numFmtId="0" fontId="3" fillId="0" borderId="5" xfId="12" applyBorder="1"/>
    <xf numFmtId="166" fontId="3" fillId="0" borderId="5" xfId="12" applyNumberFormat="1" applyBorder="1" applyProtection="1">
      <protection locked="0"/>
    </xf>
    <xf numFmtId="166" fontId="3" fillId="0" borderId="0" xfId="12" applyNumberFormat="1" applyProtection="1">
      <protection locked="0"/>
    </xf>
    <xf numFmtId="166" fontId="3" fillId="0" borderId="1" xfId="12" applyNumberFormat="1" applyBorder="1" applyProtection="1">
      <protection locked="0"/>
    </xf>
    <xf numFmtId="10" fontId="3" fillId="0" borderId="0" xfId="12" applyNumberFormat="1" applyFont="1" applyAlignment="1" applyProtection="1">
      <protection locked="0"/>
    </xf>
    <xf numFmtId="10" fontId="2" fillId="0" borderId="0" xfId="12" applyNumberFormat="1" applyFont="1" applyAlignment="1" applyProtection="1">
      <protection locked="0"/>
    </xf>
    <xf numFmtId="10" fontId="3" fillId="0" borderId="0" xfId="12" applyNumberFormat="1" applyProtection="1">
      <protection locked="0"/>
    </xf>
    <xf numFmtId="0" fontId="2" fillId="0" borderId="5" xfId="12" applyNumberFormat="1" applyFont="1" applyBorder="1" applyAlignment="1"/>
    <xf numFmtId="166" fontId="3" fillId="0" borderId="5" xfId="12" applyNumberFormat="1" applyBorder="1"/>
    <xf numFmtId="3" fontId="3" fillId="0" borderId="0" xfId="12" applyNumberFormat="1" applyProtection="1">
      <protection locked="0"/>
    </xf>
    <xf numFmtId="3" fontId="4" fillId="0" borderId="0" xfId="12" applyNumberFormat="1" applyFont="1" applyAlignment="1" applyProtection="1">
      <protection locked="0"/>
    </xf>
    <xf numFmtId="3" fontId="3" fillId="0" borderId="0" xfId="12" applyNumberFormat="1"/>
    <xf numFmtId="0" fontId="3" fillId="0" borderId="5" xfId="12" applyNumberFormat="1" applyBorder="1"/>
    <xf numFmtId="177" fontId="3" fillId="0" borderId="0" xfId="12" applyNumberFormat="1"/>
    <xf numFmtId="0" fontId="1" fillId="2" borderId="0" xfId="13" applyNumberFormat="1" applyFont="1" applyFill="1" applyAlignment="1"/>
    <xf numFmtId="0" fontId="3" fillId="2" borderId="0" xfId="13" applyNumberFormat="1" applyFont="1" applyFill="1" applyAlignment="1"/>
    <xf numFmtId="0" fontId="2" fillId="2" borderId="0" xfId="13" applyNumberFormat="1" applyFont="1" applyFill="1" applyAlignment="1">
      <alignment horizontal="center"/>
    </xf>
    <xf numFmtId="0" fontId="18" fillId="0" borderId="0" xfId="13" applyNumberFormat="1" applyFont="1" applyAlignment="1" applyProtection="1">
      <protection locked="0"/>
    </xf>
    <xf numFmtId="0" fontId="2" fillId="2" borderId="2" xfId="13" applyNumberFormat="1" applyFont="1" applyFill="1" applyBorder="1" applyAlignment="1"/>
    <xf numFmtId="0" fontId="3" fillId="0" borderId="6" xfId="13" applyNumberFormat="1" applyFont="1" applyBorder="1" applyAlignment="1"/>
    <xf numFmtId="0" fontId="3" fillId="0" borderId="3" xfId="13" applyNumberFormat="1" applyFont="1" applyBorder="1" applyAlignment="1"/>
    <xf numFmtId="0" fontId="3" fillId="3" borderId="0" xfId="13" applyNumberFormat="1" applyFont="1" applyFill="1" applyAlignment="1"/>
    <xf numFmtId="0" fontId="3" fillId="0" borderId="0" xfId="13" applyNumberFormat="1" applyFont="1" applyAlignment="1"/>
    <xf numFmtId="0" fontId="5" fillId="2" borderId="0" xfId="13" applyNumberFormat="1" applyFont="1" applyFill="1" applyAlignment="1"/>
    <xf numFmtId="0" fontId="2" fillId="0" borderId="0" xfId="13" applyNumberFormat="1" applyFont="1" applyAlignment="1"/>
    <xf numFmtId="0" fontId="2" fillId="0" borderId="2" xfId="13" applyNumberFormat="1" applyFont="1" applyBorder="1" applyAlignment="1"/>
    <xf numFmtId="0" fontId="2" fillId="0" borderId="3" xfId="13" applyNumberFormat="1" applyFont="1" applyBorder="1" applyAlignment="1"/>
    <xf numFmtId="0" fontId="20" fillId="0" borderId="0" xfId="13" applyNumberFormat="1" applyFont="1" applyAlignment="1"/>
    <xf numFmtId="0" fontId="21" fillId="0" borderId="0" xfId="13" applyNumberFormat="1" applyFont="1" applyAlignment="1"/>
    <xf numFmtId="0" fontId="5" fillId="0" borderId="3" xfId="13" applyNumberFormat="1" applyFont="1" applyBorder="1" applyAlignment="1"/>
    <xf numFmtId="166" fontId="3" fillId="0" borderId="0" xfId="13" applyNumberFormat="1" applyFont="1" applyAlignment="1"/>
    <xf numFmtId="0" fontId="20" fillId="0" borderId="0" xfId="13" applyNumberFormat="1" applyFont="1" applyAlignment="1">
      <alignment horizontal="center"/>
    </xf>
    <xf numFmtId="0" fontId="21" fillId="0" borderId="0" xfId="13" applyNumberFormat="1" applyFont="1" applyAlignment="1">
      <alignment horizontal="center"/>
    </xf>
    <xf numFmtId="166" fontId="3" fillId="0" borderId="6" xfId="13" applyNumberFormat="1" applyFont="1" applyBorder="1" applyAlignment="1"/>
    <xf numFmtId="166" fontId="2" fillId="0" borderId="0" xfId="13" applyNumberFormat="1" applyFont="1" applyAlignment="1"/>
    <xf numFmtId="166" fontId="3" fillId="0" borderId="2" xfId="13" applyNumberFormat="1" applyFont="1" applyBorder="1" applyAlignment="1"/>
    <xf numFmtId="166" fontId="3" fillId="0" borderId="3" xfId="13" applyNumberFormat="1" applyFont="1" applyBorder="1" applyAlignment="1"/>
    <xf numFmtId="0" fontId="1" fillId="2" borderId="0" xfId="11" applyNumberFormat="1" applyFont="1" applyFill="1" applyAlignment="1"/>
    <xf numFmtId="0" fontId="3" fillId="2" borderId="0" xfId="11" applyNumberFormat="1" applyFont="1" applyFill="1" applyAlignment="1"/>
    <xf numFmtId="0" fontId="2" fillId="2" borderId="0" xfId="11" applyNumberFormat="1" applyFont="1" applyFill="1" applyAlignment="1">
      <alignment horizontal="center"/>
    </xf>
    <xf numFmtId="0" fontId="3" fillId="0" borderId="0" xfId="11" applyAlignment="1"/>
    <xf numFmtId="0" fontId="2" fillId="2" borderId="2" xfId="11" applyNumberFormat="1" applyFont="1" applyFill="1" applyBorder="1" applyAlignment="1"/>
    <xf numFmtId="0" fontId="3" fillId="0" borderId="6" xfId="11" applyNumberFormat="1" applyFont="1" applyBorder="1" applyAlignment="1"/>
    <xf numFmtId="0" fontId="3" fillId="0" borderId="3" xfId="11" applyNumberFormat="1" applyFont="1" applyBorder="1" applyAlignment="1"/>
    <xf numFmtId="15" fontId="3" fillId="2" borderId="0" xfId="11" applyNumberFormat="1" applyFont="1" applyFill="1" applyAlignment="1">
      <alignment horizontal="right"/>
    </xf>
    <xf numFmtId="0" fontId="3" fillId="3" borderId="0" xfId="11" applyNumberFormat="1" applyFont="1" applyFill="1" applyAlignment="1"/>
    <xf numFmtId="164" fontId="3" fillId="3" borderId="0" xfId="11" applyNumberFormat="1" applyFont="1" applyFill="1" applyAlignment="1">
      <alignment horizontal="right"/>
    </xf>
    <xf numFmtId="0" fontId="2" fillId="0" borderId="0" xfId="11" applyNumberFormat="1" applyFont="1" applyAlignment="1"/>
    <xf numFmtId="0" fontId="2" fillId="0" borderId="0" xfId="11" applyFont="1" applyAlignment="1"/>
    <xf numFmtId="3" fontId="3" fillId="0" borderId="0" xfId="11" applyNumberFormat="1"/>
    <xf numFmtId="4" fontId="4" fillId="0" borderId="0" xfId="11" applyNumberFormat="1" applyFont="1" applyAlignment="1"/>
    <xf numFmtId="170" fontId="3" fillId="0" borderId="0" xfId="11" applyNumberFormat="1"/>
    <xf numFmtId="170" fontId="3" fillId="2" borderId="0" xfId="11" applyNumberFormat="1" applyFont="1" applyFill="1" applyAlignment="1"/>
    <xf numFmtId="4" fontId="3" fillId="0" borderId="0" xfId="11" applyNumberFormat="1"/>
    <xf numFmtId="4" fontId="3" fillId="2" borderId="0" xfId="11" applyNumberFormat="1" applyFont="1" applyFill="1" applyAlignment="1"/>
    <xf numFmtId="3" fontId="3" fillId="2" borderId="0" xfId="11" applyNumberFormat="1" applyFont="1" applyFill="1" applyAlignment="1"/>
    <xf numFmtId="4" fontId="4" fillId="2" borderId="0" xfId="11" applyNumberFormat="1" applyFont="1" applyFill="1" applyAlignment="1"/>
    <xf numFmtId="0" fontId="2" fillId="2" borderId="0" xfId="11" applyNumberFormat="1" applyFont="1" applyFill="1" applyAlignment="1"/>
    <xf numFmtId="3" fontId="4" fillId="0" borderId="0" xfId="11" applyNumberFormat="1" applyFont="1" applyAlignment="1"/>
    <xf numFmtId="0" fontId="3" fillId="0" borderId="0" xfId="11" applyNumberFormat="1" applyFont="1" applyAlignment="1"/>
    <xf numFmtId="166" fontId="3" fillId="0" borderId="0" xfId="11" applyNumberFormat="1"/>
    <xf numFmtId="0" fontId="15" fillId="0" borderId="0" xfId="11" applyNumberFormat="1" applyFont="1" applyAlignment="1"/>
    <xf numFmtId="175" fontId="3" fillId="0" borderId="0" xfId="11" applyNumberFormat="1"/>
    <xf numFmtId="0" fontId="1" fillId="0" borderId="0" xfId="0" applyFont="1" applyAlignment="1"/>
    <xf numFmtId="0" fontId="18" fillId="0" borderId="0" xfId="0" applyNumberFormat="1" applyFont="1" applyAlignment="1" applyProtection="1">
      <protection locked="0"/>
    </xf>
    <xf numFmtId="0" fontId="2" fillId="0" borderId="2" xfId="0" applyFont="1" applyBorder="1" applyAlignment="1"/>
    <xf numFmtId="0" fontId="3" fillId="0" borderId="3" xfId="0" applyFont="1" applyBorder="1" applyAlignment="1"/>
    <xf numFmtId="0" fontId="5" fillId="0" borderId="0" xfId="0" applyFont="1" applyAlignment="1"/>
    <xf numFmtId="166" fontId="4" fillId="0" borderId="0" xfId="0" applyNumberFormat="1" applyFont="1" applyAlignment="1"/>
    <xf numFmtId="170" fontId="3" fillId="0" borderId="0" xfId="0" applyNumberFormat="1" applyFont="1" applyAlignment="1"/>
    <xf numFmtId="0" fontId="3" fillId="0" borderId="2" xfId="0" applyFont="1" applyBorder="1" applyAlignment="1"/>
    <xf numFmtId="0" fontId="3" fillId="0" borderId="6" xfId="0" applyFont="1" applyBorder="1" applyAlignment="1"/>
    <xf numFmtId="0" fontId="3" fillId="0" borderId="3" xfId="0" applyNumberFormat="1" applyFont="1" applyBorder="1" applyAlignment="1"/>
    <xf numFmtId="0" fontId="2" fillId="0" borderId="3" xfId="0" applyFont="1" applyBorder="1" applyAlignment="1"/>
    <xf numFmtId="170" fontId="5" fillId="0" borderId="0" xfId="0" applyNumberFormat="1" applyFont="1" applyAlignment="1"/>
    <xf numFmtId="166" fontId="2" fillId="0" borderId="0" xfId="0" applyNumberFormat="1" applyFont="1" applyAlignment="1">
      <alignment horizontal="right"/>
    </xf>
    <xf numFmtId="0" fontId="3" fillId="0" borderId="6" xfId="0" applyNumberFormat="1" applyFont="1" applyBorder="1" applyAlignment="1"/>
    <xf numFmtId="0" fontId="2" fillId="0" borderId="0" xfId="0" applyFont="1" applyAlignment="1"/>
    <xf numFmtId="0" fontId="2" fillId="0" borderId="0" xfId="0" applyNumberFormat="1" applyFont="1" applyAlignment="1"/>
    <xf numFmtId="4" fontId="2" fillId="0" borderId="0" xfId="0" applyNumberFormat="1" applyFont="1" applyAlignment="1"/>
    <xf numFmtId="0" fontId="1" fillId="0" borderId="0" xfId="10" applyNumberFormat="1" applyFont="1" applyAlignment="1"/>
    <xf numFmtId="0" fontId="18" fillId="0" borderId="0" xfId="10" applyNumberFormat="1" applyFont="1" applyAlignment="1" applyProtection="1">
      <protection locked="0"/>
    </xf>
    <xf numFmtId="0" fontId="22" fillId="0" borderId="0" xfId="10" applyNumberFormat="1" applyFont="1" applyAlignment="1">
      <alignment horizontal="center"/>
    </xf>
    <xf numFmtId="0" fontId="2" fillId="0" borderId="2" xfId="10" applyNumberFormat="1" applyFont="1" applyBorder="1" applyAlignment="1"/>
    <xf numFmtId="0" fontId="18" fillId="0" borderId="3" xfId="10" applyNumberFormat="1" applyBorder="1"/>
    <xf numFmtId="15" fontId="18" fillId="0" borderId="0" xfId="10" applyNumberFormat="1"/>
    <xf numFmtId="0" fontId="18" fillId="3" borderId="0" xfId="10" applyNumberFormat="1" applyFont="1" applyFill="1" applyAlignment="1"/>
    <xf numFmtId="0" fontId="23" fillId="0" borderId="0" xfId="10" applyNumberFormat="1" applyFont="1" applyAlignment="1"/>
    <xf numFmtId="1" fontId="5" fillId="2" borderId="0" xfId="10" applyNumberFormat="1" applyFont="1" applyFill="1" applyAlignment="1"/>
    <xf numFmtId="0" fontId="3" fillId="0" borderId="0" xfId="10" applyNumberFormat="1" applyFont="1" applyAlignment="1"/>
    <xf numFmtId="0" fontId="3" fillId="2" borderId="0" xfId="10" applyNumberFormat="1" applyFont="1" applyFill="1" applyAlignment="1"/>
    <xf numFmtId="3" fontId="3" fillId="0" borderId="0" xfId="10" applyNumberFormat="1" applyFont="1" applyAlignment="1"/>
    <xf numFmtId="3" fontId="5" fillId="2" borderId="0" xfId="10" applyNumberFormat="1" applyFont="1" applyFill="1" applyAlignment="1"/>
    <xf numFmtId="3" fontId="3" fillId="2" borderId="0" xfId="10" applyNumberFormat="1" applyFont="1" applyFill="1" applyAlignment="1"/>
    <xf numFmtId="170" fontId="3" fillId="2" borderId="0" xfId="10" applyFont="1" applyFill="1" applyAlignment="1"/>
    <xf numFmtId="170" fontId="3" fillId="2" borderId="0" xfId="10" applyNumberFormat="1" applyFont="1" applyFill="1" applyAlignment="1" applyProtection="1">
      <protection locked="0"/>
    </xf>
    <xf numFmtId="170" fontId="18" fillId="2" borderId="0" xfId="10" applyFill="1" applyAlignment="1"/>
    <xf numFmtId="3" fontId="2" fillId="2" borderId="0" xfId="10" applyNumberFormat="1" applyFont="1" applyFill="1" applyAlignment="1"/>
    <xf numFmtId="170" fontId="5" fillId="2" borderId="0" xfId="10" applyFont="1" applyFill="1" applyAlignment="1"/>
    <xf numFmtId="180" fontId="3" fillId="0" borderId="0" xfId="10" applyNumberFormat="1" applyFont="1" applyAlignment="1"/>
    <xf numFmtId="0" fontId="2" fillId="0" borderId="0" xfId="10" applyNumberFormat="1" applyFont="1" applyAlignment="1"/>
    <xf numFmtId="170" fontId="3" fillId="0" borderId="0" xfId="10" applyFont="1" applyAlignment="1"/>
    <xf numFmtId="180" fontId="4" fillId="0" borderId="0" xfId="10" applyNumberFormat="1" applyFont="1" applyAlignment="1"/>
    <xf numFmtId="0" fontId="4" fillId="0" borderId="0" xfId="10" applyNumberFormat="1" applyFont="1" applyAlignment="1"/>
    <xf numFmtId="170" fontId="4" fillId="0" borderId="0" xfId="10" applyFont="1" applyAlignment="1"/>
    <xf numFmtId="166" fontId="3" fillId="0" borderId="0" xfId="10" applyNumberFormat="1" applyFont="1" applyAlignment="1"/>
    <xf numFmtId="0" fontId="2" fillId="0" borderId="0" xfId="10" applyNumberFormat="1" applyFont="1" applyAlignment="1">
      <alignment horizontal="center"/>
    </xf>
    <xf numFmtId="0" fontId="18" fillId="0" borderId="0" xfId="10" applyNumberFormat="1" applyProtection="1">
      <protection locked="0"/>
    </xf>
    <xf numFmtId="3" fontId="1" fillId="2" borderId="0" xfId="7" applyNumberFormat="1" applyFont="1" applyFill="1" applyAlignment="1"/>
    <xf numFmtId="3" fontId="2" fillId="2" borderId="0" xfId="7" applyNumberFormat="1" applyFont="1" applyFill="1" applyAlignment="1"/>
    <xf numFmtId="181" fontId="2" fillId="0" borderId="0" xfId="7" applyNumberFormat="1" applyFont="1" applyAlignment="1">
      <alignment horizontal="center"/>
    </xf>
    <xf numFmtId="181" fontId="3" fillId="2" borderId="0" xfId="7" applyNumberFormat="1" applyFont="1" applyFill="1" applyAlignment="1"/>
    <xf numFmtId="181" fontId="18" fillId="0" borderId="0" xfId="7" applyNumberFormat="1" applyFont="1" applyAlignment="1" applyProtection="1">
      <protection locked="0"/>
    </xf>
    <xf numFmtId="3" fontId="2" fillId="2" borderId="2" xfId="7" applyNumberFormat="1" applyFont="1" applyFill="1" applyBorder="1" applyAlignment="1"/>
    <xf numFmtId="3" fontId="2" fillId="2" borderId="6" xfId="7" applyNumberFormat="1" applyFont="1" applyFill="1" applyBorder="1" applyAlignment="1"/>
    <xf numFmtId="3" fontId="2" fillId="2" borderId="3" xfId="7" applyNumberFormat="1" applyFont="1" applyFill="1" applyBorder="1" applyAlignment="1"/>
    <xf numFmtId="15" fontId="3" fillId="2" borderId="0" xfId="7" applyNumberFormat="1" applyFont="1" applyFill="1" applyAlignment="1">
      <alignment horizontal="right"/>
    </xf>
    <xf numFmtId="181" fontId="3" fillId="3" borderId="6" xfId="7" applyNumberFormat="1" applyFont="1" applyFill="1" applyBorder="1" applyAlignment="1"/>
    <xf numFmtId="3" fontId="2" fillId="4" borderId="6" xfId="7" applyNumberFormat="1" applyFont="1" applyFill="1" applyBorder="1" applyAlignment="1"/>
    <xf numFmtId="3" fontId="2" fillId="4" borderId="0" xfId="7" applyNumberFormat="1" applyFont="1" applyFill="1" applyAlignment="1"/>
    <xf numFmtId="164" fontId="3" fillId="4" borderId="0" xfId="7" applyNumberFormat="1" applyFont="1" applyFill="1" applyAlignment="1">
      <alignment horizontal="right"/>
    </xf>
    <xf numFmtId="3" fontId="3" fillId="2" borderId="0" xfId="7" applyNumberFormat="1" applyFont="1" applyFill="1" applyAlignment="1"/>
    <xf numFmtId="15" fontId="2" fillId="2" borderId="0" xfId="7" applyNumberFormat="1" applyFont="1" applyFill="1" applyAlignment="1"/>
    <xf numFmtId="0" fontId="5" fillId="2" borderId="0" xfId="7" applyNumberFormat="1" applyFont="1" applyFill="1" applyAlignment="1"/>
    <xf numFmtId="0" fontId="3" fillId="2" borderId="0" xfId="7" applyNumberFormat="1" applyFont="1" applyFill="1" applyAlignment="1"/>
    <xf numFmtId="3" fontId="5" fillId="2" borderId="0" xfId="7" applyNumberFormat="1" applyFont="1" applyFill="1" applyAlignment="1"/>
    <xf numFmtId="181" fontId="3" fillId="0" borderId="0" xfId="7" applyNumberFormat="1" applyFont="1" applyAlignment="1"/>
    <xf numFmtId="181" fontId="2" fillId="0" borderId="4" xfId="7" applyNumberFormat="1" applyFont="1" applyBorder="1" applyAlignment="1"/>
    <xf numFmtId="181" fontId="3" fillId="0" borderId="5" xfId="7" applyNumberFormat="1" applyFont="1" applyBorder="1" applyAlignment="1"/>
    <xf numFmtId="181" fontId="3" fillId="2" borderId="1" xfId="7" applyNumberFormat="1" applyFont="1" applyFill="1" applyBorder="1" applyAlignment="1"/>
    <xf numFmtId="181" fontId="3" fillId="0" borderId="1" xfId="7" applyNumberFormat="1" applyFont="1" applyBorder="1" applyAlignment="1"/>
    <xf numFmtId="170" fontId="3" fillId="2" borderId="0" xfId="7" applyFont="1" applyFill="1" applyAlignment="1"/>
    <xf numFmtId="181" fontId="2" fillId="0" borderId="1" xfId="7" applyNumberFormat="1" applyFont="1" applyBorder="1" applyAlignment="1"/>
    <xf numFmtId="3" fontId="2" fillId="2" borderId="1" xfId="7" applyNumberFormat="1" applyFont="1" applyFill="1" applyBorder="1" applyAlignment="1"/>
    <xf numFmtId="3" fontId="3" fillId="2" borderId="1" xfId="7" applyNumberFormat="1" applyFont="1" applyFill="1" applyBorder="1" applyAlignment="1"/>
    <xf numFmtId="3" fontId="6" fillId="2" borderId="0" xfId="7" applyNumberFormat="1" applyFont="1" applyFill="1" applyAlignment="1">
      <alignment horizontal="center"/>
    </xf>
    <xf numFmtId="3" fontId="6" fillId="0" borderId="0" xfId="7" applyNumberFormat="1" applyFont="1" applyAlignment="1">
      <alignment horizontal="center"/>
    </xf>
    <xf numFmtId="181" fontId="2" fillId="2" borderId="1" xfId="7" applyNumberFormat="1" applyFont="1" applyFill="1" applyBorder="1" applyAlignment="1"/>
    <xf numFmtId="181" fontId="3" fillId="2" borderId="5" xfId="7" applyNumberFormat="1" applyFont="1" applyFill="1" applyBorder="1" applyAlignment="1"/>
    <xf numFmtId="10" fontId="3" fillId="2" borderId="0" xfId="7" applyNumberFormat="1" applyFont="1" applyFill="1" applyAlignment="1"/>
    <xf numFmtId="169" fontId="3" fillId="2" borderId="0" xfId="7" applyNumberFormat="1" applyFont="1" applyFill="1" applyAlignment="1"/>
    <xf numFmtId="172" fontId="3" fillId="2" borderId="0" xfId="7" applyNumberFormat="1" applyFont="1" applyFill="1" applyAlignment="1" applyProtection="1">
      <protection hidden="1"/>
    </xf>
    <xf numFmtId="0" fontId="1" fillId="0" borderId="0" xfId="8" applyNumberFormat="1" applyFont="1" applyAlignment="1"/>
    <xf numFmtId="0" fontId="3" fillId="0" borderId="0" xfId="8" applyNumberFormat="1" applyFont="1" applyAlignment="1"/>
    <xf numFmtId="0" fontId="18" fillId="0" borderId="0" xfId="8" applyNumberFormat="1" applyFont="1" applyAlignment="1" applyProtection="1">
      <protection locked="0"/>
    </xf>
    <xf numFmtId="0" fontId="2" fillId="0" borderId="2" xfId="8" applyNumberFormat="1" applyFont="1" applyBorder="1" applyAlignment="1"/>
    <xf numFmtId="0" fontId="3" fillId="0" borderId="3" xfId="8" applyNumberFormat="1" applyFont="1" applyBorder="1" applyAlignment="1"/>
    <xf numFmtId="0" fontId="3" fillId="3" borderId="0" xfId="8" applyNumberFormat="1" applyFont="1" applyFill="1" applyAlignment="1"/>
    <xf numFmtId="0" fontId="3" fillId="2" borderId="0" xfId="8" applyNumberFormat="1" applyFont="1" applyFill="1" applyAlignment="1"/>
    <xf numFmtId="0" fontId="5" fillId="2" borderId="0" xfId="8" applyNumberFormat="1" applyFont="1" applyFill="1" applyAlignment="1"/>
    <xf numFmtId="0" fontId="3" fillId="0" borderId="4" xfId="8" applyNumberFormat="1" applyFont="1" applyBorder="1" applyAlignment="1"/>
    <xf numFmtId="0" fontId="3" fillId="0" borderId="5" xfId="8" applyNumberFormat="1" applyFont="1" applyBorder="1" applyAlignment="1"/>
    <xf numFmtId="0" fontId="3" fillId="0" borderId="1" xfId="8" applyNumberFormat="1" applyFont="1" applyBorder="1" applyAlignment="1"/>
    <xf numFmtId="170" fontId="3" fillId="0" borderId="0" xfId="8" applyFont="1" applyAlignment="1"/>
    <xf numFmtId="170" fontId="4" fillId="0" borderId="0" xfId="8" applyFont="1" applyAlignment="1"/>
    <xf numFmtId="3" fontId="2" fillId="2" borderId="1" xfId="8" applyNumberFormat="1" applyFont="1" applyFill="1" applyBorder="1" applyAlignment="1"/>
    <xf numFmtId="166" fontId="3" fillId="0" borderId="0" xfId="8" applyNumberFormat="1" applyFont="1" applyAlignment="1"/>
    <xf numFmtId="3" fontId="3" fillId="2" borderId="1" xfId="8" applyNumberFormat="1" applyFont="1" applyFill="1" applyBorder="1" applyAlignment="1"/>
    <xf numFmtId="10" fontId="3" fillId="0" borderId="0" xfId="8" applyNumberFormat="1" applyFont="1" applyAlignment="1"/>
    <xf numFmtId="0" fontId="2" fillId="0" borderId="1" xfId="8" applyNumberFormat="1" applyFont="1" applyBorder="1" applyAlignment="1"/>
    <xf numFmtId="170" fontId="5" fillId="0" borderId="0" xfId="8" applyFont="1" applyAlignment="1"/>
    <xf numFmtId="170" fontId="2" fillId="0" borderId="0" xfId="8" applyFont="1" applyAlignment="1"/>
    <xf numFmtId="0" fontId="1" fillId="2" borderId="0" xfId="3" applyNumberFormat="1" applyFont="1" applyFill="1" applyAlignment="1"/>
    <xf numFmtId="0" fontId="3" fillId="2" borderId="0" xfId="3" applyNumberFormat="1" applyFont="1" applyFill="1" applyAlignment="1"/>
    <xf numFmtId="0" fontId="3" fillId="0" borderId="0" xfId="3" applyNumberFormat="1" applyFont="1" applyAlignment="1" applyProtection="1">
      <protection locked="0"/>
    </xf>
    <xf numFmtId="0" fontId="2" fillId="2" borderId="2" xfId="3" applyNumberFormat="1" applyFont="1" applyFill="1" applyBorder="1" applyAlignment="1"/>
    <xf numFmtId="0" fontId="3" fillId="0" borderId="3" xfId="3" applyNumberFormat="1" applyFont="1" applyBorder="1" applyAlignment="1"/>
    <xf numFmtId="0" fontId="3" fillId="0" borderId="0" xfId="3" applyNumberFormat="1" applyFont="1" applyAlignment="1"/>
    <xf numFmtId="0" fontId="3" fillId="4" borderId="0" xfId="3" applyNumberFormat="1" applyFont="1" applyFill="1" applyAlignment="1"/>
    <xf numFmtId="3" fontId="3" fillId="3" borderId="0" xfId="3" applyNumberFormat="1" applyFont="1" applyFill="1" applyAlignment="1"/>
    <xf numFmtId="3" fontId="3" fillId="0" borderId="0" xfId="3" applyNumberFormat="1" applyFont="1" applyAlignment="1"/>
    <xf numFmtId="0" fontId="2" fillId="2" borderId="0" xfId="3" applyNumberFormat="1" applyFont="1" applyFill="1" applyAlignment="1"/>
    <xf numFmtId="0" fontId="2" fillId="2" borderId="6" xfId="3" applyNumberFormat="1" applyFont="1" applyFill="1" applyBorder="1" applyAlignment="1"/>
    <xf numFmtId="0" fontId="3" fillId="2" borderId="6" xfId="3" applyNumberFormat="1" applyFont="1" applyFill="1" applyBorder="1" applyAlignment="1"/>
    <xf numFmtId="0" fontId="3" fillId="0" borderId="3" xfId="3" applyNumberFormat="1" applyBorder="1"/>
    <xf numFmtId="0" fontId="3" fillId="2" borderId="3" xfId="3" applyNumberFormat="1" applyFont="1" applyFill="1" applyBorder="1" applyAlignment="1"/>
    <xf numFmtId="0" fontId="15" fillId="2" borderId="0" xfId="3" applyNumberFormat="1" applyFont="1" applyFill="1" applyAlignment="1"/>
    <xf numFmtId="170" fontId="3" fillId="2" borderId="0" xfId="3" applyFont="1" applyFill="1" applyAlignment="1"/>
    <xf numFmtId="10" fontId="3" fillId="2" borderId="0" xfId="3" applyNumberFormat="1" applyFont="1" applyFill="1" applyAlignment="1"/>
    <xf numFmtId="165" fontId="3" fillId="2" borderId="0" xfId="3" applyNumberFormat="1" applyFont="1" applyFill="1" applyAlignment="1"/>
    <xf numFmtId="0" fontId="3" fillId="0" borderId="6" xfId="3" applyNumberFormat="1" applyBorder="1"/>
    <xf numFmtId="0" fontId="2" fillId="2" borderId="4" xfId="3" applyNumberFormat="1" applyFont="1" applyFill="1" applyBorder="1" applyAlignment="1"/>
    <xf numFmtId="0" fontId="3" fillId="0" borderId="5" xfId="3" applyNumberFormat="1" applyBorder="1"/>
    <xf numFmtId="0" fontId="3" fillId="2" borderId="5" xfId="3" applyNumberFormat="1" applyFont="1" applyFill="1" applyBorder="1" applyAlignment="1"/>
    <xf numFmtId="0" fontId="3" fillId="0" borderId="1" xfId="3" applyNumberFormat="1" applyBorder="1"/>
    <xf numFmtId="0" fontId="3" fillId="2" borderId="1" xfId="3" applyNumberFormat="1" applyFont="1" applyFill="1" applyBorder="1" applyAlignment="1"/>
    <xf numFmtId="1" fontId="3" fillId="2" borderId="0" xfId="3" applyNumberFormat="1" applyFont="1" applyFill="1" applyAlignment="1"/>
    <xf numFmtId="0" fontId="3" fillId="2" borderId="0" xfId="3" applyNumberFormat="1" applyFont="1" applyFill="1" applyAlignment="1" applyProtection="1">
      <protection locked="0"/>
    </xf>
    <xf numFmtId="170" fontId="3" fillId="2" borderId="0" xfId="3" applyNumberFormat="1" applyFont="1" applyFill="1" applyAlignment="1" applyProtection="1">
      <protection locked="0"/>
    </xf>
    <xf numFmtId="0" fontId="2" fillId="2" borderId="1" xfId="3" applyNumberFormat="1" applyFont="1" applyFill="1" applyBorder="1" applyAlignment="1"/>
    <xf numFmtId="170" fontId="3" fillId="2" borderId="0" xfId="3" applyFill="1" applyAlignment="1"/>
    <xf numFmtId="166" fontId="3" fillId="0" borderId="0" xfId="3" applyNumberFormat="1"/>
    <xf numFmtId="0" fontId="1" fillId="0" borderId="0" xfId="4" applyFont="1" applyAlignment="1"/>
    <xf numFmtId="166" fontId="6" fillId="0" borderId="0" xfId="4" applyNumberFormat="1" applyFont="1" applyAlignment="1">
      <alignment horizontal="center"/>
    </xf>
    <xf numFmtId="0" fontId="3" fillId="0" borderId="0" xfId="4" applyFont="1" applyAlignment="1"/>
    <xf numFmtId="0" fontId="3" fillId="0" borderId="0" xfId="4" applyNumberFormat="1" applyFont="1" applyAlignment="1" applyProtection="1">
      <protection locked="0"/>
    </xf>
    <xf numFmtId="0" fontId="2" fillId="0" borderId="2" xfId="4" applyFont="1" applyBorder="1" applyAlignment="1"/>
    <xf numFmtId="166" fontId="6" fillId="0" borderId="6" xfId="4" applyNumberFormat="1" applyFont="1" applyBorder="1" applyAlignment="1">
      <alignment horizontal="center"/>
    </xf>
    <xf numFmtId="0" fontId="3" fillId="0" borderId="3" xfId="4" applyFont="1" applyBorder="1" applyAlignment="1"/>
    <xf numFmtId="0" fontId="3" fillId="3" borderId="0" xfId="4" applyFont="1" applyFill="1" applyAlignment="1"/>
    <xf numFmtId="166" fontId="6" fillId="3" borderId="0" xfId="4" applyNumberFormat="1" applyFont="1" applyFill="1" applyAlignment="1">
      <alignment horizontal="center"/>
    </xf>
    <xf numFmtId="0" fontId="2" fillId="3" borderId="0" xfId="4" applyFont="1" applyFill="1" applyAlignment="1"/>
    <xf numFmtId="0" fontId="3" fillId="0" borderId="0" xfId="4" applyNumberFormat="1" applyFont="1" applyAlignment="1"/>
    <xf numFmtId="0" fontId="3" fillId="0" borderId="0" xfId="4" applyAlignment="1"/>
    <xf numFmtId="0" fontId="5" fillId="0" borderId="0" xfId="4" applyFont="1" applyAlignment="1"/>
    <xf numFmtId="0" fontId="3" fillId="0" borderId="0" xfId="4" applyFont="1" applyAlignment="1">
      <alignment horizontal="center"/>
    </xf>
    <xf numFmtId="17" fontId="2" fillId="0" borderId="0" xfId="4" applyNumberFormat="1" applyFont="1" applyAlignment="1"/>
    <xf numFmtId="0" fontId="3" fillId="0" borderId="0" xfId="4" applyNumberFormat="1" applyFont="1" applyAlignment="1">
      <alignment horizontal="center"/>
    </xf>
    <xf numFmtId="0" fontId="16" fillId="0" borderId="0" xfId="4" applyFont="1" applyAlignment="1"/>
    <xf numFmtId="166" fontId="7" fillId="0" borderId="0" xfId="4" applyNumberFormat="1" applyFont="1" applyAlignment="1">
      <alignment horizontal="center"/>
    </xf>
    <xf numFmtId="0" fontId="3" fillId="0" borderId="4" xfId="4" applyFont="1" applyBorder="1" applyAlignment="1"/>
    <xf numFmtId="0" fontId="7" fillId="0" borderId="5" xfId="4" applyFont="1" applyBorder="1" applyAlignment="1">
      <alignment horizontal="left"/>
    </xf>
    <xf numFmtId="0" fontId="3" fillId="0" borderId="5" xfId="4" applyNumberFormat="1" applyFont="1" applyBorder="1" applyAlignment="1"/>
    <xf numFmtId="0" fontId="3" fillId="0" borderId="5" xfId="4" applyFont="1" applyBorder="1" applyAlignment="1"/>
    <xf numFmtId="0" fontId="3" fillId="0" borderId="5" xfId="4" applyNumberFormat="1" applyBorder="1"/>
    <xf numFmtId="0" fontId="3" fillId="0" borderId="1" xfId="4" applyNumberFormat="1" applyBorder="1"/>
    <xf numFmtId="10" fontId="3" fillId="0" borderId="1" xfId="4" applyNumberFormat="1" applyFont="1" applyBorder="1" applyAlignment="1" applyProtection="1">
      <protection locked="0"/>
    </xf>
    <xf numFmtId="10" fontId="3" fillId="0" borderId="0" xfId="4" applyNumberFormat="1" applyFont="1" applyAlignment="1" applyProtection="1">
      <protection locked="0"/>
    </xf>
    <xf numFmtId="10" fontId="3" fillId="0" borderId="0" xfId="4" applyNumberFormat="1" applyFont="1" applyAlignment="1">
      <alignment horizontal="center"/>
    </xf>
    <xf numFmtId="10" fontId="3" fillId="0" borderId="1" xfId="4" applyNumberFormat="1" applyFont="1" applyBorder="1" applyAlignment="1"/>
    <xf numFmtId="10" fontId="3" fillId="0" borderId="0" xfId="4" applyNumberFormat="1" applyFont="1" applyAlignment="1"/>
    <xf numFmtId="166" fontId="25" fillId="0" borderId="0" xfId="4" applyNumberFormat="1" applyFont="1" applyAlignment="1">
      <alignment horizontal="center"/>
    </xf>
    <xf numFmtId="0" fontId="3" fillId="0" borderId="1" xfId="4" applyFont="1" applyBorder="1" applyAlignment="1"/>
    <xf numFmtId="166" fontId="6" fillId="0" borderId="0" xfId="4" applyNumberFormat="1" applyFont="1" applyAlignment="1">
      <alignment horizontal="left"/>
    </xf>
    <xf numFmtId="169" fontId="3" fillId="0" borderId="0" xfId="4" applyNumberFormat="1" applyFont="1" applyAlignment="1"/>
    <xf numFmtId="166" fontId="6" fillId="0" borderId="0" xfId="4" applyNumberFormat="1" applyFont="1" applyAlignment="1"/>
    <xf numFmtId="166" fontId="6" fillId="0" borderId="5" xfId="4" applyNumberFormat="1" applyFont="1" applyBorder="1" applyAlignment="1"/>
    <xf numFmtId="174" fontId="6" fillId="0" borderId="0" xfId="4" applyNumberFormat="1" applyFont="1" applyAlignment="1"/>
    <xf numFmtId="0" fontId="1" fillId="0" borderId="0" xfId="5" applyNumberFormat="1" applyFont="1" applyAlignment="1"/>
    <xf numFmtId="0" fontId="3" fillId="0" borderId="0" xfId="5" applyNumberFormat="1" applyFont="1" applyAlignment="1"/>
    <xf numFmtId="0" fontId="3" fillId="0" borderId="0" xfId="5" applyNumberFormat="1" applyFont="1" applyAlignment="1">
      <alignment horizontal="center"/>
    </xf>
    <xf numFmtId="0" fontId="2" fillId="0" borderId="0" xfId="5" applyNumberFormat="1" applyFont="1" applyAlignment="1">
      <alignment horizontal="right"/>
    </xf>
    <xf numFmtId="0" fontId="3" fillId="0" borderId="0" xfId="5" applyNumberFormat="1" applyFont="1" applyAlignment="1" applyProtection="1">
      <protection locked="0"/>
    </xf>
    <xf numFmtId="0" fontId="2" fillId="0" borderId="2" xfId="5" applyNumberFormat="1" applyFont="1" applyBorder="1" applyAlignment="1"/>
    <xf numFmtId="0" fontId="3" fillId="0" borderId="3" xfId="5" applyNumberFormat="1" applyFont="1" applyBorder="1" applyAlignment="1"/>
    <xf numFmtId="15" fontId="3" fillId="0" borderId="0" xfId="5" applyNumberFormat="1" applyFont="1" applyAlignment="1">
      <alignment horizontal="right"/>
    </xf>
    <xf numFmtId="0" fontId="3" fillId="3" borderId="0" xfId="5" applyNumberFormat="1" applyFont="1" applyFill="1" applyAlignment="1"/>
    <xf numFmtId="174" fontId="3" fillId="3" borderId="0" xfId="5" applyNumberFormat="1" applyFont="1" applyFill="1" applyAlignment="1"/>
    <xf numFmtId="164" fontId="3" fillId="3" borderId="0" xfId="5" applyNumberFormat="1" applyFont="1" applyFill="1" applyAlignment="1">
      <alignment horizontal="right"/>
    </xf>
    <xf numFmtId="174" fontId="3" fillId="0" borderId="0" xfId="5" applyNumberFormat="1" applyFont="1" applyAlignment="1"/>
    <xf numFmtId="164" fontId="3" fillId="0" borderId="0" xfId="5" applyNumberFormat="1" applyFont="1" applyAlignment="1">
      <alignment horizontal="right"/>
    </xf>
    <xf numFmtId="0" fontId="3" fillId="0" borderId="2" xfId="5" applyNumberFormat="1" applyFont="1" applyBorder="1" applyAlignment="1"/>
    <xf numFmtId="0" fontId="3" fillId="0" borderId="6" xfId="5" applyNumberFormat="1" applyFont="1" applyBorder="1" applyAlignment="1"/>
    <xf numFmtId="0" fontId="3" fillId="0" borderId="6" xfId="5" applyNumberFormat="1" applyFont="1" applyBorder="1" applyAlignment="1">
      <alignment horizontal="center"/>
    </xf>
    <xf numFmtId="0" fontId="2" fillId="0" borderId="0" xfId="5" applyNumberFormat="1" applyFont="1" applyAlignment="1"/>
    <xf numFmtId="1" fontId="3" fillId="0" borderId="0" xfId="5" applyNumberFormat="1" applyFont="1" applyAlignment="1"/>
    <xf numFmtId="17" fontId="3" fillId="0" borderId="0" xfId="5" applyNumberFormat="1" applyFont="1" applyAlignment="1"/>
    <xf numFmtId="0" fontId="5" fillId="0" borderId="0" xfId="5" applyNumberFormat="1" applyFont="1" applyAlignment="1"/>
    <xf numFmtId="0" fontId="16" fillId="0" borderId="0" xfId="5" applyNumberFormat="1" applyFont="1" applyAlignment="1"/>
    <xf numFmtId="0" fontId="7" fillId="0" borderId="0" xfId="5" applyNumberFormat="1" applyFont="1" applyAlignment="1">
      <alignment horizontal="center"/>
    </xf>
    <xf numFmtId="0" fontId="3" fillId="0" borderId="1" xfId="5" applyNumberFormat="1" applyFont="1" applyBorder="1" applyAlignment="1"/>
    <xf numFmtId="174" fontId="6" fillId="0" borderId="0" xfId="5" applyNumberFormat="1" applyFont="1" applyAlignment="1">
      <alignment horizontal="center"/>
    </xf>
    <xf numFmtId="170" fontId="3" fillId="0" borderId="1" xfId="5" applyFont="1" applyBorder="1" applyAlignment="1"/>
    <xf numFmtId="170" fontId="3" fillId="0" borderId="0" xfId="5" applyFont="1" applyAlignment="1"/>
    <xf numFmtId="166" fontId="3" fillId="0" borderId="0" xfId="5" applyNumberFormat="1" applyFont="1" applyAlignment="1">
      <alignment horizontal="center"/>
    </xf>
    <xf numFmtId="174" fontId="25" fillId="0" borderId="0" xfId="5" applyNumberFormat="1" applyFont="1" applyAlignment="1">
      <alignment horizontal="center"/>
    </xf>
    <xf numFmtId="174" fontId="7" fillId="0" borderId="0" xfId="5" applyNumberFormat="1" applyFont="1" applyAlignment="1">
      <alignment horizontal="center"/>
    </xf>
    <xf numFmtId="166" fontId="6" fillId="0" borderId="0" xfId="5" applyNumberFormat="1" applyFont="1" applyAlignment="1">
      <alignment horizontal="center"/>
    </xf>
    <xf numFmtId="170" fontId="3" fillId="0" borderId="1" xfId="5" applyBorder="1" applyAlignment="1"/>
    <xf numFmtId="10" fontId="6" fillId="0" borderId="0" xfId="5" applyNumberFormat="1" applyFont="1" applyAlignment="1">
      <alignment horizontal="center"/>
    </xf>
    <xf numFmtId="170" fontId="6" fillId="0" borderId="0" xfId="5" applyFont="1" applyAlignment="1">
      <alignment horizontal="center"/>
    </xf>
    <xf numFmtId="170" fontId="25" fillId="0" borderId="0" xfId="5" applyFont="1" applyAlignment="1">
      <alignment horizontal="center"/>
    </xf>
    <xf numFmtId="170" fontId="4" fillId="0" borderId="1" xfId="5" applyFont="1" applyBorder="1" applyAlignment="1"/>
    <xf numFmtId="170" fontId="4" fillId="0" borderId="0" xfId="5" applyFont="1" applyAlignment="1"/>
    <xf numFmtId="170" fontId="16" fillId="0" borderId="0" xfId="5" applyFont="1" applyAlignment="1">
      <alignment horizontal="center"/>
    </xf>
    <xf numFmtId="170" fontId="2" fillId="0" borderId="1" xfId="5" applyFont="1" applyBorder="1" applyAlignment="1"/>
    <xf numFmtId="170" fontId="2" fillId="0" borderId="0" xfId="5" applyFont="1" applyAlignment="1"/>
    <xf numFmtId="170" fontId="5" fillId="0" borderId="1" xfId="5" applyFont="1" applyBorder="1" applyAlignment="1"/>
    <xf numFmtId="170" fontId="5" fillId="0" borderId="0" xfId="5" applyFont="1" applyAlignment="1"/>
    <xf numFmtId="170" fontId="2" fillId="0" borderId="0" xfId="5" applyNumberFormat="1" applyFont="1" applyAlignment="1" applyProtection="1">
      <protection locked="0"/>
    </xf>
    <xf numFmtId="0" fontId="15" fillId="0" borderId="0" xfId="5" applyNumberFormat="1" applyFont="1" applyAlignment="1"/>
    <xf numFmtId="0" fontId="2" fillId="0" borderId="0" xfId="5" applyNumberFormat="1" applyFont="1" applyAlignment="1">
      <alignment horizontal="center"/>
    </xf>
    <xf numFmtId="0" fontId="2" fillId="0" borderId="6" xfId="5" applyNumberFormat="1" applyFont="1" applyBorder="1" applyAlignment="1"/>
    <xf numFmtId="0" fontId="3" fillId="3" borderId="0" xfId="5" applyNumberFormat="1" applyFont="1" applyFill="1" applyAlignment="1">
      <alignment horizontal="center"/>
    </xf>
    <xf numFmtId="0" fontId="3" fillId="0" borderId="3" xfId="5" applyNumberFormat="1" applyBorder="1"/>
    <xf numFmtId="17" fontId="3" fillId="0" borderId="0" xfId="5" applyNumberFormat="1" applyFont="1" applyAlignment="1" applyProtection="1">
      <protection locked="0"/>
    </xf>
    <xf numFmtId="0" fontId="3" fillId="0" borderId="3" xfId="5" applyNumberFormat="1" applyFont="1" applyBorder="1" applyAlignment="1">
      <alignment horizontal="left"/>
    </xf>
    <xf numFmtId="10" fontId="3" fillId="0" borderId="0" xfId="5" applyNumberFormat="1" applyFont="1" applyAlignment="1"/>
    <xf numFmtId="0" fontId="5" fillId="0" borderId="3" xfId="5" applyNumberFormat="1" applyFont="1" applyBorder="1" applyAlignment="1"/>
    <xf numFmtId="166" fontId="3" fillId="0" borderId="0" xfId="5" applyNumberFormat="1" applyFont="1" applyAlignment="1"/>
    <xf numFmtId="0" fontId="5" fillId="0" borderId="0" xfId="5" applyNumberFormat="1" applyFont="1" applyAlignment="1">
      <alignment horizontal="center"/>
    </xf>
    <xf numFmtId="0" fontId="24" fillId="0" borderId="2" xfId="5" applyNumberFormat="1" applyFont="1" applyBorder="1" applyAlignment="1"/>
    <xf numFmtId="0" fontId="24" fillId="0" borderId="6" xfId="5" applyNumberFormat="1" applyFont="1" applyBorder="1" applyAlignment="1"/>
    <xf numFmtId="170" fontId="24" fillId="0" borderId="6" xfId="5" applyFont="1" applyBorder="1" applyAlignment="1"/>
    <xf numFmtId="0" fontId="24" fillId="0" borderId="3" xfId="5" applyNumberFormat="1" applyFont="1" applyBorder="1" applyAlignment="1"/>
    <xf numFmtId="170" fontId="24" fillId="0" borderId="0" xfId="5" applyFont="1" applyAlignment="1"/>
    <xf numFmtId="0" fontId="3" fillId="0" borderId="2" xfId="5" applyNumberFormat="1" applyBorder="1"/>
    <xf numFmtId="0" fontId="3" fillId="0" borderId="6" xfId="5" applyNumberFormat="1" applyBorder="1"/>
    <xf numFmtId="1" fontId="3" fillId="0" borderId="6" xfId="5" applyNumberFormat="1" applyFont="1" applyBorder="1" applyAlignment="1"/>
    <xf numFmtId="170" fontId="3" fillId="0" borderId="6" xfId="5" applyFont="1" applyBorder="1" applyAlignment="1">
      <alignment horizontal="center"/>
    </xf>
    <xf numFmtId="170" fontId="3" fillId="0" borderId="6" xfId="5" applyFont="1" applyBorder="1" applyAlignment="1"/>
    <xf numFmtId="170" fontId="3" fillId="0" borderId="0" xfId="5" applyFont="1" applyAlignment="1">
      <alignment horizontal="center"/>
    </xf>
    <xf numFmtId="184" fontId="2" fillId="0" borderId="0" xfId="5" applyNumberFormat="1" applyFont="1" applyAlignment="1"/>
    <xf numFmtId="170" fontId="11" fillId="0" borderId="0" xfId="5" applyNumberFormat="1" applyFont="1" applyAlignment="1" applyProtection="1">
      <protection locked="0"/>
    </xf>
    <xf numFmtId="3" fontId="1" fillId="2" borderId="0" xfId="6" applyNumberFormat="1" applyFont="1" applyFill="1" applyAlignment="1"/>
    <xf numFmtId="3" fontId="1" fillId="2" borderId="0" xfId="6" applyNumberFormat="1" applyFont="1" applyFill="1" applyAlignment="1">
      <alignment horizontal="center"/>
    </xf>
    <xf numFmtId="3" fontId="2" fillId="2" borderId="0" xfId="6" applyNumberFormat="1" applyFont="1" applyFill="1" applyAlignment="1">
      <alignment horizontal="center"/>
    </xf>
    <xf numFmtId="3" fontId="3" fillId="2" borderId="0" xfId="6" applyNumberFormat="1" applyFont="1" applyFill="1" applyAlignment="1">
      <alignment horizontal="center"/>
    </xf>
    <xf numFmtId="0" fontId="3" fillId="0" borderId="0" xfId="6" applyNumberFormat="1" applyFont="1" applyAlignment="1">
      <alignment horizontal="center"/>
    </xf>
    <xf numFmtId="0" fontId="3" fillId="0" borderId="0" xfId="6" applyAlignment="1"/>
    <xf numFmtId="3" fontId="3" fillId="2" borderId="0" xfId="6" applyNumberFormat="1" applyFont="1" applyFill="1" applyAlignment="1"/>
    <xf numFmtId="3" fontId="2" fillId="2" borderId="2" xfId="6" applyNumberFormat="1" applyFont="1" applyFill="1" applyBorder="1" applyAlignment="1"/>
    <xf numFmtId="3" fontId="3" fillId="0" borderId="3" xfId="6" applyNumberFormat="1" applyFont="1" applyBorder="1" applyAlignment="1">
      <alignment horizontal="center"/>
    </xf>
    <xf numFmtId="15" fontId="3" fillId="2" borderId="0" xfId="6" applyNumberFormat="1" applyFont="1" applyFill="1" applyAlignment="1">
      <alignment horizontal="right"/>
    </xf>
    <xf numFmtId="0" fontId="22" fillId="0" borderId="6" xfId="6" applyNumberFormat="1" applyFont="1" applyBorder="1" applyAlignment="1"/>
    <xf numFmtId="0" fontId="22" fillId="0" borderId="0" xfId="6" applyNumberFormat="1" applyFont="1" applyAlignment="1">
      <alignment horizontal="center"/>
    </xf>
    <xf numFmtId="164" fontId="3" fillId="2" borderId="0" xfId="6" applyNumberFormat="1" applyFont="1" applyFill="1" applyAlignment="1">
      <alignment horizontal="right"/>
    </xf>
    <xf numFmtId="3" fontId="3" fillId="0" borderId="0" xfId="6" applyNumberFormat="1" applyFont="1" applyAlignment="1">
      <alignment horizontal="center"/>
    </xf>
    <xf numFmtId="0" fontId="3" fillId="4" borderId="0" xfId="6" applyNumberFormat="1" applyFont="1" applyFill="1" applyAlignment="1"/>
    <xf numFmtId="0" fontId="3" fillId="4" borderId="0" xfId="6" applyNumberFormat="1" applyFont="1" applyFill="1" applyAlignment="1">
      <alignment horizontal="center"/>
    </xf>
    <xf numFmtId="0" fontId="3" fillId="2" borderId="0" xfId="6" applyNumberFormat="1" applyFont="1" applyFill="1" applyAlignment="1"/>
    <xf numFmtId="0" fontId="3" fillId="0" borderId="0" xfId="6" applyNumberFormat="1" applyFont="1" applyAlignment="1"/>
    <xf numFmtId="0" fontId="5" fillId="2" borderId="0" xfId="6" applyNumberFormat="1" applyFont="1" applyFill="1" applyAlignment="1"/>
    <xf numFmtId="0" fontId="5" fillId="2" borderId="0" xfId="6" applyNumberFormat="1" applyFont="1" applyFill="1" applyAlignment="1">
      <alignment horizontal="center"/>
    </xf>
    <xf numFmtId="0" fontId="3" fillId="2" borderId="0" xfId="6" applyNumberFormat="1" applyFont="1" applyFill="1" applyAlignment="1">
      <alignment horizontal="center"/>
    </xf>
    <xf numFmtId="170" fontId="3" fillId="2" borderId="0" xfId="6" applyNumberFormat="1" applyFont="1" applyFill="1" applyAlignment="1">
      <alignment horizontal="center"/>
    </xf>
    <xf numFmtId="0" fontId="2" fillId="2" borderId="0" xfId="6" applyNumberFormat="1" applyFont="1" applyFill="1" applyAlignment="1"/>
    <xf numFmtId="0" fontId="16" fillId="2" borderId="0" xfId="6" applyNumberFormat="1" applyFont="1" applyFill="1" applyAlignment="1">
      <alignment horizontal="center"/>
    </xf>
    <xf numFmtId="0" fontId="7" fillId="2" borderId="0" xfId="6" applyNumberFormat="1" applyFont="1" applyFill="1" applyAlignment="1">
      <alignment horizontal="center"/>
    </xf>
    <xf numFmtId="170" fontId="3" fillId="2" borderId="0" xfId="6" applyNumberFormat="1" applyFont="1" applyFill="1" applyAlignment="1"/>
    <xf numFmtId="0" fontId="16" fillId="2" borderId="0" xfId="6" applyNumberFormat="1" applyFont="1" applyFill="1" applyAlignment="1"/>
    <xf numFmtId="170" fontId="3" fillId="2" borderId="3" xfId="6" applyNumberFormat="1" applyFont="1" applyFill="1" applyBorder="1" applyAlignment="1"/>
    <xf numFmtId="174" fontId="3" fillId="2" borderId="0" xfId="6" applyNumberFormat="1" applyFont="1" applyFill="1" applyAlignment="1">
      <alignment horizontal="center"/>
    </xf>
    <xf numFmtId="10" fontId="3" fillId="0" borderId="0" xfId="6" applyNumberFormat="1" applyFont="1" applyAlignment="1">
      <alignment horizontal="center"/>
    </xf>
    <xf numFmtId="165" fontId="3" fillId="2" borderId="0" xfId="6" applyNumberFormat="1" applyFont="1" applyFill="1" applyAlignment="1"/>
    <xf numFmtId="170" fontId="4" fillId="2" borderId="3" xfId="6" applyNumberFormat="1" applyFont="1" applyFill="1" applyBorder="1" applyAlignment="1"/>
    <xf numFmtId="170" fontId="4" fillId="2" borderId="0" xfId="6" applyNumberFormat="1" applyFont="1" applyFill="1" applyAlignment="1"/>
    <xf numFmtId="0" fontId="3" fillId="0" borderId="0" xfId="6" applyFont="1" applyAlignment="1">
      <alignment horizontal="center"/>
    </xf>
    <xf numFmtId="0" fontId="17" fillId="0" borderId="0" xfId="14" applyNumberFormat="1" applyFont="1" applyAlignment="1"/>
    <xf numFmtId="0" fontId="3" fillId="0" borderId="0" xfId="14" applyAlignment="1"/>
    <xf numFmtId="0" fontId="2" fillId="0" borderId="0" xfId="14" applyNumberFormat="1" applyFont="1" applyAlignment="1">
      <alignment horizontal="center"/>
    </xf>
    <xf numFmtId="0" fontId="2" fillId="0" borderId="2" xfId="14" applyNumberFormat="1" applyFont="1" applyBorder="1" applyAlignment="1"/>
    <xf numFmtId="0" fontId="3" fillId="0" borderId="3" xfId="14" applyNumberFormat="1" applyBorder="1"/>
    <xf numFmtId="15" fontId="3" fillId="0" borderId="0" xfId="14" applyNumberFormat="1" applyFont="1" applyAlignment="1">
      <alignment horizontal="center"/>
    </xf>
    <xf numFmtId="0" fontId="2" fillId="0" borderId="6" xfId="14" applyNumberFormat="1" applyFont="1" applyBorder="1" applyAlignment="1"/>
    <xf numFmtId="0" fontId="22" fillId="0" borderId="0" xfId="14" applyNumberFormat="1" applyFont="1" applyAlignment="1"/>
    <xf numFmtId="164" fontId="3" fillId="0" borderId="0" xfId="14" applyNumberFormat="1" applyFont="1" applyAlignment="1">
      <alignment horizontal="center"/>
    </xf>
    <xf numFmtId="0" fontId="3" fillId="0" borderId="0" xfId="14" applyFont="1" applyAlignment="1"/>
    <xf numFmtId="0" fontId="3" fillId="3" borderId="0" xfId="14" applyNumberFormat="1" applyFont="1" applyFill="1" applyAlignment="1"/>
    <xf numFmtId="0" fontId="2" fillId="0" borderId="0" xfId="14" applyNumberFormat="1" applyFont="1" applyAlignment="1"/>
    <xf numFmtId="0" fontId="3" fillId="0" borderId="0" xfId="14" applyNumberFormat="1" applyFont="1" applyAlignment="1"/>
    <xf numFmtId="0" fontId="5" fillId="0" borderId="0" xfId="14" applyNumberFormat="1" applyFont="1" applyAlignment="1"/>
    <xf numFmtId="0" fontId="5" fillId="2" borderId="0" xfId="14" applyNumberFormat="1" applyFont="1" applyFill="1" applyAlignment="1"/>
    <xf numFmtId="0" fontId="3" fillId="2" borderId="0" xfId="14" applyNumberFormat="1" applyFont="1" applyFill="1" applyAlignment="1"/>
    <xf numFmtId="0" fontId="16" fillId="2" borderId="0" xfId="14" applyNumberFormat="1" applyFont="1" applyFill="1" applyAlignment="1">
      <alignment horizontal="right"/>
    </xf>
    <xf numFmtId="0" fontId="16" fillId="2" borderId="0" xfId="14" applyNumberFormat="1" applyFont="1" applyFill="1" applyAlignment="1">
      <alignment horizontal="center"/>
    </xf>
    <xf numFmtId="0" fontId="3" fillId="2" borderId="0" xfId="14" applyNumberFormat="1" applyFont="1" applyFill="1" applyAlignment="1">
      <alignment horizontal="center"/>
    </xf>
    <xf numFmtId="0" fontId="7" fillId="2" borderId="0" xfId="14" applyNumberFormat="1" applyFont="1" applyFill="1" applyAlignment="1">
      <alignment horizontal="right"/>
    </xf>
    <xf numFmtId="0" fontId="7" fillId="2" borderId="0" xfId="14" applyNumberFormat="1" applyFont="1" applyFill="1" applyAlignment="1">
      <alignment horizontal="center"/>
    </xf>
    <xf numFmtId="0" fontId="16" fillId="0" borderId="0" xfId="14" applyNumberFormat="1" applyFont="1" applyAlignment="1"/>
    <xf numFmtId="169" fontId="3" fillId="2" borderId="0" xfId="14" applyNumberFormat="1" applyFont="1" applyFill="1" applyAlignment="1">
      <alignment horizontal="center"/>
    </xf>
    <xf numFmtId="174" fontId="3" fillId="2" borderId="0" xfId="14" applyNumberFormat="1" applyFont="1" applyFill="1" applyAlignment="1">
      <alignment horizontal="center"/>
    </xf>
    <xf numFmtId="170" fontId="3" fillId="2" borderId="0" xfId="14" applyNumberFormat="1" applyFont="1" applyFill="1" applyAlignment="1"/>
    <xf numFmtId="165" fontId="3" fillId="2" borderId="0" xfId="14" applyNumberFormat="1" applyFont="1" applyFill="1" applyAlignment="1"/>
    <xf numFmtId="174" fontId="3" fillId="2" borderId="6" xfId="14" applyNumberFormat="1" applyFont="1" applyFill="1" applyBorder="1" applyAlignment="1">
      <alignment horizontal="center"/>
    </xf>
    <xf numFmtId="0" fontId="3" fillId="0" borderId="6" xfId="14" applyNumberFormat="1" applyFont="1" applyBorder="1" applyAlignment="1"/>
    <xf numFmtId="0" fontId="3" fillId="2" borderId="6" xfId="14" applyNumberFormat="1" applyFont="1" applyFill="1" applyBorder="1" applyAlignment="1"/>
    <xf numFmtId="0" fontId="2" fillId="0" borderId="3" xfId="14" applyNumberFormat="1" applyFont="1" applyBorder="1" applyAlignment="1"/>
    <xf numFmtId="170" fontId="5" fillId="2" borderId="0" xfId="14" applyNumberFormat="1" applyFont="1" applyFill="1" applyAlignment="1"/>
    <xf numFmtId="0" fontId="3" fillId="0" borderId="3" xfId="14" applyNumberFormat="1" applyFont="1" applyBorder="1" applyAlignment="1"/>
    <xf numFmtId="10" fontId="3" fillId="2" borderId="0" xfId="14" applyNumberFormat="1" applyFont="1" applyFill="1" applyAlignment="1">
      <alignment horizontal="center"/>
    </xf>
    <xf numFmtId="170" fontId="2" fillId="2" borderId="0" xfId="14" applyNumberFormat="1" applyFont="1" applyFill="1" applyAlignment="1"/>
    <xf numFmtId="174" fontId="3" fillId="0" borderId="6" xfId="14" applyNumberFormat="1" applyFont="1" applyBorder="1" applyAlignment="1"/>
    <xf numFmtId="10" fontId="3" fillId="0" borderId="6" xfId="14" applyNumberFormat="1" applyFont="1" applyBorder="1" applyAlignment="1"/>
    <xf numFmtId="0" fontId="3" fillId="0" borderId="6" xfId="14" applyFont="1" applyBorder="1" applyAlignment="1"/>
    <xf numFmtId="174" fontId="3" fillId="0" borderId="0" xfId="14" applyNumberFormat="1" applyFont="1" applyAlignment="1"/>
    <xf numFmtId="10" fontId="3" fillId="0" borderId="0" xfId="14" applyNumberFormat="1" applyFont="1" applyAlignment="1"/>
    <xf numFmtId="10" fontId="3" fillId="0" borderId="0" xfId="14" applyNumberFormat="1"/>
    <xf numFmtId="3" fontId="1" fillId="2" borderId="0" xfId="15" applyNumberFormat="1" applyFont="1" applyFill="1" applyAlignment="1"/>
    <xf numFmtId="0" fontId="3" fillId="0" borderId="0" xfId="15" applyNumberFormat="1" applyFont="1" applyAlignment="1"/>
    <xf numFmtId="3" fontId="3" fillId="2" borderId="0" xfId="15" applyNumberFormat="1" applyFont="1" applyFill="1" applyAlignment="1"/>
    <xf numFmtId="0" fontId="2" fillId="0" borderId="0" xfId="15" applyNumberFormat="1" applyFont="1" applyAlignment="1">
      <alignment horizontal="center"/>
    </xf>
    <xf numFmtId="0" fontId="18" fillId="0" borderId="0" xfId="15" applyNumberFormat="1" applyFont="1" applyAlignment="1" applyProtection="1">
      <protection locked="0"/>
    </xf>
    <xf numFmtId="3" fontId="2" fillId="2" borderId="2" xfId="15" applyNumberFormat="1" applyFont="1" applyFill="1" applyBorder="1" applyAlignment="1"/>
    <xf numFmtId="3" fontId="3" fillId="2" borderId="3" xfId="15" applyNumberFormat="1" applyFont="1" applyFill="1" applyBorder="1" applyAlignment="1"/>
    <xf numFmtId="15" fontId="3" fillId="2" borderId="0" xfId="15" applyNumberFormat="1" applyFont="1" applyFill="1" applyAlignment="1">
      <alignment horizontal="right"/>
    </xf>
    <xf numFmtId="0" fontId="3" fillId="3" borderId="0" xfId="15" applyNumberFormat="1" applyFont="1" applyFill="1" applyAlignment="1"/>
    <xf numFmtId="3" fontId="3" fillId="4" borderId="0" xfId="15" applyNumberFormat="1" applyFont="1" applyFill="1" applyAlignment="1"/>
    <xf numFmtId="164" fontId="3" fillId="4" borderId="0" xfId="15" applyNumberFormat="1" applyFont="1" applyFill="1" applyAlignment="1">
      <alignment horizontal="right"/>
    </xf>
    <xf numFmtId="164" fontId="3" fillId="2" borderId="0" xfId="15" applyNumberFormat="1" applyFont="1" applyFill="1" applyAlignment="1">
      <alignment horizontal="right"/>
    </xf>
    <xf numFmtId="0" fontId="2" fillId="2" borderId="0" xfId="15" applyNumberFormat="1" applyFont="1" applyFill="1" applyAlignment="1"/>
    <xf numFmtId="0" fontId="3" fillId="2" borderId="0" xfId="15" applyNumberFormat="1" applyFont="1" applyFill="1" applyAlignment="1"/>
    <xf numFmtId="0" fontId="5" fillId="2" borderId="0" xfId="15" applyNumberFormat="1" applyFont="1" applyFill="1" applyAlignment="1"/>
    <xf numFmtId="170" fontId="3" fillId="2" borderId="0" xfId="15" applyNumberFormat="1" applyFont="1" applyFill="1" applyAlignment="1"/>
    <xf numFmtId="169" fontId="26" fillId="2" borderId="0" xfId="15" applyNumberFormat="1" applyFont="1" applyFill="1" applyAlignment="1"/>
    <xf numFmtId="170" fontId="18" fillId="2" borderId="0" xfId="15" applyFill="1" applyAlignment="1"/>
    <xf numFmtId="0" fontId="4" fillId="2" borderId="0" xfId="15" applyNumberFormat="1" applyFont="1" applyFill="1" applyAlignment="1"/>
    <xf numFmtId="170" fontId="3" fillId="0" borderId="0" xfId="15" applyNumberFormat="1" applyFont="1" applyAlignment="1"/>
    <xf numFmtId="170" fontId="5" fillId="2" borderId="0" xfId="15" applyNumberFormat="1" applyFont="1" applyFill="1" applyAlignment="1"/>
    <xf numFmtId="169" fontId="3" fillId="0" borderId="0" xfId="15" applyNumberFormat="1" applyFont="1" applyAlignment="1"/>
    <xf numFmtId="0" fontId="2" fillId="0" borderId="0" xfId="15" applyNumberFormat="1" applyFont="1" applyAlignment="1"/>
    <xf numFmtId="170" fontId="5" fillId="0" borderId="0" xfId="15" applyNumberFormat="1" applyFont="1" applyAlignment="1"/>
    <xf numFmtId="0" fontId="3" fillId="0" borderId="2" xfId="15" applyNumberFormat="1" applyFont="1" applyBorder="1" applyAlignment="1"/>
    <xf numFmtId="0" fontId="3" fillId="2" borderId="6" xfId="15" applyNumberFormat="1" applyFont="1" applyFill="1" applyBorder="1" applyAlignment="1"/>
    <xf numFmtId="0" fontId="3" fillId="0" borderId="3" xfId="15" applyNumberFormat="1" applyFont="1" applyBorder="1" applyAlignment="1"/>
    <xf numFmtId="0" fontId="2" fillId="2" borderId="3" xfId="15" applyNumberFormat="1" applyFont="1" applyFill="1" applyBorder="1" applyAlignment="1"/>
    <xf numFmtId="0" fontId="6" fillId="2" borderId="6" xfId="15" applyNumberFormat="1" applyFont="1" applyFill="1" applyBorder="1" applyAlignment="1"/>
    <xf numFmtId="0" fontId="3" fillId="0" borderId="6" xfId="15" applyNumberFormat="1" applyFont="1" applyBorder="1" applyAlignment="1"/>
    <xf numFmtId="0" fontId="2" fillId="0" borderId="0" xfId="11" applyNumberFormat="1" applyFont="1" applyAlignment="1">
      <alignment horizontal="center"/>
    </xf>
    <xf numFmtId="0" fontId="3" fillId="0" borderId="0" xfId="11" quotePrefix="1" applyAlignment="1"/>
    <xf numFmtId="170" fontId="27" fillId="2" borderId="0" xfId="10" applyFont="1" applyFill="1" applyAlignment="1"/>
    <xf numFmtId="0" fontId="2" fillId="2" borderId="0" xfId="3" applyNumberFormat="1" applyFont="1" applyFill="1" applyAlignment="1">
      <alignment horizontal="center"/>
    </xf>
    <xf numFmtId="0" fontId="3" fillId="2" borderId="0" xfId="3" applyNumberFormat="1" applyFont="1" applyFill="1" applyAlignment="1">
      <alignment horizontal="center"/>
    </xf>
    <xf numFmtId="0" fontId="28" fillId="0" borderId="0" xfId="5" applyNumberFormat="1" applyFont="1" applyAlignment="1"/>
    <xf numFmtId="0" fontId="29" fillId="0" borderId="0" xfId="5" applyNumberFormat="1" applyFont="1" applyAlignment="1"/>
    <xf numFmtId="0" fontId="3" fillId="2" borderId="0" xfId="13" applyNumberFormat="1" applyFont="1" applyFill="1" applyAlignment="1">
      <alignment horizontal="center"/>
    </xf>
    <xf numFmtId="0" fontId="18" fillId="0" borderId="0" xfId="13" applyNumberFormat="1" applyFont="1" applyAlignment="1" applyProtection="1">
      <alignment horizontal="center"/>
      <protection locked="0"/>
    </xf>
    <xf numFmtId="0" fontId="3" fillId="0" borderId="3" xfId="13" applyNumberFormat="1" applyFont="1" applyBorder="1" applyAlignment="1">
      <alignment horizontal="center"/>
    </xf>
    <xf numFmtId="15" fontId="3" fillId="2" borderId="0" xfId="13" applyNumberFormat="1" applyFont="1" applyFill="1" applyAlignment="1">
      <alignment horizontal="center"/>
    </xf>
    <xf numFmtId="0" fontId="3" fillId="3" borderId="0" xfId="13" applyNumberFormat="1" applyFont="1" applyFill="1" applyAlignment="1">
      <alignment horizontal="center"/>
    </xf>
    <xf numFmtId="0" fontId="3" fillId="0" borderId="0" xfId="13" applyNumberFormat="1" applyFont="1" applyAlignment="1">
      <alignment horizontal="center"/>
    </xf>
    <xf numFmtId="0" fontId="5" fillId="2" borderId="0" xfId="13" applyNumberFormat="1" applyFont="1" applyFill="1" applyAlignment="1">
      <alignment horizontal="center"/>
    </xf>
    <xf numFmtId="168" fontId="3" fillId="2" borderId="0" xfId="13" applyNumberFormat="1" applyFont="1" applyFill="1" applyAlignment="1">
      <alignment horizontal="center"/>
    </xf>
    <xf numFmtId="3" fontId="3" fillId="0" borderId="0" xfId="13" applyFont="1" applyAlignment="1">
      <alignment horizontal="center"/>
    </xf>
    <xf numFmtId="10" fontId="3" fillId="0" borderId="0" xfId="13" applyNumberFormat="1" applyFont="1" applyAlignment="1">
      <alignment horizontal="center"/>
    </xf>
    <xf numFmtId="165" fontId="3" fillId="2" borderId="0" xfId="13" applyNumberFormat="1" applyFont="1" applyFill="1" applyAlignment="1" applyProtection="1">
      <alignment horizontal="center"/>
      <protection locked="0"/>
    </xf>
    <xf numFmtId="165" fontId="3" fillId="2" borderId="0" xfId="13" applyNumberFormat="1" applyFont="1" applyFill="1" applyAlignment="1">
      <alignment horizontal="center"/>
    </xf>
    <xf numFmtId="10" fontId="3" fillId="2" borderId="0" xfId="13" applyNumberFormat="1" applyFont="1" applyFill="1" applyAlignment="1">
      <alignment horizontal="center"/>
    </xf>
    <xf numFmtId="3" fontId="18" fillId="2" borderId="0" xfId="13" applyFill="1" applyAlignment="1">
      <alignment horizontal="center"/>
    </xf>
    <xf numFmtId="3" fontId="3" fillId="2" borderId="0" xfId="13" applyFont="1" applyFill="1" applyAlignment="1">
      <alignment horizontal="center"/>
    </xf>
    <xf numFmtId="0" fontId="19" fillId="2" borderId="0" xfId="13" applyNumberFormat="1" applyFont="1" applyFill="1" applyAlignment="1">
      <alignment horizontal="center"/>
    </xf>
    <xf numFmtId="3" fontId="3" fillId="2" borderId="6" xfId="13" applyFont="1" applyFill="1" applyBorder="1" applyAlignment="1">
      <alignment horizontal="center"/>
    </xf>
    <xf numFmtId="0" fontId="3" fillId="2" borderId="3" xfId="13" applyNumberFormat="1" applyFont="1" applyFill="1" applyBorder="1" applyAlignment="1">
      <alignment horizontal="center"/>
    </xf>
    <xf numFmtId="173" fontId="2" fillId="2" borderId="0" xfId="13" applyNumberFormat="1" applyFont="1" applyFill="1" applyAlignment="1" applyProtection="1">
      <alignment horizontal="center"/>
      <protection locked="0"/>
    </xf>
    <xf numFmtId="179" fontId="3" fillId="2" borderId="0" xfId="13" applyNumberFormat="1" applyFont="1" applyFill="1" applyAlignment="1">
      <alignment horizontal="center"/>
    </xf>
    <xf numFmtId="166" fontId="4" fillId="2" borderId="0" xfId="13" applyNumberFormat="1" applyFont="1" applyFill="1" applyAlignment="1">
      <alignment horizontal="center"/>
    </xf>
    <xf numFmtId="166" fontId="4" fillId="0" borderId="0" xfId="13" applyNumberFormat="1" applyFont="1" applyAlignment="1">
      <alignment horizontal="center"/>
    </xf>
    <xf numFmtId="170" fontId="2" fillId="2" borderId="0" xfId="13" applyNumberFormat="1" applyFont="1" applyFill="1" applyAlignment="1" applyProtection="1">
      <alignment horizontal="center"/>
      <protection locked="0"/>
    </xf>
    <xf numFmtId="170" fontId="2" fillId="2" borderId="0" xfId="13" applyNumberFormat="1" applyFont="1" applyFill="1" applyAlignment="1">
      <alignment horizontal="center"/>
    </xf>
    <xf numFmtId="166" fontId="3" fillId="0" borderId="0" xfId="13" applyNumberFormat="1" applyFont="1" applyAlignment="1">
      <alignment horizontal="center"/>
    </xf>
    <xf numFmtId="3" fontId="4" fillId="0" borderId="0" xfId="13" applyFont="1" applyAlignment="1">
      <alignment horizontal="center"/>
    </xf>
    <xf numFmtId="170" fontId="2" fillId="0" borderId="0" xfId="13" applyNumberFormat="1" applyFont="1" applyAlignment="1">
      <alignment horizontal="center"/>
    </xf>
    <xf numFmtId="170" fontId="3" fillId="0" borderId="0" xfId="13" applyNumberFormat="1" applyFont="1" applyAlignment="1">
      <alignment horizontal="center"/>
    </xf>
    <xf numFmtId="175" fontId="3" fillId="0" borderId="0" xfId="13" applyNumberFormat="1" applyFont="1" applyAlignment="1">
      <alignment horizontal="center"/>
    </xf>
    <xf numFmtId="170" fontId="4" fillId="0" borderId="0" xfId="13" applyNumberFormat="1" applyFont="1" applyAlignment="1">
      <alignment horizontal="center"/>
    </xf>
    <xf numFmtId="170" fontId="3" fillId="2" borderId="6" xfId="13" applyNumberFormat="1" applyFont="1" applyFill="1" applyBorder="1" applyAlignment="1">
      <alignment horizontal="center"/>
    </xf>
    <xf numFmtId="2" fontId="3" fillId="0" borderId="6" xfId="13" applyNumberFormat="1" applyFont="1" applyBorder="1" applyAlignment="1">
      <alignment horizontal="center"/>
    </xf>
    <xf numFmtId="2" fontId="3" fillId="0" borderId="0" xfId="13" applyNumberFormat="1" applyFont="1" applyAlignment="1">
      <alignment horizontal="center"/>
    </xf>
    <xf numFmtId="178" fontId="3" fillId="0" borderId="6" xfId="13" applyNumberFormat="1" applyFont="1" applyBorder="1" applyAlignment="1">
      <alignment horizontal="center"/>
    </xf>
    <xf numFmtId="178" fontId="3" fillId="0" borderId="0" xfId="13" applyNumberFormat="1" applyFont="1" applyAlignment="1">
      <alignment horizontal="center"/>
    </xf>
    <xf numFmtId="178" fontId="4" fillId="0" borderId="0" xfId="13" applyNumberFormat="1" applyFont="1" applyAlignment="1">
      <alignment horizontal="center"/>
    </xf>
    <xf numFmtId="0" fontId="3" fillId="0" borderId="6" xfId="13" applyNumberFormat="1" applyFont="1" applyBorder="1" applyAlignment="1">
      <alignment horizontal="center"/>
    </xf>
    <xf numFmtId="0" fontId="3" fillId="2" borderId="6" xfId="13" applyNumberFormat="1" applyFont="1" applyFill="1" applyBorder="1" applyAlignment="1">
      <alignment horizontal="center"/>
    </xf>
    <xf numFmtId="166" fontId="11" fillId="2" borderId="1" xfId="0" applyNumberFormat="1" applyFont="1" applyFill="1" applyBorder="1" applyAlignment="1" applyProtection="1">
      <alignment horizontal="center"/>
      <protection locked="0"/>
    </xf>
    <xf numFmtId="170" fontId="2" fillId="0" borderId="0" xfId="5" applyFont="1" applyAlignment="1">
      <alignment horizontal="center"/>
    </xf>
    <xf numFmtId="170" fontId="3" fillId="0" borderId="0" xfId="5" applyNumberFormat="1" applyFont="1" applyAlignment="1"/>
    <xf numFmtId="170" fontId="30" fillId="2" borderId="0" xfId="3" applyNumberFormat="1" applyFont="1" applyFill="1" applyAlignment="1" applyProtection="1">
      <protection locked="0"/>
    </xf>
    <xf numFmtId="170" fontId="3" fillId="2" borderId="0" xfId="3" quotePrefix="1" applyFont="1" applyFill="1" applyAlignment="1"/>
    <xf numFmtId="3" fontId="3" fillId="0" borderId="1" xfId="8" applyNumberFormat="1" applyFont="1" applyBorder="1" applyAlignment="1"/>
    <xf numFmtId="0" fontId="3" fillId="0" borderId="0" xfId="6" applyBorder="1"/>
    <xf numFmtId="0" fontId="3" fillId="0" borderId="0" xfId="6" applyFont="1" applyBorder="1" applyAlignment="1">
      <alignment horizontal="center"/>
    </xf>
    <xf numFmtId="0" fontId="16" fillId="2" borderId="7" xfId="6" applyNumberFormat="1" applyFont="1" applyFill="1" applyBorder="1" applyAlignment="1"/>
    <xf numFmtId="0" fontId="2" fillId="2" borderId="7" xfId="6" applyNumberFormat="1" applyFont="1" applyFill="1" applyBorder="1" applyAlignment="1">
      <alignment horizontal="center"/>
    </xf>
    <xf numFmtId="174" fontId="3" fillId="2" borderId="7" xfId="6" applyNumberFormat="1" applyFont="1" applyFill="1" applyBorder="1" applyAlignment="1">
      <alignment horizontal="center"/>
    </xf>
    <xf numFmtId="0" fontId="3" fillId="2" borderId="7" xfId="6" applyNumberFormat="1" applyFont="1" applyFill="1" applyBorder="1" applyAlignment="1">
      <alignment horizontal="center"/>
    </xf>
    <xf numFmtId="0" fontId="3" fillId="2" borderId="7" xfId="6" applyNumberFormat="1" applyFont="1" applyFill="1" applyBorder="1" applyAlignment="1"/>
    <xf numFmtId="0" fontId="16" fillId="2" borderId="0" xfId="6" applyNumberFormat="1" applyFont="1" applyFill="1" applyBorder="1" applyAlignment="1"/>
    <xf numFmtId="0" fontId="2" fillId="2" borderId="0" xfId="6" applyNumberFormat="1" applyFont="1" applyFill="1" applyBorder="1" applyAlignment="1">
      <alignment horizontal="center"/>
    </xf>
    <xf numFmtId="0" fontId="3" fillId="2" borderId="0" xfId="6" applyNumberFormat="1" applyFont="1" applyFill="1" applyBorder="1" applyAlignment="1">
      <alignment horizontal="center"/>
    </xf>
    <xf numFmtId="170" fontId="5" fillId="2" borderId="0" xfId="6" applyNumberFormat="1" applyFont="1" applyFill="1" applyBorder="1" applyAlignment="1"/>
    <xf numFmtId="0" fontId="3" fillId="2" borderId="0" xfId="6" applyNumberFormat="1" applyFont="1" applyFill="1" applyBorder="1" applyAlignment="1"/>
    <xf numFmtId="170" fontId="2" fillId="2" borderId="0" xfId="6" applyNumberFormat="1" applyFont="1" applyFill="1" applyBorder="1" applyAlignment="1"/>
    <xf numFmtId="0" fontId="16" fillId="2" borderId="8" xfId="6" applyNumberFormat="1" applyFont="1" applyFill="1" applyBorder="1" applyAlignment="1"/>
    <xf numFmtId="0" fontId="2" fillId="2" borderId="8" xfId="6" applyNumberFormat="1" applyFont="1" applyFill="1" applyBorder="1" applyAlignment="1">
      <alignment horizontal="center"/>
    </xf>
    <xf numFmtId="0" fontId="3" fillId="2" borderId="8" xfId="6" applyNumberFormat="1" applyFont="1" applyFill="1" applyBorder="1" applyAlignment="1">
      <alignment horizontal="center"/>
    </xf>
    <xf numFmtId="170" fontId="2" fillId="2" borderId="8" xfId="6" applyNumberFormat="1" applyFont="1" applyFill="1" applyBorder="1" applyAlignment="1"/>
    <xf numFmtId="3" fontId="1" fillId="0" borderId="0" xfId="14" applyNumberFormat="1" applyFont="1" applyAlignment="1"/>
    <xf numFmtId="10" fontId="0" fillId="0" borderId="0" xfId="0" applyNumberFormat="1" applyFont="1" applyAlignment="1" applyProtection="1">
      <protection locked="0"/>
    </xf>
    <xf numFmtId="0" fontId="0" fillId="0" borderId="0" xfId="0" applyBorder="1"/>
    <xf numFmtId="0" fontId="0" fillId="0" borderId="0" xfId="0" applyNumberFormat="1" applyFont="1" applyBorder="1" applyAlignment="1" applyProtection="1">
      <protection locked="0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2" borderId="0" xfId="0" applyFont="1" applyFill="1" applyBorder="1" applyAlignment="1">
      <alignment horizontal="left"/>
    </xf>
    <xf numFmtId="10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NumberFormat="1" applyFont="1" applyFill="1" applyBorder="1" applyAlignment="1" applyProtection="1">
      <alignment horizontal="center"/>
      <protection locked="0"/>
    </xf>
    <xf numFmtId="0" fontId="2" fillId="0" borderId="9" xfId="0" applyFont="1" applyBorder="1" applyAlignment="1"/>
    <xf numFmtId="0" fontId="3" fillId="0" borderId="10" xfId="0" applyFont="1" applyBorder="1" applyAlignment="1"/>
    <xf numFmtId="0" fontId="0" fillId="0" borderId="10" xfId="0" applyBorder="1"/>
    <xf numFmtId="0" fontId="3" fillId="0" borderId="11" xfId="0" applyFont="1" applyBorder="1" applyAlignment="1"/>
    <xf numFmtId="0" fontId="3" fillId="2" borderId="12" xfId="0" applyNumberFormat="1" applyFont="1" applyFill="1" applyBorder="1" applyAlignment="1"/>
    <xf numFmtId="0" fontId="5" fillId="0" borderId="13" xfId="0" applyFont="1" applyBorder="1" applyAlignment="1">
      <alignment horizontal="center"/>
    </xf>
    <xf numFmtId="0" fontId="3" fillId="2" borderId="13" xfId="0" applyNumberFormat="1" applyFont="1" applyFill="1" applyBorder="1" applyAlignment="1" applyProtection="1">
      <alignment horizontal="center"/>
      <protection locked="0"/>
    </xf>
    <xf numFmtId="9" fontId="3" fillId="2" borderId="13" xfId="0" applyNumberFormat="1" applyFont="1" applyFill="1" applyBorder="1" applyAlignment="1" applyProtection="1">
      <alignment horizontal="center"/>
      <protection locked="0"/>
    </xf>
    <xf numFmtId="166" fontId="3" fillId="2" borderId="13" xfId="0" applyNumberFormat="1" applyFont="1" applyFill="1" applyBorder="1" applyAlignment="1">
      <alignment horizontal="center"/>
    </xf>
    <xf numFmtId="10" fontId="3" fillId="2" borderId="13" xfId="0" applyNumberFormat="1" applyFont="1" applyFill="1" applyBorder="1" applyAlignment="1" applyProtection="1">
      <alignment horizontal="center"/>
      <protection locked="0"/>
    </xf>
    <xf numFmtId="0" fontId="3" fillId="2" borderId="13" xfId="0" applyFont="1" applyFill="1" applyBorder="1" applyAlignment="1">
      <alignment horizontal="center"/>
    </xf>
    <xf numFmtId="165" fontId="3" fillId="2" borderId="13" xfId="0" applyNumberFormat="1" applyFont="1" applyFill="1" applyBorder="1" applyAlignment="1" applyProtection="1">
      <alignment horizontal="center"/>
      <protection locked="0"/>
    </xf>
    <xf numFmtId="3" fontId="3" fillId="2" borderId="12" xfId="0" applyNumberFormat="1" applyFont="1" applyFill="1" applyBorder="1" applyAlignment="1"/>
    <xf numFmtId="3" fontId="3" fillId="2" borderId="13" xfId="0" applyNumberFormat="1" applyFont="1" applyFill="1" applyBorder="1" applyAlignment="1" applyProtection="1">
      <alignment horizontal="center"/>
      <protection locked="0"/>
    </xf>
    <xf numFmtId="10" fontId="3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0" fillId="0" borderId="12" xfId="0" applyNumberFormat="1" applyBorder="1" applyAlignment="1" applyProtection="1">
      <protection locked="0"/>
    </xf>
    <xf numFmtId="10" fontId="0" fillId="0" borderId="13" xfId="0" applyNumberFormat="1" applyFont="1" applyBorder="1" applyAlignment="1" applyProtection="1">
      <alignment horizontal="center"/>
      <protection locked="0"/>
    </xf>
    <xf numFmtId="0" fontId="3" fillId="2" borderId="13" xfId="0" applyNumberFormat="1" applyFont="1" applyFill="1" applyBorder="1" applyAlignment="1">
      <alignment horizontal="center"/>
    </xf>
    <xf numFmtId="0" fontId="6" fillId="2" borderId="14" xfId="0" applyNumberFormat="1" applyFont="1" applyFill="1" applyBorder="1" applyAlignment="1"/>
    <xf numFmtId="0" fontId="3" fillId="2" borderId="15" xfId="0" applyNumberFormat="1" applyFont="1" applyFill="1" applyBorder="1" applyAlignment="1" applyProtection="1">
      <alignment horizontal="center"/>
      <protection locked="0"/>
    </xf>
    <xf numFmtId="170" fontId="3" fillId="2" borderId="15" xfId="0" applyNumberFormat="1" applyFont="1" applyFill="1" applyBorder="1" applyAlignment="1" applyProtection="1">
      <alignment horizontal="center"/>
      <protection locked="0"/>
    </xf>
    <xf numFmtId="10" fontId="3" fillId="2" borderId="16" xfId="0" applyNumberFormat="1" applyFont="1" applyFill="1" applyBorder="1" applyAlignment="1" applyProtection="1">
      <alignment horizontal="center"/>
      <protection locked="0"/>
    </xf>
    <xf numFmtId="0" fontId="3" fillId="0" borderId="0" xfId="8" applyNumberFormat="1" applyFont="1" applyBorder="1" applyAlignment="1"/>
    <xf numFmtId="0" fontId="3" fillId="2" borderId="9" xfId="8" applyNumberFormat="1" applyFont="1" applyFill="1" applyBorder="1" applyAlignment="1"/>
    <xf numFmtId="0" fontId="3" fillId="2" borderId="10" xfId="8" applyNumberFormat="1" applyFont="1" applyFill="1" applyBorder="1" applyAlignment="1"/>
    <xf numFmtId="0" fontId="3" fillId="0" borderId="10" xfId="8" applyNumberFormat="1" applyFont="1" applyBorder="1" applyAlignment="1"/>
    <xf numFmtId="0" fontId="3" fillId="2" borderId="11" xfId="8" applyNumberFormat="1" applyFont="1" applyFill="1" applyBorder="1" applyAlignment="1"/>
    <xf numFmtId="0" fontId="2" fillId="2" borderId="12" xfId="8" applyNumberFormat="1" applyFont="1" applyFill="1" applyBorder="1" applyAlignment="1"/>
    <xf numFmtId="0" fontId="3" fillId="2" borderId="0" xfId="8" applyNumberFormat="1" applyFont="1" applyFill="1" applyBorder="1" applyAlignment="1"/>
    <xf numFmtId="0" fontId="5" fillId="2" borderId="0" xfId="8" applyNumberFormat="1" applyFont="1" applyFill="1" applyBorder="1" applyAlignment="1"/>
    <xf numFmtId="0" fontId="5" fillId="2" borderId="13" xfId="8" applyNumberFormat="1" applyFont="1" applyFill="1" applyBorder="1" applyAlignment="1"/>
    <xf numFmtId="0" fontId="3" fillId="2" borderId="12" xfId="8" applyNumberFormat="1" applyFont="1" applyFill="1" applyBorder="1" applyAlignment="1"/>
    <xf numFmtId="0" fontId="3" fillId="2" borderId="0" xfId="8" applyNumberFormat="1" applyFont="1" applyFill="1" applyBorder="1" applyAlignment="1" applyProtection="1">
      <protection locked="0"/>
    </xf>
    <xf numFmtId="0" fontId="3" fillId="2" borderId="13" xfId="8" applyNumberFormat="1" applyFont="1" applyFill="1" applyBorder="1" applyAlignment="1"/>
    <xf numFmtId="170" fontId="3" fillId="0" borderId="0" xfId="8" applyFont="1" applyBorder="1" applyAlignment="1"/>
    <xf numFmtId="0" fontId="3" fillId="0" borderId="12" xfId="8" applyNumberFormat="1" applyFont="1" applyBorder="1" applyAlignment="1"/>
    <xf numFmtId="170" fontId="4" fillId="0" borderId="0" xfId="8" applyFont="1" applyBorder="1" applyAlignment="1"/>
    <xf numFmtId="170" fontId="3" fillId="0" borderId="13" xfId="8" applyFont="1" applyBorder="1" applyAlignment="1"/>
    <xf numFmtId="170" fontId="4" fillId="0" borderId="13" xfId="8" applyFont="1" applyBorder="1" applyAlignment="1"/>
    <xf numFmtId="170" fontId="3" fillId="2" borderId="0" xfId="8" applyFont="1" applyFill="1" applyBorder="1" applyAlignment="1"/>
    <xf numFmtId="170" fontId="3" fillId="2" borderId="13" xfId="8" applyFont="1" applyFill="1" applyBorder="1" applyAlignment="1"/>
    <xf numFmtId="0" fontId="3" fillId="0" borderId="0" xfId="8" applyNumberFormat="1" applyFont="1" applyBorder="1" applyAlignment="1">
      <alignment horizontal="center"/>
    </xf>
    <xf numFmtId="4" fontId="3" fillId="0" borderId="0" xfId="8" applyNumberFormat="1" applyFont="1" applyBorder="1" applyAlignment="1"/>
    <xf numFmtId="4" fontId="3" fillId="0" borderId="13" xfId="8" applyNumberFormat="1" applyFont="1" applyBorder="1" applyAlignment="1"/>
    <xf numFmtId="0" fontId="18" fillId="0" borderId="0" xfId="8" applyNumberFormat="1" applyFont="1" applyBorder="1" applyAlignment="1" applyProtection="1">
      <protection locked="0"/>
    </xf>
    <xf numFmtId="2" fontId="3" fillId="0" borderId="0" xfId="8" applyNumberFormat="1" applyFont="1" applyBorder="1" applyAlignment="1">
      <alignment horizontal="center"/>
    </xf>
    <xf numFmtId="10" fontId="3" fillId="0" borderId="0" xfId="8" applyNumberFormat="1" applyFont="1" applyBorder="1" applyAlignment="1"/>
    <xf numFmtId="0" fontId="3" fillId="0" borderId="14" xfId="8" applyNumberFormat="1" applyFont="1" applyBorder="1" applyAlignment="1"/>
    <xf numFmtId="0" fontId="3" fillId="0" borderId="15" xfId="8" applyNumberFormat="1" applyFont="1" applyBorder="1" applyAlignment="1"/>
    <xf numFmtId="0" fontId="3" fillId="0" borderId="16" xfId="8" applyNumberFormat="1" applyFont="1" applyBorder="1" applyAlignment="1"/>
    <xf numFmtId="0" fontId="3" fillId="0" borderId="0" xfId="0" applyFont="1" applyBorder="1" applyAlignment="1"/>
    <xf numFmtId="0" fontId="3" fillId="0" borderId="0" xfId="0" applyNumberFormat="1" applyFont="1" applyBorder="1" applyAlignment="1" applyProtection="1">
      <protection locked="0"/>
    </xf>
    <xf numFmtId="0" fontId="2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/>
    <xf numFmtId="169" fontId="3" fillId="2" borderId="0" xfId="0" applyNumberFormat="1" applyFont="1" applyFill="1" applyBorder="1" applyAlignment="1" applyProtection="1">
      <alignment horizontal="center"/>
      <protection locked="0"/>
    </xf>
    <xf numFmtId="169" fontId="3" fillId="0" borderId="0" xfId="0" applyNumberFormat="1" applyFont="1" applyBorder="1" applyAlignment="1" applyProtection="1">
      <alignment horizontal="center"/>
      <protection locked="0"/>
    </xf>
    <xf numFmtId="0" fontId="3" fillId="0" borderId="0" xfId="0" applyNumberFormat="1" applyFont="1" applyBorder="1" applyAlignment="1"/>
    <xf numFmtId="0" fontId="3" fillId="0" borderId="0" xfId="0" applyFont="1" applyBorder="1" applyAlignment="1">
      <alignment horizontal="center"/>
    </xf>
    <xf numFmtId="0" fontId="3" fillId="0" borderId="10" xfId="0" applyNumberFormat="1" applyFont="1" applyBorder="1" applyAlignment="1" applyProtection="1">
      <protection locked="0"/>
    </xf>
    <xf numFmtId="0" fontId="3" fillId="0" borderId="11" xfId="0" applyNumberFormat="1" applyFont="1" applyBorder="1" applyAlignment="1" applyProtection="1">
      <protection locked="0"/>
    </xf>
    <xf numFmtId="0" fontId="3" fillId="0" borderId="12" xfId="0" applyFont="1" applyBorder="1" applyAlignment="1"/>
    <xf numFmtId="0" fontId="3" fillId="0" borderId="14" xfId="0" applyNumberFormat="1" applyFont="1" applyBorder="1" applyAlignment="1" applyProtection="1">
      <protection locked="0"/>
    </xf>
    <xf numFmtId="0" fontId="3" fillId="0" borderId="15" xfId="0" applyFont="1" applyBorder="1" applyAlignment="1"/>
    <xf numFmtId="0" fontId="3" fillId="0" borderId="15" xfId="0" applyNumberFormat="1" applyFont="1" applyBorder="1" applyAlignment="1" applyProtection="1">
      <protection locked="0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/>
    <xf numFmtId="0" fontId="3" fillId="0" borderId="14" xfId="0" applyFont="1" applyBorder="1" applyAlignment="1"/>
    <xf numFmtId="0" fontId="3" fillId="0" borderId="15" xfId="0" applyNumberFormat="1" applyFont="1" applyBorder="1" applyAlignment="1"/>
    <xf numFmtId="0" fontId="3" fillId="0" borderId="15" xfId="0" applyFont="1" applyBorder="1" applyAlignment="1">
      <alignment horizontal="center"/>
    </xf>
    <xf numFmtId="169" fontId="3" fillId="2" borderId="13" xfId="0" applyNumberFormat="1" applyFont="1" applyFill="1" applyBorder="1" applyAlignment="1" applyProtection="1">
      <protection locked="0"/>
    </xf>
    <xf numFmtId="166" fontId="3" fillId="0" borderId="13" xfId="0" applyNumberFormat="1" applyFont="1" applyBorder="1" applyAlignment="1" applyProtection="1">
      <protection locked="0"/>
    </xf>
    <xf numFmtId="0" fontId="3" fillId="0" borderId="12" xfId="0" applyNumberFormat="1" applyFont="1" applyBorder="1" applyAlignment="1"/>
    <xf numFmtId="0" fontId="0" fillId="0" borderId="14" xfId="0" applyNumberFormat="1" applyFont="1" applyBorder="1" applyAlignment="1" applyProtection="1">
      <protection locked="0"/>
    </xf>
    <xf numFmtId="0" fontId="0" fillId="0" borderId="15" xfId="0" applyNumberFormat="1" applyFont="1" applyBorder="1" applyAlignment="1" applyProtection="1">
      <protection locked="0"/>
    </xf>
    <xf numFmtId="0" fontId="0" fillId="0" borderId="16" xfId="0" applyNumberFormat="1" applyFont="1" applyBorder="1" applyAlignment="1" applyProtection="1">
      <protection locked="0"/>
    </xf>
    <xf numFmtId="10" fontId="3" fillId="0" borderId="0" xfId="0" applyNumberFormat="1" applyFont="1" applyBorder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75" fontId="3" fillId="0" borderId="0" xfId="0" applyNumberFormat="1" applyFont="1" applyAlignment="1">
      <alignment horizontal="center"/>
    </xf>
    <xf numFmtId="175" fontId="31" fillId="2" borderId="1" xfId="0" applyNumberFormat="1" applyFont="1" applyFill="1" applyBorder="1" applyAlignment="1" applyProtection="1">
      <alignment horizontal="center"/>
      <protection locked="0"/>
    </xf>
    <xf numFmtId="181" fontId="3" fillId="2" borderId="0" xfId="7" applyNumberFormat="1" applyFont="1" applyFill="1" applyBorder="1" applyAlignment="1"/>
    <xf numFmtId="181" fontId="3" fillId="0" borderId="9" xfId="7" applyNumberFormat="1" applyFont="1" applyBorder="1" applyAlignment="1"/>
    <xf numFmtId="181" fontId="3" fillId="0" borderId="10" xfId="7" applyNumberFormat="1" applyFont="1" applyBorder="1" applyAlignment="1"/>
    <xf numFmtId="181" fontId="3" fillId="0" borderId="11" xfId="7" applyNumberFormat="1" applyFont="1" applyBorder="1" applyAlignment="1"/>
    <xf numFmtId="170" fontId="3" fillId="2" borderId="12" xfId="7" applyFont="1" applyFill="1" applyBorder="1" applyAlignment="1"/>
    <xf numFmtId="170" fontId="3" fillId="2" borderId="0" xfId="7" applyFont="1" applyFill="1" applyBorder="1" applyAlignment="1"/>
    <xf numFmtId="170" fontId="3" fillId="2" borderId="13" xfId="7" applyFont="1" applyFill="1" applyBorder="1" applyAlignment="1"/>
    <xf numFmtId="170" fontId="27" fillId="2" borderId="12" xfId="7" applyFont="1" applyFill="1" applyBorder="1" applyAlignment="1"/>
    <xf numFmtId="170" fontId="27" fillId="2" borderId="0" xfId="7" applyFont="1" applyFill="1" applyBorder="1" applyAlignment="1"/>
    <xf numFmtId="170" fontId="27" fillId="2" borderId="13" xfId="7" applyFont="1" applyFill="1" applyBorder="1" applyAlignment="1"/>
    <xf numFmtId="170" fontId="3" fillId="0" borderId="12" xfId="7" applyFont="1" applyBorder="1" applyAlignment="1"/>
    <xf numFmtId="170" fontId="3" fillId="0" borderId="0" xfId="7" applyFont="1" applyBorder="1" applyAlignment="1"/>
    <xf numFmtId="9" fontId="3" fillId="0" borderId="0" xfId="7" applyNumberFormat="1" applyFont="1" applyBorder="1" applyAlignment="1"/>
    <xf numFmtId="170" fontId="3" fillId="0" borderId="13" xfId="7" applyFont="1" applyBorder="1" applyAlignment="1"/>
    <xf numFmtId="3" fontId="2" fillId="2" borderId="12" xfId="7" applyNumberFormat="1" applyFont="1" applyFill="1" applyBorder="1" applyAlignment="1"/>
    <xf numFmtId="3" fontId="2" fillId="2" borderId="0" xfId="7" applyNumberFormat="1" applyFont="1" applyFill="1" applyBorder="1" applyAlignment="1"/>
    <xf numFmtId="3" fontId="2" fillId="2" borderId="13" xfId="7" applyNumberFormat="1" applyFont="1" applyFill="1" applyBorder="1" applyAlignment="1"/>
    <xf numFmtId="170" fontId="4" fillId="2" borderId="12" xfId="7" applyFont="1" applyFill="1" applyBorder="1" applyAlignment="1"/>
    <xf numFmtId="3" fontId="3" fillId="2" borderId="12" xfId="7" applyNumberFormat="1" applyFont="1" applyFill="1" applyBorder="1" applyAlignment="1"/>
    <xf numFmtId="3" fontId="3" fillId="2" borderId="0" xfId="7" applyNumberFormat="1" applyFont="1" applyFill="1" applyBorder="1" applyAlignment="1"/>
    <xf numFmtId="3" fontId="3" fillId="2" borderId="13" xfId="7" applyNumberFormat="1" applyFont="1" applyFill="1" applyBorder="1" applyAlignment="1"/>
    <xf numFmtId="170" fontId="4" fillId="2" borderId="0" xfId="7" applyFont="1" applyFill="1" applyBorder="1" applyAlignment="1"/>
    <xf numFmtId="170" fontId="4" fillId="2" borderId="13" xfId="7" applyFont="1" applyFill="1" applyBorder="1" applyAlignment="1"/>
    <xf numFmtId="170" fontId="18" fillId="2" borderId="13" xfId="7" applyFill="1" applyBorder="1" applyAlignment="1"/>
    <xf numFmtId="170" fontId="5" fillId="2" borderId="14" xfId="7" applyFont="1" applyFill="1" applyBorder="1" applyAlignment="1"/>
    <xf numFmtId="170" fontId="5" fillId="2" borderId="15" xfId="7" applyFont="1" applyFill="1" applyBorder="1" applyAlignment="1"/>
    <xf numFmtId="170" fontId="5" fillId="2" borderId="16" xfId="7" applyFont="1" applyFill="1" applyBorder="1" applyAlignment="1"/>
    <xf numFmtId="166" fontId="3" fillId="0" borderId="13" xfId="0" applyNumberFormat="1" applyFont="1" applyBorder="1" applyAlignment="1">
      <alignment horizontal="center"/>
    </xf>
    <xf numFmtId="166" fontId="4" fillId="0" borderId="13" xfId="0" applyNumberFormat="1" applyFont="1" applyBorder="1" applyAlignment="1">
      <alignment horizontal="center"/>
    </xf>
    <xf numFmtId="166" fontId="3" fillId="0" borderId="16" xfId="0" applyNumberFormat="1" applyFont="1" applyBorder="1" applyAlignment="1">
      <alignment horizontal="center"/>
    </xf>
    <xf numFmtId="170" fontId="3" fillId="0" borderId="0" xfId="8" applyNumberFormat="1" applyFont="1" applyAlignment="1"/>
    <xf numFmtId="8" fontId="3" fillId="0" borderId="1" xfId="8" applyNumberFormat="1" applyFont="1" applyBorder="1" applyAlignment="1"/>
    <xf numFmtId="0" fontId="22" fillId="0" borderId="0" xfId="0" applyNumberFormat="1" applyFont="1" applyAlignment="1" applyProtection="1">
      <alignment horizontal="center" wrapText="1"/>
      <protection locked="0"/>
    </xf>
    <xf numFmtId="9" fontId="3" fillId="2" borderId="5" xfId="0" applyNumberFormat="1" applyFont="1" applyFill="1" applyBorder="1" applyAlignment="1" applyProtection="1">
      <alignment horizontal="center"/>
      <protection locked="0"/>
    </xf>
    <xf numFmtId="9" fontId="3" fillId="2" borderId="0" xfId="0" applyNumberFormat="1" applyFont="1" applyFill="1" applyAlignment="1">
      <alignment horizontal="center"/>
    </xf>
    <xf numFmtId="169" fontId="3" fillId="0" borderId="0" xfId="0" applyNumberFormat="1" applyFont="1" applyAlignment="1"/>
    <xf numFmtId="0" fontId="3" fillId="0" borderId="17" xfId="3" applyNumberFormat="1" applyFont="1" applyBorder="1" applyAlignment="1" applyProtection="1">
      <protection locked="0"/>
    </xf>
    <xf numFmtId="170" fontId="3" fillId="2" borderId="0" xfId="3" quotePrefix="1" applyNumberFormat="1" applyFont="1" applyFill="1" applyAlignment="1"/>
    <xf numFmtId="0" fontId="3" fillId="0" borderId="18" xfId="0" applyNumberFormat="1" applyFont="1" applyBorder="1" applyAlignment="1"/>
    <xf numFmtId="0" fontId="3" fillId="0" borderId="17" xfId="0" applyNumberFormat="1" applyFont="1" applyBorder="1" applyAlignment="1"/>
    <xf numFmtId="0" fontId="22" fillId="0" borderId="19" xfId="0" applyNumberFormat="1" applyFont="1" applyBorder="1" applyAlignment="1" applyProtection="1">
      <alignment horizontal="center" wrapText="1"/>
      <protection locked="0"/>
    </xf>
    <xf numFmtId="17" fontId="3" fillId="0" borderId="0" xfId="0" applyNumberFormat="1" applyFont="1" applyAlignment="1"/>
    <xf numFmtId="8" fontId="3" fillId="0" borderId="0" xfId="0" applyNumberFormat="1" applyFont="1" applyAlignment="1"/>
    <xf numFmtId="6" fontId="3" fillId="0" borderId="0" xfId="0" applyNumberFormat="1" applyFont="1" applyAlignment="1"/>
    <xf numFmtId="0" fontId="3" fillId="0" borderId="8" xfId="0" applyNumberFormat="1" applyFont="1" applyBorder="1" applyAlignment="1"/>
    <xf numFmtId="6" fontId="3" fillId="0" borderId="8" xfId="0" applyNumberFormat="1" applyFont="1" applyBorder="1" applyAlignment="1"/>
    <xf numFmtId="0" fontId="28" fillId="0" borderId="0" xfId="0" applyNumberFormat="1" applyFont="1" applyAlignment="1"/>
    <xf numFmtId="3" fontId="3" fillId="0" borderId="0" xfId="3" applyNumberFormat="1" applyFont="1" applyAlignment="1" applyProtection="1">
      <protection locked="0"/>
    </xf>
    <xf numFmtId="170" fontId="3" fillId="0" borderId="0" xfId="3" applyNumberFormat="1" applyFont="1" applyAlignment="1" applyProtection="1">
      <protection locked="0"/>
    </xf>
    <xf numFmtId="4" fontId="3" fillId="0" borderId="0" xfId="3" applyNumberFormat="1" applyFont="1" applyAlignment="1" applyProtection="1">
      <protection locked="0"/>
    </xf>
    <xf numFmtId="0" fontId="32" fillId="0" borderId="0" xfId="0" applyFont="1"/>
    <xf numFmtId="0" fontId="29" fillId="0" borderId="0" xfId="0" applyFont="1"/>
    <xf numFmtId="0" fontId="33" fillId="0" borderId="0" xfId="0" applyFont="1"/>
    <xf numFmtId="0" fontId="29" fillId="0" borderId="15" xfId="0" applyFont="1" applyBorder="1"/>
    <xf numFmtId="0" fontId="32" fillId="0" borderId="20" xfId="0" applyFont="1" applyBorder="1"/>
    <xf numFmtId="1" fontId="32" fillId="0" borderId="20" xfId="0" applyNumberFormat="1" applyFont="1" applyBorder="1"/>
    <xf numFmtId="0" fontId="32" fillId="0" borderId="0" xfId="0" applyFont="1" applyBorder="1"/>
    <xf numFmtId="17" fontId="32" fillId="0" borderId="21" xfId="0" applyNumberFormat="1" applyFont="1" applyBorder="1"/>
    <xf numFmtId="17" fontId="32" fillId="0" borderId="0" xfId="0" applyNumberFormat="1" applyFont="1" applyBorder="1"/>
    <xf numFmtId="0" fontId="33" fillId="0" borderId="0" xfId="0" applyFont="1" applyBorder="1"/>
    <xf numFmtId="1" fontId="33" fillId="0" borderId="21" xfId="0" applyNumberFormat="1" applyFont="1" applyBorder="1"/>
    <xf numFmtId="1" fontId="33" fillId="0" borderId="0" xfId="0" applyNumberFormat="1" applyFont="1" applyBorder="1"/>
    <xf numFmtId="1" fontId="33" fillId="0" borderId="21" xfId="0" applyNumberFormat="1" applyFont="1" applyBorder="1" applyAlignment="1">
      <alignment horizontal="right"/>
    </xf>
    <xf numFmtId="1" fontId="33" fillId="0" borderId="0" xfId="0" applyNumberFormat="1" applyFont="1" applyBorder="1" applyAlignment="1">
      <alignment horizontal="right"/>
    </xf>
    <xf numFmtId="0" fontId="29" fillId="0" borderId="21" xfId="0" applyFont="1" applyBorder="1"/>
    <xf numFmtId="0" fontId="29" fillId="0" borderId="0" xfId="0" applyFont="1" applyBorder="1"/>
    <xf numFmtId="0" fontId="29" fillId="0" borderId="8" xfId="0" applyFont="1" applyBorder="1"/>
    <xf numFmtId="188" fontId="29" fillId="0" borderId="0" xfId="2" applyNumberFormat="1" applyFont="1"/>
    <xf numFmtId="9" fontId="29" fillId="0" borderId="0" xfId="16" applyFont="1"/>
    <xf numFmtId="6" fontId="29" fillId="0" borderId="0" xfId="0" applyNumberFormat="1" applyFont="1"/>
    <xf numFmtId="188" fontId="29" fillId="0" borderId="0" xfId="0" applyNumberFormat="1" applyFont="1"/>
    <xf numFmtId="44" fontId="29" fillId="0" borderId="0" xfId="2" applyFont="1"/>
    <xf numFmtId="44" fontId="29" fillId="0" borderId="0" xfId="0" applyNumberFormat="1" applyFont="1"/>
    <xf numFmtId="188" fontId="29" fillId="0" borderId="21" xfId="2" applyNumberFormat="1" applyFont="1" applyBorder="1"/>
    <xf numFmtId="188" fontId="29" fillId="0" borderId="0" xfId="2" applyNumberFormat="1" applyFont="1" applyBorder="1"/>
    <xf numFmtId="188" fontId="34" fillId="0" borderId="21" xfId="1" applyNumberFormat="1" applyFont="1" applyBorder="1"/>
    <xf numFmtId="188" fontId="34" fillId="0" borderId="0" xfId="1" applyNumberFormat="1" applyFont="1"/>
    <xf numFmtId="188" fontId="34" fillId="0" borderId="0" xfId="1" applyNumberFormat="1" applyFont="1" applyBorder="1"/>
    <xf numFmtId="188" fontId="29" fillId="0" borderId="0" xfId="1" applyNumberFormat="1" applyFont="1"/>
    <xf numFmtId="188" fontId="29" fillId="0" borderId="0" xfId="1" applyNumberFormat="1" applyFont="1" applyBorder="1"/>
    <xf numFmtId="10" fontId="3" fillId="0" borderId="8" xfId="0" applyNumberFormat="1" applyFont="1" applyBorder="1" applyAlignment="1"/>
    <xf numFmtId="10" fontId="3" fillId="0" borderId="0" xfId="16" applyNumberFormat="1" applyFont="1" applyAlignment="1"/>
    <xf numFmtId="4" fontId="3" fillId="0" borderId="0" xfId="0" applyNumberFormat="1" applyFont="1" applyAlignment="1"/>
    <xf numFmtId="3" fontId="3" fillId="0" borderId="1" xfId="12" applyNumberFormat="1" applyBorder="1"/>
    <xf numFmtId="3" fontId="4" fillId="0" borderId="0" xfId="12" applyNumberFormat="1" applyFont="1" applyAlignment="1"/>
    <xf numFmtId="3" fontId="4" fillId="0" borderId="1" xfId="12" applyNumberFormat="1" applyFont="1" applyBorder="1" applyAlignment="1"/>
    <xf numFmtId="188" fontId="3" fillId="0" borderId="0" xfId="2" applyNumberFormat="1" applyFont="1" applyAlignment="1"/>
    <xf numFmtId="207" fontId="3" fillId="0" borderId="0" xfId="0" applyNumberFormat="1" applyFont="1" applyAlignment="1"/>
    <xf numFmtId="170" fontId="3" fillId="0" borderId="0" xfId="8" applyNumberFormat="1" applyFont="1" applyBorder="1" applyAlignment="1"/>
    <xf numFmtId="210" fontId="29" fillId="0" borderId="0" xfId="1" applyNumberFormat="1" applyFont="1"/>
    <xf numFmtId="210" fontId="29" fillId="0" borderId="0" xfId="0" applyNumberFormat="1" applyFont="1"/>
    <xf numFmtId="10" fontId="29" fillId="0" borderId="0" xfId="16" applyNumberFormat="1" applyFont="1"/>
    <xf numFmtId="43" fontId="29" fillId="0" borderId="0" xfId="0" applyNumberFormat="1" applyFont="1"/>
    <xf numFmtId="170" fontId="3" fillId="0" borderId="5" xfId="3" applyNumberFormat="1" applyBorder="1"/>
    <xf numFmtId="211" fontId="29" fillId="0" borderId="0" xfId="0" applyNumberFormat="1" applyFont="1"/>
    <xf numFmtId="0" fontId="3" fillId="0" borderId="0" xfId="0" applyNumberFormat="1" applyFont="1" applyAlignment="1">
      <alignment horizontal="center" wrapText="1"/>
    </xf>
    <xf numFmtId="8" fontId="3" fillId="0" borderId="0" xfId="16" applyNumberFormat="1" applyFont="1" applyAlignment="1"/>
    <xf numFmtId="10" fontId="36" fillId="2" borderId="0" xfId="0" applyNumberFormat="1" applyFont="1" applyFill="1" applyAlignment="1" applyProtection="1">
      <alignment horizontal="center"/>
      <protection locked="0"/>
    </xf>
    <xf numFmtId="0" fontId="32" fillId="0" borderId="0" xfId="9" applyFont="1" applyAlignment="1">
      <alignment horizontal="center"/>
    </xf>
    <xf numFmtId="0" fontId="33" fillId="0" borderId="0" xfId="9" applyFont="1"/>
    <xf numFmtId="0" fontId="37" fillId="0" borderId="0" xfId="9" applyFont="1" applyAlignment="1">
      <alignment horizontal="center"/>
    </xf>
    <xf numFmtId="0" fontId="33" fillId="0" borderId="0" xfId="9" applyFont="1" applyAlignment="1">
      <alignment horizontal="center"/>
    </xf>
    <xf numFmtId="169" fontId="33" fillId="0" borderId="0" xfId="16" applyNumberFormat="1" applyFont="1"/>
    <xf numFmtId="169" fontId="33" fillId="0" borderId="0" xfId="16" applyNumberFormat="1" applyFont="1" applyAlignment="1"/>
    <xf numFmtId="10" fontId="33" fillId="0" borderId="0" xfId="16" applyNumberFormat="1" applyFont="1"/>
    <xf numFmtId="44" fontId="33" fillId="0" borderId="0" xfId="2" applyFont="1"/>
    <xf numFmtId="9" fontId="33" fillId="0" borderId="0" xfId="16" applyFont="1"/>
    <xf numFmtId="10" fontId="33" fillId="0" borderId="0" xfId="9" applyNumberFormat="1" applyFont="1"/>
    <xf numFmtId="188" fontId="3" fillId="0" borderId="0" xfId="0" applyNumberFormat="1" applyFont="1" applyAlignment="1"/>
    <xf numFmtId="3" fontId="3" fillId="0" borderId="0" xfId="0" applyNumberFormat="1" applyFont="1" applyAlignment="1">
      <alignment horizontal="center"/>
    </xf>
    <xf numFmtId="44" fontId="3" fillId="0" borderId="0" xfId="2" applyFont="1" applyAlignment="1"/>
    <xf numFmtId="0" fontId="22" fillId="0" borderId="0" xfId="10" applyNumberFormat="1" applyFont="1" applyAlignment="1" applyProtection="1">
      <protection locked="0"/>
    </xf>
    <xf numFmtId="170" fontId="22" fillId="0" borderId="0" xfId="10" applyNumberFormat="1" applyFont="1" applyAlignment="1" applyProtection="1">
      <protection locked="0"/>
    </xf>
    <xf numFmtId="186" fontId="29" fillId="0" borderId="0" xfId="2" applyNumberFormat="1" applyFont="1"/>
    <xf numFmtId="186" fontId="29" fillId="0" borderId="0" xfId="0" applyNumberFormat="1" applyFont="1"/>
    <xf numFmtId="170" fontId="3" fillId="5" borderId="0" xfId="10" applyFont="1" applyFill="1" applyAlignment="1"/>
    <xf numFmtId="166" fontId="22" fillId="0" borderId="0" xfId="10" applyNumberFormat="1" applyFont="1" applyAlignment="1" applyProtection="1">
      <protection locked="0"/>
    </xf>
    <xf numFmtId="170" fontId="3" fillId="0" borderId="0" xfId="10" applyFont="1" applyFill="1" applyAlignment="1"/>
  </cellXfs>
  <cellStyles count="17">
    <cellStyle name="Comma" xfId="1" builtinId="3"/>
    <cellStyle name="Currency" xfId="2" builtinId="4"/>
    <cellStyle name="Normal" xfId="0" builtinId="0"/>
    <cellStyle name="Normal_144A DEBT" xfId="3"/>
    <cellStyle name="Normal_144A Draw" xfId="4"/>
    <cellStyle name="Normal_144A IDC" xfId="5"/>
    <cellStyle name="Normal_BKDEPR 144A" xfId="6"/>
    <cellStyle name="Normal_Co IS" xfId="7"/>
    <cellStyle name="Normal_CSHFLO" xfId="8"/>
    <cellStyle name="Normal_Fee Sensitivity Analysis" xfId="9"/>
    <cellStyle name="Normal_OandM" xfId="10"/>
    <cellStyle name="Normal_Spot" xfId="11"/>
    <cellStyle name="Normal_Stratus Report" xfId="12"/>
    <cellStyle name="Normal_Tariff" xfId="13"/>
    <cellStyle name="Normal_TAXDEPR 144A" xfId="14"/>
    <cellStyle name="Normal_TAXES" xfId="15"/>
    <cellStyle name="Percent" xfId="1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Fee Sensitivity Analysis</a:t>
            </a:r>
          </a:p>
        </c:rich>
      </c:tx>
      <c:layout>
        <c:manualLayout>
          <c:xMode val="edge"/>
          <c:yMode val="edge"/>
          <c:x val="0.36943620178041542"/>
          <c:y val="3.95480907859858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62314540059348"/>
          <c:y val="0.22033936295049283"/>
          <c:w val="0.59347181008902083"/>
          <c:h val="0.5197749074729574"/>
        </c:manualLayout>
      </c:layout>
      <c:lineChart>
        <c:grouping val="standard"/>
        <c:varyColors val="0"/>
        <c:ser>
          <c:idx val="0"/>
          <c:order val="0"/>
          <c:tx>
            <c:strRef>
              <c:f>Fees!$I$5</c:f>
              <c:strCache>
                <c:ptCount val="1"/>
                <c:pt idx="0">
                  <c:v>T + 150 bps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Fees!$I$6:$I$15</c:f>
              <c:numCache>
                <c:formatCode>0.00%</c:formatCode>
                <c:ptCount val="10"/>
                <c:pt idx="0">
                  <c:v>0.20039999999999999</c:v>
                </c:pt>
                <c:pt idx="1">
                  <c:v>0.1973</c:v>
                </c:pt>
                <c:pt idx="2">
                  <c:v>0.1943</c:v>
                </c:pt>
                <c:pt idx="3">
                  <c:v>0.1913</c:v>
                </c:pt>
                <c:pt idx="4">
                  <c:v>0.1885</c:v>
                </c:pt>
                <c:pt idx="5">
                  <c:v>0.1857</c:v>
                </c:pt>
                <c:pt idx="6">
                  <c:v>0.183</c:v>
                </c:pt>
                <c:pt idx="7">
                  <c:v>0.1804</c:v>
                </c:pt>
                <c:pt idx="8">
                  <c:v>0.17780000000000001</c:v>
                </c:pt>
                <c:pt idx="9">
                  <c:v>0.17530000000000001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F-40B6-8331-BE234915E9CC}"/>
            </c:ext>
          </c:extLst>
        </c:ser>
        <c:ser>
          <c:idx val="1"/>
          <c:order val="1"/>
          <c:tx>
            <c:strRef>
              <c:f>Fees!$J$5</c:f>
              <c:strCache>
                <c:ptCount val="1"/>
                <c:pt idx="0">
                  <c:v>T + 250 bps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Fees!$J$6:$J$15</c:f>
              <c:numCache>
                <c:formatCode>0.00%</c:formatCode>
                <c:ptCount val="10"/>
                <c:pt idx="0">
                  <c:v>0.19289999999999999</c:v>
                </c:pt>
                <c:pt idx="1">
                  <c:v>0.19</c:v>
                </c:pt>
                <c:pt idx="2">
                  <c:v>0.187</c:v>
                </c:pt>
                <c:pt idx="3">
                  <c:v>0.18429999999999999</c:v>
                </c:pt>
                <c:pt idx="4">
                  <c:v>0.18160000000000001</c:v>
                </c:pt>
                <c:pt idx="5">
                  <c:v>0.1789</c:v>
                </c:pt>
                <c:pt idx="6">
                  <c:v>0.1764</c:v>
                </c:pt>
                <c:pt idx="7">
                  <c:v>0.1739</c:v>
                </c:pt>
                <c:pt idx="8">
                  <c:v>0.1714</c:v>
                </c:pt>
                <c:pt idx="9">
                  <c:v>0.16900000000000001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F-40B6-8331-BE234915E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33128"/>
        <c:axId val="1"/>
      </c:lineChart>
      <c:catAx>
        <c:axId val="19983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$ Enron Fees</a:t>
                </a:r>
              </a:p>
            </c:rich>
          </c:tx>
          <c:layout>
            <c:manualLayout>
              <c:xMode val="edge"/>
              <c:yMode val="edge"/>
              <c:x val="0.39169139465875369"/>
              <c:y val="0.86158340640897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Assumed Equity Returns</a:t>
                </a:r>
              </a:p>
            </c:rich>
          </c:tx>
          <c:layout>
            <c:manualLayout>
              <c:xMode val="edge"/>
              <c:yMode val="edge"/>
              <c:x val="2.8189910979228489E-2"/>
              <c:y val="0.22033936295049283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833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338278931750749"/>
          <c:y val="0.40678036237014054"/>
          <c:w val="0.20178041543026706"/>
          <c:h val="0.149717772261232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Fee Sensitivity Analysis</a:t>
            </a:r>
          </a:p>
        </c:rich>
      </c:tx>
      <c:layout>
        <c:manualLayout>
          <c:xMode val="edge"/>
          <c:yMode val="edge"/>
          <c:x val="0.37052965114928693"/>
          <c:y val="3.91063185987902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7396964445725"/>
          <c:y val="0.23463791159274164"/>
          <c:w val="0.63376307127078801"/>
          <c:h val="0.46368920624279891"/>
        </c:manualLayout>
      </c:layout>
      <c:lineChart>
        <c:grouping val="standard"/>
        <c:varyColors val="0"/>
        <c:ser>
          <c:idx val="0"/>
          <c:order val="0"/>
          <c:tx>
            <c:strRef>
              <c:f>Fees!$I$31</c:f>
              <c:strCache>
                <c:ptCount val="1"/>
                <c:pt idx="0">
                  <c:v>T + 150 bps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Fees!$H$32:$H$45</c:f>
              <c:numCache>
                <c:formatCode>_("$"* #,##0.00_);_("$"* \(#,##0.00\);_("$"* "-"??_);_(@_)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</c:numCache>
            </c:numRef>
          </c:cat>
          <c:val>
            <c:numRef>
              <c:f>Fees!$I$32:$I$45</c:f>
              <c:numCache>
                <c:formatCode>0.00%</c:formatCode>
                <c:ptCount val="14"/>
                <c:pt idx="0">
                  <c:v>0.185</c:v>
                </c:pt>
                <c:pt idx="1">
                  <c:v>0.18229999999999999</c:v>
                </c:pt>
                <c:pt idx="2">
                  <c:v>0.17710000000000001</c:v>
                </c:pt>
                <c:pt idx="3">
                  <c:v>0.17219999999999999</c:v>
                </c:pt>
                <c:pt idx="4">
                  <c:v>0.16750000000000001</c:v>
                </c:pt>
                <c:pt idx="5">
                  <c:v>0.16300000000000001</c:v>
                </c:pt>
                <c:pt idx="6">
                  <c:v>0.15870000000000001</c:v>
                </c:pt>
                <c:pt idx="7">
                  <c:v>0.1547</c:v>
                </c:pt>
                <c:pt idx="8">
                  <c:v>0.15079999999999999</c:v>
                </c:pt>
                <c:pt idx="9">
                  <c:v>0.14699999999999999</c:v>
                </c:pt>
                <c:pt idx="10">
                  <c:v>0.1434</c:v>
                </c:pt>
                <c:pt idx="11">
                  <c:v>0.14000000000000001</c:v>
                </c:pt>
                <c:pt idx="12">
                  <c:v>0.13669999999999999</c:v>
                </c:pt>
                <c:pt idx="13">
                  <c:v>0.13350000000000001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B-40E5-A68C-C1113360FA78}"/>
            </c:ext>
          </c:extLst>
        </c:ser>
        <c:ser>
          <c:idx val="1"/>
          <c:order val="1"/>
          <c:tx>
            <c:strRef>
              <c:f>Fees!$J$31</c:f>
              <c:strCache>
                <c:ptCount val="1"/>
                <c:pt idx="0">
                  <c:v>T + 250 bps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Fees!$H$32:$H$45</c:f>
              <c:numCache>
                <c:formatCode>_("$"* #,##0.00_);_("$"* \(#,##0.00\);_("$"* "-"??_);_(@_)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</c:numCache>
            </c:numRef>
          </c:cat>
          <c:val>
            <c:numRef>
              <c:f>Fees!$J$32:$J$45</c:f>
              <c:numCache>
                <c:formatCode>0.00%</c:formatCode>
                <c:ptCount val="14"/>
                <c:pt idx="0">
                  <c:v>0.1782</c:v>
                </c:pt>
                <c:pt idx="1">
                  <c:v>0.17560000000000001</c:v>
                </c:pt>
                <c:pt idx="2">
                  <c:v>0.17069999999999999</c:v>
                </c:pt>
                <c:pt idx="3">
                  <c:v>0.16600000000000001</c:v>
                </c:pt>
                <c:pt idx="4">
                  <c:v>0.1615</c:v>
                </c:pt>
                <c:pt idx="5">
                  <c:v>0.15720000000000001</c:v>
                </c:pt>
                <c:pt idx="6">
                  <c:v>0.15310000000000001</c:v>
                </c:pt>
                <c:pt idx="7">
                  <c:v>0.1492</c:v>
                </c:pt>
                <c:pt idx="8">
                  <c:v>0.14549999999999999</c:v>
                </c:pt>
                <c:pt idx="9">
                  <c:v>0.1419</c:v>
                </c:pt>
                <c:pt idx="10">
                  <c:v>0.1384</c:v>
                </c:pt>
                <c:pt idx="11">
                  <c:v>0.1351</c:v>
                </c:pt>
                <c:pt idx="12">
                  <c:v>0.13189999999999999</c:v>
                </c:pt>
                <c:pt idx="13">
                  <c:v>0.12889999999999999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B-40E5-A68C-C1113360F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43400"/>
        <c:axId val="1"/>
      </c:lineChart>
      <c:catAx>
        <c:axId val="199943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$ Enron Fee (MM)</a:t>
                </a:r>
              </a:p>
            </c:rich>
          </c:tx>
          <c:layout>
            <c:manualLayout>
              <c:xMode val="edge"/>
              <c:yMode val="edge"/>
              <c:x val="0.38340519887262114"/>
              <c:y val="0.85195908375935947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Assumed Equity Return</a:t>
                </a:r>
              </a:p>
            </c:rich>
          </c:tx>
          <c:layout>
            <c:manualLayout>
              <c:xMode val="edge"/>
              <c:yMode val="edge"/>
              <c:x val="2.7181711860372399E-2"/>
              <c:y val="0.21229144382200432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943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403505429339474"/>
          <c:y val="0.4022364198732713"/>
          <c:w val="0.16165965474853058"/>
          <c:h val="0.131285498153081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7</xdr:row>
      <xdr:rowOff>76200</xdr:rowOff>
    </xdr:from>
    <xdr:to>
      <xdr:col>18</xdr:col>
      <xdr:colOff>289560</xdr:colOff>
      <xdr:row>23</xdr:row>
      <xdr:rowOff>91440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281940</xdr:colOff>
      <xdr:row>29</xdr:row>
      <xdr:rowOff>160020</xdr:rowOff>
    </xdr:from>
    <xdr:to>
      <xdr:col>18</xdr:col>
      <xdr:colOff>495300</xdr:colOff>
      <xdr:row>46</xdr:row>
      <xdr:rowOff>38100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F141"/>
  <sheetViews>
    <sheetView showOutlineSymbols="0" topLeftCell="B21" zoomScale="75" zoomScaleNormal="75" workbookViewId="0">
      <selection activeCell="H31" sqref="H31"/>
    </sheetView>
  </sheetViews>
  <sheetFormatPr defaultColWidth="12.81640625" defaultRowHeight="15"/>
  <cols>
    <col min="1" max="1" width="21.81640625" style="8" customWidth="1"/>
    <col min="2" max="2" width="8.1796875" style="8" customWidth="1"/>
    <col min="3" max="3" width="10.1796875" style="8" customWidth="1"/>
    <col min="4" max="4" width="14.1796875" style="8" customWidth="1"/>
    <col min="5" max="5" width="2.81640625" style="8" customWidth="1"/>
    <col min="6" max="6" width="18.81640625" style="8" customWidth="1"/>
    <col min="7" max="8" width="9.81640625" style="8" customWidth="1"/>
    <col min="9" max="9" width="10.81640625" style="8" customWidth="1"/>
    <col min="10" max="10" width="2.81640625" style="8" customWidth="1"/>
    <col min="11" max="11" width="20.81640625" style="8" customWidth="1"/>
    <col min="12" max="12" width="13.81640625" style="8" customWidth="1"/>
    <col min="13" max="13" width="10.81640625" style="8" customWidth="1"/>
    <col min="14" max="14" width="8.81640625" style="8" customWidth="1"/>
    <col min="15" max="15" width="2.81640625" style="8" customWidth="1"/>
    <col min="16" max="16" width="19.81640625" style="8" customWidth="1"/>
    <col min="17" max="17" width="9.453125" style="8" customWidth="1"/>
    <col min="18" max="18" width="10.1796875" style="8" customWidth="1"/>
    <col min="19" max="19" width="16.08984375" style="8" customWidth="1"/>
    <col min="20" max="20" width="6.1796875" style="8" customWidth="1"/>
    <col min="21" max="226" width="12.81640625" style="8" customWidth="1"/>
    <col min="227" max="16384" width="12.81640625" style="8"/>
  </cols>
  <sheetData>
    <row r="1" spans="1:214" ht="22.2">
      <c r="A1" s="4" t="s">
        <v>0</v>
      </c>
      <c r="B1" s="5"/>
      <c r="C1" s="5"/>
      <c r="D1" s="5"/>
      <c r="E1" s="5"/>
      <c r="F1" s="5"/>
      <c r="G1" s="5"/>
      <c r="H1" s="5"/>
      <c r="I1" s="6"/>
      <c r="J1" s="5"/>
      <c r="K1" s="7"/>
      <c r="L1" s="7"/>
      <c r="M1" s="7"/>
      <c r="N1" s="7"/>
      <c r="O1" s="7"/>
      <c r="P1" s="7"/>
      <c r="Q1" s="7"/>
      <c r="R1" s="7"/>
      <c r="S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 t="e">
        <f>(NPV(0.1,#REF!)+#REF!)*0.006</f>
        <v>#REF!</v>
      </c>
      <c r="GV1"/>
      <c r="GW1"/>
      <c r="GX1"/>
      <c r="GY1"/>
      <c r="GZ1"/>
      <c r="HA1"/>
      <c r="HB1"/>
      <c r="HC1"/>
      <c r="HD1"/>
      <c r="HE1"/>
      <c r="HF1"/>
    </row>
    <row r="2" spans="1:214" ht="15.6">
      <c r="A2" s="9" t="s">
        <v>1</v>
      </c>
      <c r="B2" s="10"/>
      <c r="C2" s="5"/>
      <c r="D2" s="5"/>
      <c r="E2" s="7"/>
      <c r="F2" s="7"/>
      <c r="G2" s="7"/>
      <c r="H2" s="7"/>
      <c r="I2" s="6"/>
      <c r="J2"/>
      <c r="K2"/>
      <c r="L2"/>
      <c r="M2"/>
      <c r="N2"/>
      <c r="O2"/>
      <c r="P2"/>
      <c r="Q2"/>
      <c r="R2"/>
      <c r="S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</row>
    <row r="3" spans="1:214" ht="7.5" customHeight="1">
      <c r="A3" s="12"/>
      <c r="B3" s="12"/>
      <c r="C3" s="13"/>
      <c r="D3" s="13"/>
      <c r="E3" s="13"/>
      <c r="F3" s="13"/>
      <c r="G3" s="13"/>
      <c r="H3" s="14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214" ht="16.2" thickBot="1">
      <c r="A4" s="16"/>
      <c r="B4" s="16"/>
      <c r="C4" s="5"/>
      <c r="D4" s="5"/>
      <c r="E4" s="5"/>
      <c r="F4" s="5"/>
      <c r="G4" s="5"/>
      <c r="H4" s="5"/>
      <c r="I4" s="6"/>
      <c r="J4" s="5"/>
      <c r="K4"/>
      <c r="L4"/>
      <c r="M4"/>
      <c r="N4"/>
      <c r="O4"/>
      <c r="P4"/>
      <c r="Q4"/>
    </row>
    <row r="5" spans="1:214" ht="16.2" thickTop="1">
      <c r="A5" s="17" t="s">
        <v>2</v>
      </c>
      <c r="B5" s="18"/>
      <c r="C5" s="18"/>
      <c r="D5" s="19"/>
      <c r="E5" s="20"/>
      <c r="F5" s="21" t="s">
        <v>3</v>
      </c>
      <c r="G5" s="18"/>
      <c r="H5" s="18"/>
      <c r="I5" s="18"/>
      <c r="J5" s="22"/>
      <c r="K5" s="23"/>
      <c r="L5" s="24"/>
      <c r="M5" s="25" t="s">
        <v>4</v>
      </c>
      <c r="N5" s="26" t="s">
        <v>5</v>
      </c>
      <c r="O5" s="27"/>
      <c r="P5" s="17" t="s">
        <v>6</v>
      </c>
      <c r="Q5" s="28"/>
      <c r="R5" s="29"/>
      <c r="S5" s="28"/>
      <c r="T5" s="30"/>
    </row>
    <row r="6" spans="1:214" ht="16.2" thickBot="1">
      <c r="A6" s="31" t="s">
        <v>7</v>
      </c>
      <c r="B6" s="32" t="s">
        <v>8</v>
      </c>
      <c r="C6" s="32" t="s">
        <v>9</v>
      </c>
      <c r="D6" s="32" t="s">
        <v>10</v>
      </c>
      <c r="E6" s="20"/>
      <c r="F6" s="20"/>
      <c r="G6" s="6"/>
      <c r="H6" s="6"/>
      <c r="I6" s="7"/>
      <c r="J6" s="22"/>
      <c r="K6" s="33" t="s">
        <v>11</v>
      </c>
      <c r="M6" s="34" t="s">
        <v>12</v>
      </c>
      <c r="N6" s="34" t="s">
        <v>13</v>
      </c>
      <c r="O6" s="27"/>
      <c r="P6" s="31" t="s">
        <v>14</v>
      </c>
      <c r="Q6" s="16"/>
      <c r="R6" s="35" t="s">
        <v>15</v>
      </c>
      <c r="S6" s="36" t="s">
        <v>16</v>
      </c>
      <c r="T6" s="30"/>
    </row>
    <row r="7" spans="1:214" ht="16.2" thickTop="1">
      <c r="A7" s="31" t="s">
        <v>17</v>
      </c>
      <c r="B7" s="39">
        <f>D7/7</f>
        <v>45.285714285714285</v>
      </c>
      <c r="C7" s="40">
        <v>320</v>
      </c>
      <c r="D7" s="39">
        <f>312.697*0+317</f>
        <v>317</v>
      </c>
      <c r="E7" s="20"/>
      <c r="F7" s="20" t="s">
        <v>18</v>
      </c>
      <c r="G7" s="6"/>
      <c r="H7" s="11"/>
      <c r="I7" s="7"/>
      <c r="J7" s="22"/>
      <c r="K7" s="41">
        <f>Tariff!C5</f>
        <v>2000</v>
      </c>
      <c r="L7" s="24"/>
      <c r="M7" s="42">
        <v>0.05</v>
      </c>
      <c r="N7" s="42">
        <v>0</v>
      </c>
      <c r="O7" s="20"/>
      <c r="P7" s="31" t="s">
        <v>19</v>
      </c>
      <c r="Q7" s="43">
        <v>17</v>
      </c>
      <c r="R7" s="44">
        <v>36474</v>
      </c>
      <c r="S7" s="44">
        <f>R7+Q7*365.25/12</f>
        <v>36991.4375</v>
      </c>
      <c r="T7" s="30"/>
    </row>
    <row r="8" spans="1:214" ht="15.6">
      <c r="A8" s="20" t="s">
        <v>21</v>
      </c>
      <c r="B8" s="47">
        <v>0.98</v>
      </c>
      <c r="C8" s="40">
        <f>C7*$B$8</f>
        <v>313.60000000000002</v>
      </c>
      <c r="D8" s="48">
        <f>D7*$B$8</f>
        <v>310.65999999999997</v>
      </c>
      <c r="E8" s="22"/>
      <c r="F8" s="20"/>
      <c r="G8" s="6"/>
      <c r="H8" s="6"/>
      <c r="I8" s="7"/>
      <c r="J8" s="22"/>
      <c r="K8" s="49">
        <f t="shared" ref="K8:K23" si="0">K7+1</f>
        <v>2001</v>
      </c>
      <c r="M8" s="75">
        <v>9.5000000000000001E-2</v>
      </c>
      <c r="N8" s="75">
        <v>3.4000000000000002E-2</v>
      </c>
      <c r="O8" s="20"/>
      <c r="P8" s="31"/>
      <c r="Q8" s="16"/>
      <c r="R8" s="50"/>
      <c r="S8" s="51"/>
      <c r="T8" s="30"/>
    </row>
    <row r="9" spans="1:214" ht="15.6">
      <c r="A9" s="20" t="s">
        <v>23</v>
      </c>
      <c r="B9" s="6"/>
      <c r="C9" s="52"/>
      <c r="D9" s="52">
        <v>1</v>
      </c>
      <c r="E9" s="53"/>
      <c r="F9" s="20"/>
      <c r="G9" s="6"/>
      <c r="H9" s="54" t="s">
        <v>24</v>
      </c>
      <c r="I9" s="54" t="s">
        <v>25</v>
      </c>
      <c r="J9" s="22"/>
      <c r="K9" s="49">
        <f t="shared" si="0"/>
        <v>2002</v>
      </c>
      <c r="M9" s="75">
        <v>8.5500000000000007E-2</v>
      </c>
      <c r="N9" s="75">
        <v>3.1E-2</v>
      </c>
      <c r="O9" s="27"/>
      <c r="P9" s="55"/>
      <c r="S9" s="38" t="s">
        <v>26</v>
      </c>
      <c r="T9" s="30"/>
    </row>
    <row r="10" spans="1:214" ht="15.6">
      <c r="A10" s="20" t="s">
        <v>28</v>
      </c>
      <c r="B10" s="6"/>
      <c r="C10" s="6"/>
      <c r="D10" s="52">
        <v>0</v>
      </c>
      <c r="E10" s="22"/>
      <c r="F10" s="20" t="s">
        <v>29</v>
      </c>
      <c r="G10" s="6"/>
      <c r="H10" s="47">
        <f t="shared" ref="H10:H15" si="1">1/I10</f>
        <v>3.5087719298245612E-2</v>
      </c>
      <c r="I10" s="56">
        <v>28.5</v>
      </c>
      <c r="J10" s="22"/>
      <c r="K10" s="49">
        <f t="shared" si="0"/>
        <v>2003</v>
      </c>
      <c r="M10" s="75">
        <v>7.6999999999999999E-2</v>
      </c>
      <c r="N10" s="75">
        <v>4.0500000000000001E-2</v>
      </c>
      <c r="O10" s="27"/>
      <c r="P10" s="31" t="s">
        <v>30</v>
      </c>
      <c r="S10" s="43" t="s">
        <v>31</v>
      </c>
      <c r="T10" s="30"/>
    </row>
    <row r="11" spans="1:214" ht="15.6">
      <c r="A11" s="31" t="s">
        <v>32</v>
      </c>
      <c r="B11" s="6"/>
      <c r="C11" s="6"/>
      <c r="D11" s="35">
        <f>D8</f>
        <v>310.65999999999997</v>
      </c>
      <c r="E11" s="22"/>
      <c r="F11" s="20" t="s">
        <v>33</v>
      </c>
      <c r="G11" s="6"/>
      <c r="H11" s="47">
        <f t="shared" si="1"/>
        <v>3.5087719298245612E-2</v>
      </c>
      <c r="I11" s="56">
        <f>I10</f>
        <v>28.5</v>
      </c>
      <c r="J11" s="22"/>
      <c r="K11" s="49">
        <f t="shared" si="0"/>
        <v>2004</v>
      </c>
      <c r="M11" s="75">
        <v>6.93E-2</v>
      </c>
      <c r="N11" s="75">
        <v>4.7100000000000003E-2</v>
      </c>
      <c r="O11" s="27"/>
      <c r="P11" s="31" t="s">
        <v>34</v>
      </c>
      <c r="S11" s="57">
        <v>1</v>
      </c>
      <c r="T11" s="30"/>
    </row>
    <row r="12" spans="1:214" ht="15.6">
      <c r="A12" s="20" t="s">
        <v>35</v>
      </c>
      <c r="B12" s="60"/>
      <c r="C12" s="61"/>
      <c r="D12" s="61">
        <f>D11*8760</f>
        <v>2721381.5999999996</v>
      </c>
      <c r="E12" s="20"/>
      <c r="F12" s="20" t="s">
        <v>36</v>
      </c>
      <c r="G12" s="6"/>
      <c r="H12" s="47">
        <f t="shared" si="1"/>
        <v>3.5087719298245612E-2</v>
      </c>
      <c r="I12" s="56">
        <f>I11</f>
        <v>28.5</v>
      </c>
      <c r="J12" s="22"/>
      <c r="K12" s="49">
        <f t="shared" si="0"/>
        <v>2005</v>
      </c>
      <c r="M12" s="75">
        <v>6.2300000000000001E-2</v>
      </c>
      <c r="N12" s="75">
        <v>8.9999999999999993E-3</v>
      </c>
      <c r="O12" s="27"/>
      <c r="P12" s="31" t="s">
        <v>37</v>
      </c>
      <c r="S12" s="40">
        <v>90</v>
      </c>
      <c r="T12" s="30"/>
    </row>
    <row r="13" spans="1:214" ht="15.6">
      <c r="A13" s="20" t="s">
        <v>38</v>
      </c>
      <c r="B13" s="62"/>
      <c r="C13" s="63"/>
      <c r="D13" s="64">
        <v>0</v>
      </c>
      <c r="E13" s="20"/>
      <c r="F13" s="20" t="s">
        <v>39</v>
      </c>
      <c r="G13" s="6"/>
      <c r="H13" s="47">
        <f t="shared" si="1"/>
        <v>3.5087719298245612E-2</v>
      </c>
      <c r="I13" s="56">
        <f>I12</f>
        <v>28.5</v>
      </c>
      <c r="J13" s="22"/>
      <c r="K13" s="49">
        <f t="shared" si="0"/>
        <v>2006</v>
      </c>
      <c r="M13" s="75">
        <v>5.8999999999999997E-2</v>
      </c>
      <c r="N13" s="75">
        <v>4.4499999999999998E-2</v>
      </c>
      <c r="O13" s="27"/>
      <c r="P13" s="20" t="s">
        <v>40</v>
      </c>
      <c r="S13" s="65">
        <v>36617</v>
      </c>
      <c r="T13" s="30"/>
    </row>
    <row r="14" spans="1:214" ht="16.2" thickBot="1">
      <c r="A14" s="20" t="s">
        <v>41</v>
      </c>
      <c r="B14" s="60"/>
      <c r="C14" s="61"/>
      <c r="D14" s="61">
        <f>D12+D13</f>
        <v>2721381.5999999996</v>
      </c>
      <c r="E14" s="20"/>
      <c r="F14" s="20" t="s">
        <v>42</v>
      </c>
      <c r="G14" s="6"/>
      <c r="H14" s="47">
        <f t="shared" si="1"/>
        <v>3.5087719298245612E-2</v>
      </c>
      <c r="I14" s="56">
        <f>I13</f>
        <v>28.5</v>
      </c>
      <c r="J14" s="22"/>
      <c r="K14" s="49">
        <f t="shared" si="0"/>
        <v>2007</v>
      </c>
      <c r="M14" s="75">
        <v>5.8999999999999997E-2</v>
      </c>
      <c r="N14" s="75">
        <v>8.8499999999999995E-2</v>
      </c>
      <c r="O14" s="27"/>
      <c r="P14" s="31" t="s">
        <v>43</v>
      </c>
      <c r="S14" s="43"/>
      <c r="T14" s="30"/>
    </row>
    <row r="15" spans="1:214" ht="16.8" thickTop="1" thickBot="1">
      <c r="A15" s="66"/>
      <c r="B15" s="67"/>
      <c r="C15" s="68"/>
      <c r="D15" s="68"/>
      <c r="E15" s="16"/>
      <c r="F15" s="20" t="s">
        <v>44</v>
      </c>
      <c r="G15" s="6"/>
      <c r="H15" s="47">
        <f t="shared" si="1"/>
        <v>3.5087719298245612E-2</v>
      </c>
      <c r="I15" s="56">
        <f>I14</f>
        <v>28.5</v>
      </c>
      <c r="J15" s="22"/>
      <c r="K15" s="49">
        <f t="shared" si="0"/>
        <v>2008</v>
      </c>
      <c r="M15" s="75">
        <v>5.91E-2</v>
      </c>
      <c r="N15" s="75">
        <v>0.10050000000000001</v>
      </c>
      <c r="O15" s="27"/>
      <c r="P15" s="31" t="s">
        <v>45</v>
      </c>
      <c r="S15" s="43" t="s">
        <v>46</v>
      </c>
      <c r="T15" s="30"/>
    </row>
    <row r="16" spans="1:214" ht="16.2" thickTop="1">
      <c r="A16" s="17" t="s">
        <v>47</v>
      </c>
      <c r="B16" s="69"/>
      <c r="C16" s="18"/>
      <c r="D16" s="18"/>
      <c r="E16" s="20"/>
      <c r="F16" s="20"/>
      <c r="G16" s="6"/>
      <c r="H16" s="47"/>
      <c r="I16" s="56"/>
      <c r="J16" s="22"/>
      <c r="K16" s="49">
        <f t="shared" si="0"/>
        <v>2009</v>
      </c>
      <c r="M16" s="75">
        <v>5.8999999999999997E-2</v>
      </c>
      <c r="N16" s="75">
        <v>9.5000000000000001E-2</v>
      </c>
      <c r="O16" s="27"/>
      <c r="P16" s="31" t="s">
        <v>48</v>
      </c>
      <c r="S16" s="828">
        <v>6.5000000000000002E-2</v>
      </c>
      <c r="T16" s="30"/>
    </row>
    <row r="17" spans="1:20" ht="16.2">
      <c r="A17" s="71" t="s">
        <v>49</v>
      </c>
      <c r="B17" s="54" t="s">
        <v>50</v>
      </c>
      <c r="C17" s="72"/>
      <c r="D17" s="54" t="s">
        <v>51</v>
      </c>
      <c r="E17" s="22"/>
      <c r="F17" s="20" t="s">
        <v>52</v>
      </c>
      <c r="G17" s="6"/>
      <c r="H17" s="56"/>
      <c r="I17" s="56"/>
      <c r="J17" s="22"/>
      <c r="K17" s="49">
        <f t="shared" si="0"/>
        <v>2010</v>
      </c>
      <c r="M17" s="75">
        <v>5.91E-2</v>
      </c>
      <c r="N17" s="75">
        <v>9.5000000000000001E-2</v>
      </c>
      <c r="O17" s="27"/>
      <c r="P17" s="31" t="s">
        <v>53</v>
      </c>
      <c r="S17" s="828">
        <v>1.4999999999999999E-2</v>
      </c>
      <c r="T17" s="30"/>
    </row>
    <row r="18" spans="1:20" ht="15.6">
      <c r="A18" s="73" t="s">
        <v>54</v>
      </c>
      <c r="B18" s="6"/>
      <c r="C18" s="6"/>
      <c r="D18" s="6"/>
      <c r="E18" s="22"/>
      <c r="F18" s="20" t="s">
        <v>55</v>
      </c>
      <c r="G18" s="6"/>
      <c r="H18" s="47">
        <v>0</v>
      </c>
      <c r="I18" s="56" t="s">
        <v>56</v>
      </c>
      <c r="J18" s="22"/>
      <c r="K18" s="49">
        <f t="shared" si="0"/>
        <v>2011</v>
      </c>
      <c r="M18" s="75">
        <v>5.8999999999999997E-2</v>
      </c>
      <c r="N18" s="75">
        <v>0.09</v>
      </c>
      <c r="O18" s="20"/>
      <c r="P18" s="31" t="s">
        <v>57</v>
      </c>
      <c r="S18" s="32">
        <v>0</v>
      </c>
      <c r="T18" s="30"/>
    </row>
    <row r="19" spans="1:20" ht="15.6">
      <c r="A19" s="20" t="s">
        <v>58</v>
      </c>
      <c r="B19" s="36">
        <f>I27</f>
        <v>1999</v>
      </c>
      <c r="C19" s="74">
        <f>Tariff!C22/1200</f>
        <v>2.8082039808333334E-2</v>
      </c>
      <c r="D19" s="70">
        <f>M34</f>
        <v>2.7E-2</v>
      </c>
      <c r="E19" s="20"/>
      <c r="F19" s="20" t="s">
        <v>59</v>
      </c>
      <c r="G19" s="6"/>
      <c r="H19" s="47">
        <v>0</v>
      </c>
      <c r="I19" s="56" t="str">
        <f>I18</f>
        <v>15 MACRS</v>
      </c>
      <c r="J19" s="22"/>
      <c r="K19" s="49">
        <f t="shared" si="0"/>
        <v>2012</v>
      </c>
      <c r="M19" s="75">
        <v>5.91E-2</v>
      </c>
      <c r="N19" s="75">
        <v>0.09</v>
      </c>
      <c r="O19" s="27"/>
      <c r="P19" s="31" t="s">
        <v>60</v>
      </c>
      <c r="S19" s="75">
        <f>SUM(S16:S18)</f>
        <v>0.08</v>
      </c>
      <c r="T19" s="30"/>
    </row>
    <row r="20" spans="1:20" ht="15.6">
      <c r="A20" s="20"/>
      <c r="B20" s="56"/>
      <c r="C20" s="7"/>
      <c r="D20" s="50"/>
      <c r="E20" s="20"/>
      <c r="F20" s="20" t="s">
        <v>61</v>
      </c>
      <c r="G20" s="6"/>
      <c r="H20" s="47">
        <v>0</v>
      </c>
      <c r="I20" s="56" t="str">
        <f>I19</f>
        <v>15 MACRS</v>
      </c>
      <c r="J20" s="22"/>
      <c r="K20" s="49">
        <f t="shared" si="0"/>
        <v>2013</v>
      </c>
      <c r="M20" s="75">
        <v>5.8999999999999997E-2</v>
      </c>
      <c r="N20" s="75">
        <v>8.5000000000000006E-2</v>
      </c>
      <c r="O20" s="27"/>
      <c r="P20" s="31"/>
      <c r="S20" s="43"/>
      <c r="T20" s="30"/>
    </row>
    <row r="21" spans="1:20" ht="16.2">
      <c r="A21" s="71" t="s">
        <v>62</v>
      </c>
      <c r="B21" s="56"/>
      <c r="C21" s="6"/>
      <c r="D21" s="59"/>
      <c r="E21" s="20"/>
      <c r="F21" s="20" t="s">
        <v>63</v>
      </c>
      <c r="G21" s="6"/>
      <c r="H21" s="47">
        <f>1/I21</f>
        <v>0.2</v>
      </c>
      <c r="I21" s="56">
        <f>5</f>
        <v>5</v>
      </c>
      <c r="J21" s="22"/>
      <c r="K21" s="49">
        <f t="shared" si="0"/>
        <v>2014</v>
      </c>
      <c r="M21" s="75">
        <v>5.91E-2</v>
      </c>
      <c r="N21" s="75">
        <v>0.08</v>
      </c>
      <c r="O21" s="27"/>
      <c r="P21" s="31"/>
      <c r="S21" s="70"/>
      <c r="T21" s="30"/>
    </row>
    <row r="22" spans="1:20" ht="15.6">
      <c r="A22" s="73" t="s">
        <v>64</v>
      </c>
      <c r="B22" s="56"/>
      <c r="C22" s="6"/>
      <c r="D22" s="6"/>
      <c r="E22" s="20"/>
      <c r="F22" s="20"/>
      <c r="G22" s="6"/>
      <c r="H22" s="56"/>
      <c r="I22" s="56"/>
      <c r="J22" s="22"/>
      <c r="K22" s="49">
        <f t="shared" si="0"/>
        <v>2015</v>
      </c>
      <c r="M22" s="75">
        <v>2.9499999999999998E-2</v>
      </c>
      <c r="N22" s="75">
        <f>1-SUM(N7:N21)</f>
        <v>6.9900000000000184E-2</v>
      </c>
      <c r="O22" s="27"/>
      <c r="P22" s="31" t="s">
        <v>65</v>
      </c>
      <c r="S22" s="70">
        <v>0.03</v>
      </c>
      <c r="T22" s="30"/>
    </row>
    <row r="23" spans="1:20" ht="16.2" thickBot="1">
      <c r="A23" s="20" t="s">
        <v>58</v>
      </c>
      <c r="B23" s="52">
        <f>B19</f>
        <v>1999</v>
      </c>
      <c r="C23" s="74">
        <f>Tariff!C27/1000</f>
        <v>3.1664125089999995E-2</v>
      </c>
      <c r="D23" s="75">
        <f>D19</f>
        <v>2.7E-2</v>
      </c>
      <c r="E23" s="20"/>
      <c r="F23" s="20"/>
      <c r="G23" s="6"/>
      <c r="H23" s="47"/>
      <c r="I23" s="56"/>
      <c r="J23" s="22"/>
      <c r="K23" s="49">
        <f t="shared" si="0"/>
        <v>2016</v>
      </c>
      <c r="M23" s="75"/>
      <c r="N23" s="75"/>
      <c r="O23" s="27"/>
      <c r="P23" s="31"/>
      <c r="S23" s="50"/>
      <c r="T23" s="30"/>
    </row>
    <row r="24" spans="1:20" ht="16.8" thickTop="1" thickBot="1">
      <c r="A24" s="20" t="s">
        <v>66</v>
      </c>
      <c r="B24" s="76">
        <f>22*16*2</f>
        <v>704</v>
      </c>
      <c r="C24"/>
      <c r="D24" s="50"/>
      <c r="E24" s="20"/>
      <c r="F24" s="20" t="s">
        <v>67</v>
      </c>
      <c r="G24" s="6"/>
      <c r="H24" s="47">
        <f>1/I24</f>
        <v>3.5087719298245612E-2</v>
      </c>
      <c r="I24" s="56">
        <v>28.5</v>
      </c>
      <c r="J24" s="22"/>
      <c r="K24" s="49"/>
      <c r="M24" s="75"/>
      <c r="N24" s="641"/>
      <c r="O24" s="27"/>
      <c r="P24" s="77"/>
      <c r="Q24" s="77"/>
      <c r="R24" s="24"/>
      <c r="S24" s="24"/>
    </row>
    <row r="25" spans="1:20" ht="16.8" thickTop="1" thickBot="1">
      <c r="A25" s="20"/>
      <c r="D25" s="50"/>
      <c r="E25" s="20"/>
      <c r="F25" s="20" t="s">
        <v>68</v>
      </c>
      <c r="G25" s="7"/>
      <c r="H25" s="47">
        <f>1/I25</f>
        <v>0.1</v>
      </c>
      <c r="I25" s="56">
        <v>10</v>
      </c>
      <c r="J25" s="22"/>
      <c r="K25" s="78"/>
      <c r="L25" s="24"/>
      <c r="M25" s="728">
        <f>SUM(M7:M24)</f>
        <v>1.0000000000000002</v>
      </c>
      <c r="N25" s="728">
        <f>SUM(N7:N24)</f>
        <v>1</v>
      </c>
      <c r="O25" s="27"/>
      <c r="P25" s="650" t="s">
        <v>69</v>
      </c>
      <c r="Q25" s="651"/>
      <c r="R25" s="652"/>
      <c r="S25" s="653"/>
      <c r="T25" s="642"/>
    </row>
    <row r="26" spans="1:20" ht="16.8" thickTop="1" thickBot="1">
      <c r="A26" s="73" t="s">
        <v>70</v>
      </c>
      <c r="B26" s="79"/>
      <c r="C26" s="6"/>
      <c r="D26" s="6"/>
      <c r="E26" s="20"/>
      <c r="F26" s="77"/>
      <c r="G26" s="77"/>
      <c r="H26" s="77"/>
      <c r="I26" s="77"/>
      <c r="J26" s="6"/>
      <c r="K26" s="49" t="s">
        <v>71</v>
      </c>
      <c r="N26" s="34">
        <v>1</v>
      </c>
      <c r="O26" s="27"/>
      <c r="P26" s="654"/>
      <c r="Q26" s="643"/>
      <c r="R26" s="643"/>
      <c r="S26" s="655" t="str">
        <f>S9</f>
        <v>144A</v>
      </c>
      <c r="T26" s="642"/>
    </row>
    <row r="27" spans="1:20" ht="16.8" thickTop="1" thickBot="1">
      <c r="A27" s="20" t="s">
        <v>58</v>
      </c>
      <c r="B27" s="40">
        <f>B23</f>
        <v>1999</v>
      </c>
      <c r="C27" s="74">
        <f>Tariff!C36/Tariff!C17/100</f>
        <v>2.0710726091954365E-3</v>
      </c>
      <c r="D27" s="75">
        <f>D19</f>
        <v>2.7E-2</v>
      </c>
      <c r="E27" s="22"/>
      <c r="F27" s="17" t="s">
        <v>73</v>
      </c>
      <c r="G27" s="18"/>
      <c r="H27" s="18"/>
      <c r="I27" s="80">
        <v>1999</v>
      </c>
      <c r="J27" s="22"/>
      <c r="K27" s="19"/>
      <c r="L27" s="19"/>
      <c r="M27" s="19"/>
      <c r="N27" s="19"/>
      <c r="O27"/>
      <c r="P27" s="654" t="s">
        <v>30</v>
      </c>
      <c r="Q27" s="643"/>
      <c r="R27" s="643"/>
      <c r="S27" s="656" t="str">
        <f>S10</f>
        <v>Long-term</v>
      </c>
      <c r="T27" s="642"/>
    </row>
    <row r="28" spans="1:20" ht="15.6">
      <c r="A28" s="20"/>
      <c r="B28"/>
      <c r="C28"/>
      <c r="D28" s="50"/>
      <c r="E28" s="20"/>
      <c r="F28" s="20"/>
      <c r="G28"/>
      <c r="H28" s="81"/>
      <c r="I28" s="7"/>
      <c r="J28" s="22"/>
      <c r="K28" s="650" t="s">
        <v>82</v>
      </c>
      <c r="L28" s="710"/>
      <c r="M28" s="710"/>
      <c r="N28" s="711"/>
      <c r="O28" s="708"/>
      <c r="P28" s="654" t="s">
        <v>34</v>
      </c>
      <c r="Q28" s="643"/>
      <c r="R28" s="643"/>
      <c r="S28" s="657">
        <v>1</v>
      </c>
      <c r="T28" s="642"/>
    </row>
    <row r="29" spans="1:20" ht="16.2" thickBot="1">
      <c r="A29" s="45" t="s">
        <v>74</v>
      </c>
      <c r="B29" s="7"/>
      <c r="C29"/>
      <c r="D29" s="729">
        <f>Tariff!C42/100</f>
        <v>0.25272213523913495</v>
      </c>
      <c r="E29" s="20"/>
      <c r="F29" s="31"/>
      <c r="H29" s="34" t="s">
        <v>75</v>
      </c>
      <c r="I29" s="82" t="s">
        <v>76</v>
      </c>
      <c r="J29" s="22"/>
      <c r="K29" s="712" t="s">
        <v>87</v>
      </c>
      <c r="L29" s="702"/>
      <c r="M29" s="709">
        <v>30</v>
      </c>
      <c r="N29" s="758">
        <f ca="1">OandM!D34/365.25*M29</f>
        <v>492.74618966407439</v>
      </c>
      <c r="O29" s="708"/>
      <c r="P29" s="654" t="s">
        <v>37</v>
      </c>
      <c r="Q29" s="644">
        <f ca="1">IF(R29="Not Correct",ROUND(-'144A IDC'!Y103+S29*1000,2)," ")</f>
        <v>2036.17</v>
      </c>
      <c r="R29" s="645" t="str">
        <f ca="1">IF(ROUND('144A IDC'!Y103,2)=S29*1000,"Correct","Not Correct")</f>
        <v>Not Correct</v>
      </c>
      <c r="S29" s="658">
        <f>S12</f>
        <v>90</v>
      </c>
      <c r="T29" s="642"/>
    </row>
    <row r="30" spans="1:20" ht="16.8" thickTop="1" thickBot="1">
      <c r="A30" s="19"/>
      <c r="B30" s="83"/>
      <c r="C30" s="19"/>
      <c r="D30" s="19"/>
      <c r="E30" s="7"/>
      <c r="F30" s="55" t="s">
        <v>77</v>
      </c>
      <c r="H30" s="38" t="s">
        <v>78</v>
      </c>
      <c r="I30" s="38" t="s">
        <v>51</v>
      </c>
      <c r="J30" s="22"/>
      <c r="K30" s="712" t="s">
        <v>91</v>
      </c>
      <c r="L30" s="702"/>
      <c r="M30" s="709">
        <v>45</v>
      </c>
      <c r="N30" s="759">
        <f ca="1">FUEL!D88/365.25*M30</f>
        <v>921.50063852174071</v>
      </c>
      <c r="O30"/>
      <c r="P30" s="654" t="s">
        <v>79</v>
      </c>
      <c r="Q30" s="643"/>
      <c r="R30" s="643"/>
      <c r="S30" s="659">
        <f ca="1">S29/+'ASSUM 2'!E64</f>
        <v>0.52070292669298401</v>
      </c>
      <c r="T30" s="642"/>
    </row>
    <row r="31" spans="1:20" ht="16.8" thickTop="1" thickBot="1">
      <c r="A31" s="17" t="s">
        <v>80</v>
      </c>
      <c r="B31" s="28"/>
      <c r="C31" s="28"/>
      <c r="D31" s="28"/>
      <c r="E31" s="20"/>
      <c r="F31" s="31" t="s">
        <v>81</v>
      </c>
      <c r="G31" s="3"/>
      <c r="H31" s="59">
        <v>0.6</v>
      </c>
      <c r="I31" s="75">
        <f>$M$34</f>
        <v>2.7E-2</v>
      </c>
      <c r="J31" s="22"/>
      <c r="K31" s="713"/>
      <c r="L31" s="714" t="s">
        <v>27</v>
      </c>
      <c r="M31" s="715"/>
      <c r="N31" s="760">
        <f ca="1">N30+N29</f>
        <v>1414.246828185815</v>
      </c>
      <c r="O31" s="708"/>
      <c r="P31" s="654" t="s">
        <v>83</v>
      </c>
      <c r="Q31" s="643"/>
      <c r="R31" s="643"/>
      <c r="S31" s="656"/>
      <c r="T31" s="642"/>
    </row>
    <row r="32" spans="1:20" ht="16.2" thickBot="1">
      <c r="A32" s="31" t="s">
        <v>84</v>
      </c>
      <c r="B32"/>
      <c r="C32" s="84" t="s">
        <v>85</v>
      </c>
      <c r="D32" s="70"/>
      <c r="E32" s="20"/>
      <c r="F32" s="31" t="s">
        <v>86</v>
      </c>
      <c r="G32" s="3"/>
      <c r="H32" s="59">
        <v>1.53</v>
      </c>
      <c r="I32" s="75">
        <f>I31</f>
        <v>2.7E-2</v>
      </c>
      <c r="J32" s="22"/>
      <c r="K32" s="642"/>
      <c r="L32" s="642"/>
      <c r="M32" s="642"/>
      <c r="N32" s="642"/>
      <c r="O32" s="708"/>
      <c r="P32" s="654" t="s">
        <v>88</v>
      </c>
      <c r="Q32" s="643"/>
      <c r="R32" s="643"/>
      <c r="S32" s="660">
        <v>15</v>
      </c>
      <c r="T32" s="642"/>
    </row>
    <row r="33" spans="1:20" ht="15.6">
      <c r="A33" s="31" t="s">
        <v>89</v>
      </c>
      <c r="B33"/>
      <c r="C33" s="70">
        <v>0</v>
      </c>
      <c r="D33" s="85">
        <v>9579</v>
      </c>
      <c r="E33" s="20"/>
      <c r="F33" s="31" t="s">
        <v>90</v>
      </c>
      <c r="G33" s="3"/>
      <c r="H33" s="86">
        <v>2E-3</v>
      </c>
      <c r="I33" s="75">
        <f>I32</f>
        <v>2.7E-2</v>
      </c>
      <c r="J33" s="22"/>
      <c r="K33" s="650" t="s">
        <v>102</v>
      </c>
      <c r="L33" s="651"/>
      <c r="M33" s="651"/>
      <c r="N33" s="653"/>
      <c r="O33" s="708"/>
      <c r="P33" s="654" t="s">
        <v>92</v>
      </c>
      <c r="Q33" s="646" t="s">
        <v>93</v>
      </c>
      <c r="R33" s="643"/>
      <c r="S33" s="656">
        <v>0</v>
      </c>
      <c r="T33" s="642"/>
    </row>
    <row r="34" spans="1:20" ht="15.6">
      <c r="A34" s="31" t="s">
        <v>94</v>
      </c>
      <c r="B34"/>
      <c r="C34" s="16"/>
      <c r="D34" s="85">
        <f>132000*42</f>
        <v>5544000</v>
      </c>
      <c r="E34" s="20"/>
      <c r="F34" s="31" t="s">
        <v>95</v>
      </c>
      <c r="G34" s="3"/>
      <c r="H34" s="59">
        <v>1.4</v>
      </c>
      <c r="I34" s="75">
        <f>I33</f>
        <v>2.7E-2</v>
      </c>
      <c r="J34" s="22"/>
      <c r="K34" s="712" t="s">
        <v>106</v>
      </c>
      <c r="L34" s="702"/>
      <c r="M34" s="727">
        <v>2.7E-2</v>
      </c>
      <c r="N34" s="717" t="s">
        <v>107</v>
      </c>
      <c r="O34" s="708"/>
      <c r="P34" s="654" t="s">
        <v>96</v>
      </c>
      <c r="Q34" s="643"/>
      <c r="R34" s="643"/>
      <c r="S34" s="656" t="s">
        <v>97</v>
      </c>
      <c r="T34" s="642"/>
    </row>
    <row r="35" spans="1:20" ht="16.2" thickBot="1">
      <c r="A35" s="20"/>
      <c r="B35"/>
      <c r="C35"/>
      <c r="D35" s="52"/>
      <c r="E35" s="22"/>
      <c r="F35" s="31" t="s">
        <v>98</v>
      </c>
      <c r="G35" s="3"/>
      <c r="H35" s="59">
        <v>0.3</v>
      </c>
      <c r="I35" s="75">
        <f>I34</f>
        <v>2.7E-2</v>
      </c>
      <c r="J35" s="22"/>
      <c r="K35" s="718"/>
      <c r="L35" s="719"/>
      <c r="M35" s="720"/>
      <c r="N35" s="716"/>
      <c r="O35"/>
      <c r="P35" s="654" t="s">
        <v>99</v>
      </c>
      <c r="Q35" s="643"/>
      <c r="R35" s="643"/>
      <c r="S35" s="661">
        <v>0</v>
      </c>
      <c r="T35" s="642"/>
    </row>
    <row r="36" spans="1:20" ht="16.2" thickBot="1">
      <c r="A36" s="31" t="s">
        <v>100</v>
      </c>
      <c r="B36"/>
      <c r="C36" s="16"/>
      <c r="D36" s="43">
        <v>20</v>
      </c>
      <c r="E36" s="22"/>
      <c r="F36" s="31" t="s">
        <v>101</v>
      </c>
      <c r="G36" s="87"/>
      <c r="H36" s="59">
        <f>PMT(0.07/12,20*12,-6000000)*12/10^6</f>
        <v>0.558215233645589</v>
      </c>
      <c r="I36" s="70">
        <v>0</v>
      </c>
      <c r="J36" s="22"/>
      <c r="K36" s="642"/>
      <c r="L36" s="642"/>
      <c r="M36" s="642"/>
      <c r="N36" s="642"/>
      <c r="O36" s="708"/>
      <c r="P36" s="662" t="s">
        <v>103</v>
      </c>
      <c r="Q36" s="643"/>
      <c r="R36" s="643"/>
      <c r="S36" s="663">
        <v>1</v>
      </c>
      <c r="T36" s="642"/>
    </row>
    <row r="37" spans="1:20" ht="15.6">
      <c r="A37" s="31" t="s">
        <v>104</v>
      </c>
      <c r="B37"/>
      <c r="C37" s="43"/>
      <c r="D37" s="43">
        <v>2000</v>
      </c>
      <c r="E37" s="22"/>
      <c r="F37" s="31" t="s">
        <v>105</v>
      </c>
      <c r="G37" s="3"/>
      <c r="H37" s="59">
        <v>0</v>
      </c>
      <c r="I37" s="70"/>
      <c r="J37" s="22"/>
      <c r="K37" s="650" t="s">
        <v>113</v>
      </c>
      <c r="L37" s="651"/>
      <c r="M37" s="651"/>
      <c r="N37" s="653"/>
      <c r="O37" s="708"/>
      <c r="P37" s="654" t="s">
        <v>43</v>
      </c>
      <c r="Q37" s="643"/>
      <c r="R37" s="643"/>
      <c r="S37" s="656"/>
      <c r="T37" s="642"/>
    </row>
    <row r="38" spans="1:20" ht="16.2" thickBot="1">
      <c r="A38" s="31" t="s">
        <v>108</v>
      </c>
      <c r="B38"/>
      <c r="C38" s="88">
        <v>7</v>
      </c>
      <c r="D38" s="88">
        <v>7</v>
      </c>
      <c r="E38" s="22"/>
      <c r="F38" s="58" t="s">
        <v>109</v>
      </c>
      <c r="H38" s="89"/>
      <c r="I38" s="90">
        <f ca="1">OandM!C39*100</f>
        <v>3.5204405968705887</v>
      </c>
      <c r="J38" s="22"/>
      <c r="K38" s="654" t="s">
        <v>117</v>
      </c>
      <c r="L38" s="708"/>
      <c r="M38" s="708"/>
      <c r="N38" s="721">
        <v>0.35</v>
      </c>
      <c r="O38" s="708"/>
      <c r="P38" s="654" t="s">
        <v>45</v>
      </c>
      <c r="Q38" s="643"/>
      <c r="R38" s="643"/>
      <c r="S38" s="656" t="s">
        <v>46</v>
      </c>
      <c r="T38" s="642"/>
    </row>
    <row r="39" spans="1:20" ht="16.8" thickTop="1" thickBot="1">
      <c r="A39" s="77"/>
      <c r="B39" s="77"/>
      <c r="C39" s="77"/>
      <c r="D39" s="77"/>
      <c r="E39" s="6"/>
      <c r="F39" s="55" t="s">
        <v>110</v>
      </c>
      <c r="H39" s="16"/>
      <c r="I39" s="43"/>
      <c r="J39" s="22"/>
      <c r="K39" s="654" t="s">
        <v>120</v>
      </c>
      <c r="L39" s="708"/>
      <c r="M39" s="709">
        <v>2000</v>
      </c>
      <c r="N39" s="721">
        <f>0.022</f>
        <v>2.1999999999999999E-2</v>
      </c>
      <c r="O39"/>
      <c r="P39" s="654" t="s">
        <v>48</v>
      </c>
      <c r="Q39" s="643"/>
      <c r="R39" s="643"/>
      <c r="S39" s="664">
        <f>S16</f>
        <v>6.5000000000000002E-2</v>
      </c>
      <c r="T39" s="642"/>
    </row>
    <row r="40" spans="1:20" ht="16.2" thickTop="1">
      <c r="A40" s="17" t="s">
        <v>111</v>
      </c>
      <c r="B40" s="28"/>
      <c r="C40" s="66"/>
      <c r="D40" s="91"/>
      <c r="E40" s="22"/>
      <c r="F40" s="31" t="s">
        <v>112</v>
      </c>
      <c r="G40" s="3"/>
      <c r="H40" s="59">
        <v>0.15</v>
      </c>
      <c r="I40" s="75">
        <f t="shared" ref="I40:I49" si="2">$I$31</f>
        <v>2.7E-2</v>
      </c>
      <c r="J40" s="22"/>
      <c r="K40" s="654" t="s">
        <v>122</v>
      </c>
      <c r="L40" s="708"/>
      <c r="M40" s="708"/>
      <c r="N40" s="721">
        <v>0.06</v>
      </c>
      <c r="O40" s="708"/>
      <c r="P40" s="654" t="s">
        <v>53</v>
      </c>
      <c r="Q40" s="643"/>
      <c r="R40" s="643"/>
      <c r="S40" s="664">
        <f>S17</f>
        <v>1.4999999999999999E-2</v>
      </c>
      <c r="T40" s="642"/>
    </row>
    <row r="41" spans="1:20" ht="15.6">
      <c r="A41" s="37"/>
      <c r="B41"/>
      <c r="C41" s="5"/>
      <c r="D41" s="82" t="s">
        <v>76</v>
      </c>
      <c r="E41" s="22"/>
      <c r="F41" s="31" t="s">
        <v>114</v>
      </c>
      <c r="G41" s="92" t="s">
        <v>115</v>
      </c>
      <c r="H41" s="59" t="s">
        <v>116</v>
      </c>
      <c r="I41" s="75">
        <f t="shared" si="2"/>
        <v>2.7E-2</v>
      </c>
      <c r="J41" s="22"/>
      <c r="K41" s="712" t="s">
        <v>124</v>
      </c>
      <c r="L41" s="643"/>
      <c r="M41" s="643"/>
      <c r="N41" s="722">
        <v>0.03</v>
      </c>
      <c r="O41" s="708"/>
      <c r="P41" s="654" t="s">
        <v>57</v>
      </c>
      <c r="Q41" s="643"/>
      <c r="R41" s="643"/>
      <c r="S41" s="665">
        <f>S18</f>
        <v>0</v>
      </c>
      <c r="T41" s="642"/>
    </row>
    <row r="42" spans="1:20" ht="15.6">
      <c r="A42" s="31" t="s">
        <v>118</v>
      </c>
      <c r="B42" s="54">
        <f>I27</f>
        <v>1999</v>
      </c>
      <c r="C42" s="54">
        <f ca="1">FUEL!C5</f>
        <v>2000</v>
      </c>
      <c r="D42" s="54" t="s">
        <v>51</v>
      </c>
      <c r="E42" s="22"/>
      <c r="F42" s="31" t="s">
        <v>119</v>
      </c>
      <c r="G42" s="92" t="s">
        <v>115</v>
      </c>
      <c r="H42" s="59">
        <v>0.6</v>
      </c>
      <c r="I42" s="75">
        <f t="shared" si="2"/>
        <v>2.7E-2</v>
      </c>
      <c r="J42" s="22"/>
      <c r="K42" s="712" t="s">
        <v>129</v>
      </c>
      <c r="L42" s="709" t="s">
        <v>130</v>
      </c>
      <c r="M42" s="709">
        <v>1</v>
      </c>
      <c r="N42" s="722">
        <v>0.81</v>
      </c>
      <c r="O42" s="708"/>
      <c r="P42" s="654" t="s">
        <v>60</v>
      </c>
      <c r="Q42" s="643"/>
      <c r="R42" s="643"/>
      <c r="S42" s="664">
        <f>SUM(S39:S41)</f>
        <v>0.08</v>
      </c>
      <c r="T42" s="642"/>
    </row>
    <row r="43" spans="1:20" ht="15.6">
      <c r="A43" s="31" t="s">
        <v>121</v>
      </c>
      <c r="B43" s="46">
        <f ca="1">C43/(1+D43)</f>
        <v>4.0954971278985228</v>
      </c>
      <c r="C43" s="46">
        <f ca="1">FUEL!C84/FUEL!C83*10^3</f>
        <v>4.2060755503517822</v>
      </c>
      <c r="D43" s="70">
        <v>2.7E-2</v>
      </c>
      <c r="E43" s="22"/>
      <c r="F43" s="31" t="s">
        <v>105</v>
      </c>
      <c r="G43" s="56"/>
      <c r="H43" s="59">
        <v>0</v>
      </c>
      <c r="I43" s="75">
        <f t="shared" si="2"/>
        <v>2.7E-2</v>
      </c>
      <c r="J43" s="22"/>
      <c r="K43" s="712" t="s">
        <v>132</v>
      </c>
      <c r="L43" s="709">
        <f>M42+1</f>
        <v>2</v>
      </c>
      <c r="M43" s="709">
        <v>3</v>
      </c>
      <c r="N43" s="722">
        <v>0.49</v>
      </c>
      <c r="O43" s="708"/>
      <c r="P43" s="654" t="s">
        <v>123</v>
      </c>
      <c r="Q43" s="647"/>
      <c r="R43" s="647"/>
      <c r="S43" s="659">
        <v>0.05</v>
      </c>
      <c r="T43" s="642"/>
    </row>
    <row r="44" spans="1:20" ht="15.6">
      <c r="A44" s="31"/>
      <c r="B44" s="52"/>
      <c r="C44" s="52"/>
      <c r="D44" s="70"/>
      <c r="E44" s="22"/>
      <c r="F44" s="31" t="s">
        <v>105</v>
      </c>
      <c r="G44" s="3"/>
      <c r="H44" s="59">
        <v>0</v>
      </c>
      <c r="I44" s="75">
        <f t="shared" si="2"/>
        <v>2.7E-2</v>
      </c>
      <c r="J44" s="22"/>
      <c r="K44" s="723"/>
      <c r="L44" s="709">
        <f>M43+1</f>
        <v>4</v>
      </c>
      <c r="M44" s="709" t="s">
        <v>133</v>
      </c>
      <c r="N44" s="722">
        <v>0.29160000000000003</v>
      </c>
      <c r="O44" s="708"/>
      <c r="P44" s="666"/>
      <c r="Q44" s="643"/>
      <c r="R44" s="643"/>
      <c r="S44" s="667"/>
      <c r="T44" s="642"/>
    </row>
    <row r="45" spans="1:20" ht="16.2" thickBot="1">
      <c r="A45" s="31" t="s">
        <v>128</v>
      </c>
      <c r="B45" s="70"/>
      <c r="C45" s="70"/>
      <c r="D45" s="70">
        <v>0</v>
      </c>
      <c r="E45" s="20"/>
      <c r="F45" s="31" t="s">
        <v>105</v>
      </c>
      <c r="H45" s="59">
        <v>0</v>
      </c>
      <c r="I45" s="75">
        <f t="shared" si="2"/>
        <v>2.7E-2</v>
      </c>
      <c r="J45" s="22"/>
      <c r="K45" s="712" t="s">
        <v>134</v>
      </c>
      <c r="L45" s="708"/>
      <c r="M45" s="708"/>
      <c r="N45" s="722">
        <v>0.75</v>
      </c>
      <c r="O45" s="708"/>
      <c r="P45" s="654" t="s">
        <v>125</v>
      </c>
      <c r="Q45" s="648" t="s">
        <v>126</v>
      </c>
      <c r="R45" s="649">
        <v>0</v>
      </c>
      <c r="S45" s="668" t="s">
        <v>127</v>
      </c>
      <c r="T45" s="642"/>
    </row>
    <row r="46" spans="1:20" ht="16.8" thickTop="1" thickBot="1">
      <c r="A46" s="19"/>
      <c r="B46" s="19"/>
      <c r="C46" s="19"/>
      <c r="D46" s="19"/>
      <c r="E46" s="7"/>
      <c r="F46" s="31" t="s">
        <v>105</v>
      </c>
      <c r="H46" s="59">
        <v>0</v>
      </c>
      <c r="I46" s="75">
        <f t="shared" si="2"/>
        <v>2.7E-2</v>
      </c>
      <c r="J46" s="22"/>
      <c r="K46" s="724"/>
      <c r="L46" s="725"/>
      <c r="M46" s="725"/>
      <c r="N46" s="726"/>
      <c r="O46" s="708"/>
      <c r="P46" s="669" t="s">
        <v>131</v>
      </c>
      <c r="Q46" s="670">
        <v>12</v>
      </c>
      <c r="R46" s="671">
        <f ca="1">SUM('144A DEBT'!D36:I36)/6</f>
        <v>9607.2300000000014</v>
      </c>
      <c r="S46" s="672">
        <v>8.0000000000000002E-3</v>
      </c>
    </row>
    <row r="47" spans="1:20" ht="15.6">
      <c r="A47" s="703"/>
      <c r="B47" s="703"/>
      <c r="C47" s="703"/>
      <c r="D47" s="704"/>
      <c r="E47" s="701"/>
      <c r="F47" s="31" t="s">
        <v>105</v>
      </c>
      <c r="H47" s="59">
        <v>0</v>
      </c>
      <c r="I47" s="75">
        <f t="shared" si="2"/>
        <v>2.7E-2</v>
      </c>
      <c r="J47" s="22"/>
      <c r="K47" s="642"/>
      <c r="L47" s="642"/>
      <c r="M47" s="642"/>
      <c r="N47" s="642"/>
      <c r="O47" s="708"/>
    </row>
    <row r="48" spans="1:20" ht="15.6">
      <c r="A48" s="705"/>
      <c r="B48" s="643"/>
      <c r="C48" s="704"/>
      <c r="D48" s="704"/>
      <c r="E48" s="702"/>
      <c r="F48" s="31" t="s">
        <v>105</v>
      </c>
      <c r="H48" s="59">
        <v>0</v>
      </c>
      <c r="I48" s="75">
        <f t="shared" si="2"/>
        <v>2.7E-2</v>
      </c>
      <c r="J48" s="22"/>
      <c r="N48" s="643"/>
      <c r="O48" s="708"/>
    </row>
    <row r="49" spans="1:17" ht="15.6">
      <c r="A49" s="705"/>
      <c r="B49" s="643"/>
      <c r="C49" s="706"/>
      <c r="D49" s="706"/>
      <c r="E49" s="702"/>
      <c r="F49" s="31" t="s">
        <v>105</v>
      </c>
      <c r="H49" s="59">
        <v>0</v>
      </c>
      <c r="I49" s="75">
        <f t="shared" si="2"/>
        <v>2.7E-2</v>
      </c>
      <c r="J49" s="22"/>
      <c r="O49"/>
    </row>
    <row r="50" spans="1:17" ht="16.2" thickBot="1">
      <c r="A50" s="705"/>
      <c r="B50" s="643"/>
      <c r="C50" s="706"/>
      <c r="D50" s="706"/>
      <c r="E50" s="702"/>
      <c r="F50" s="31" t="s">
        <v>105</v>
      </c>
      <c r="G50" s="59"/>
      <c r="H50" s="59">
        <v>0</v>
      </c>
      <c r="I50" s="75">
        <f>I31</f>
        <v>2.7E-2</v>
      </c>
      <c r="J50" s="22"/>
      <c r="K50"/>
      <c r="L50"/>
      <c r="M50"/>
      <c r="N50"/>
      <c r="O50"/>
    </row>
    <row r="51" spans="1:17" ht="16.2" thickTop="1">
      <c r="A51" s="705"/>
      <c r="B51" s="643"/>
      <c r="C51" s="706"/>
      <c r="D51" s="706"/>
      <c r="E51" s="702"/>
      <c r="F51" s="24"/>
      <c r="G51" s="24"/>
      <c r="H51" s="24"/>
      <c r="I51" s="24"/>
      <c r="J51" s="6"/>
      <c r="O51"/>
    </row>
    <row r="52" spans="1:17" ht="15.6">
      <c r="A52" s="701"/>
      <c r="B52" s="707"/>
      <c r="C52" s="707"/>
      <c r="D52" s="707"/>
      <c r="E52" s="702"/>
      <c r="J52" s="6"/>
      <c r="O52"/>
    </row>
    <row r="53" spans="1:17" ht="15.6">
      <c r="A53" s="642"/>
      <c r="B53" s="642"/>
      <c r="C53" s="642"/>
      <c r="D53" s="642"/>
      <c r="E53" s="6"/>
      <c r="O53"/>
    </row>
    <row r="54" spans="1:17" ht="15.6">
      <c r="A54" s="703"/>
      <c r="B54" s="703"/>
      <c r="C54" s="703"/>
      <c r="D54" s="704"/>
      <c r="E54" s="702"/>
      <c r="O54"/>
      <c r="P54"/>
      <c r="Q54"/>
    </row>
    <row r="55" spans="1:17" ht="15.6">
      <c r="A55" s="705"/>
      <c r="B55" s="704"/>
      <c r="C55" s="704"/>
      <c r="D55" s="704"/>
      <c r="E55" s="702"/>
      <c r="O55"/>
      <c r="P55"/>
      <c r="Q55"/>
    </row>
    <row r="56" spans="1:17" ht="15.6">
      <c r="A56" s="705"/>
      <c r="B56" s="706"/>
      <c r="C56" s="706"/>
      <c r="D56" s="706"/>
      <c r="E56" s="702"/>
      <c r="O56"/>
      <c r="P56"/>
      <c r="Q56"/>
    </row>
    <row r="57" spans="1:17" ht="15.6">
      <c r="A57" s="705"/>
      <c r="B57" s="706"/>
      <c r="C57" s="706"/>
      <c r="D57" s="706"/>
      <c r="E57" s="701"/>
      <c r="O57"/>
      <c r="P57"/>
      <c r="Q57"/>
    </row>
    <row r="58" spans="1:17" ht="15.6">
      <c r="A58" s="705"/>
      <c r="B58" s="706"/>
      <c r="C58" s="706"/>
      <c r="D58" s="706"/>
      <c r="E58" s="701"/>
      <c r="F58" s="6"/>
      <c r="G58" s="6"/>
      <c r="H58" s="6"/>
      <c r="I58" s="6"/>
      <c r="O58"/>
      <c r="P58"/>
      <c r="Q58"/>
    </row>
    <row r="59" spans="1:17" ht="15.6">
      <c r="A59" s="642"/>
      <c r="B59" s="642"/>
      <c r="C59" s="642"/>
      <c r="D59" s="642"/>
      <c r="E59" s="7"/>
      <c r="O59"/>
      <c r="P59"/>
      <c r="Q59"/>
    </row>
    <row r="60" spans="1:17" ht="15.6">
      <c r="E60" s="16"/>
      <c r="K60"/>
      <c r="L60"/>
      <c r="M60"/>
      <c r="N60"/>
      <c r="O60"/>
      <c r="P60"/>
      <c r="Q60"/>
    </row>
    <row r="61" spans="1:17" ht="15.6">
      <c r="E61" s="16"/>
      <c r="K61"/>
      <c r="L61"/>
      <c r="M61"/>
      <c r="N61"/>
      <c r="O61"/>
      <c r="P61"/>
      <c r="Q61"/>
    </row>
    <row r="62" spans="1:17" ht="15.6">
      <c r="E62" s="16"/>
      <c r="J62" s="6"/>
      <c r="K62"/>
      <c r="L62"/>
      <c r="M62"/>
      <c r="N62"/>
      <c r="O62"/>
      <c r="P62"/>
      <c r="Q62"/>
    </row>
    <row r="63" spans="1:17" ht="15.6">
      <c r="E63" s="16"/>
      <c r="J63" s="6"/>
      <c r="K63"/>
      <c r="L63"/>
      <c r="M63"/>
      <c r="N63"/>
      <c r="O63"/>
      <c r="P63"/>
      <c r="Q63"/>
    </row>
    <row r="64" spans="1:17" ht="15.6">
      <c r="E64" s="16"/>
      <c r="J64" s="6"/>
      <c r="K64"/>
      <c r="L64"/>
      <c r="M64"/>
      <c r="N64"/>
      <c r="O64"/>
      <c r="P64"/>
      <c r="Q64"/>
    </row>
    <row r="65" spans="1:17" ht="15.6">
      <c r="E65"/>
      <c r="J65" s="6"/>
      <c r="K65"/>
      <c r="L65"/>
      <c r="M65"/>
      <c r="N65"/>
      <c r="O65"/>
      <c r="P65"/>
      <c r="Q65"/>
    </row>
    <row r="66" spans="1:17" ht="15.6">
      <c r="E66"/>
      <c r="J66" s="6"/>
      <c r="K66"/>
      <c r="L66"/>
      <c r="M66"/>
      <c r="N66"/>
      <c r="O66"/>
      <c r="P66"/>
      <c r="Q66"/>
    </row>
    <row r="67" spans="1:17" ht="15.6">
      <c r="E67"/>
      <c r="J67" s="6"/>
      <c r="K67"/>
      <c r="L67"/>
      <c r="M67"/>
      <c r="N67"/>
      <c r="O67"/>
      <c r="P67"/>
      <c r="Q67"/>
    </row>
    <row r="68" spans="1:17" ht="15.6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</row>
    <row r="69" spans="1:17" ht="15.6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1:17" ht="15.6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1:17" ht="15.6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1:17" ht="15.6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</row>
    <row r="73" spans="1:17" ht="15.6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1:17" ht="15.6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</row>
    <row r="75" spans="1:17" ht="15.6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1:17" ht="15.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1:17" ht="15.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1:17" ht="15.6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17" ht="15.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17" ht="15.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1:17" ht="15.6">
      <c r="A81" s="7"/>
      <c r="B81" s="7"/>
      <c r="C81" s="94"/>
      <c r="D81" s="94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1:17" ht="15.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1:17" ht="15.6">
      <c r="A83" s="7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1:17" ht="15.6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1:17" ht="15.6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1:17" ht="15.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1:17" ht="15.6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1:17" ht="15.6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</row>
    <row r="89" spans="1:17" ht="15.6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1:17" ht="15.6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</row>
    <row r="91" spans="1:17" ht="15.6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1:17" ht="15.6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1:17" ht="15.6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1:17" ht="15.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1:17" ht="15.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1:17" ht="15.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1:17" ht="15.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1:17" ht="15.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1:17" ht="15.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1:17" ht="15.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1:17" ht="15.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1:17" ht="15.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17" ht="15.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1:17" ht="15.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1:17" ht="15.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1:17" ht="15.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1:17" ht="15.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1:17" ht="15.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1:17" ht="15.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17" ht="15.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17" ht="15.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17" ht="15.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1:17" ht="15.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1:17" ht="15.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1:17" ht="15.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1:17" ht="15.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1:17" ht="15.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1:17" ht="15.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1:17" ht="15.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1:17" ht="15.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 ht="15.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ht="15.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 ht="15.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ht="15.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 ht="15.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 ht="15.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 ht="15.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 ht="15.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ht="15.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ht="15.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ht="15.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ht="15.6">
      <c r="A132"/>
      <c r="B132"/>
      <c r="C132"/>
      <c r="D132"/>
      <c r="E132"/>
      <c r="F132"/>
      <c r="G132"/>
      <c r="H132"/>
      <c r="I132"/>
      <c r="J132"/>
      <c r="O132"/>
      <c r="P132"/>
      <c r="Q132"/>
    </row>
    <row r="133" spans="1:17" ht="15.6">
      <c r="A133"/>
      <c r="B133"/>
      <c r="C133"/>
      <c r="D133"/>
      <c r="E133"/>
      <c r="F133"/>
      <c r="G133"/>
      <c r="H133"/>
      <c r="I133"/>
      <c r="J133"/>
      <c r="O133"/>
      <c r="P133"/>
      <c r="Q133"/>
    </row>
    <row r="134" spans="1:17" ht="15.6">
      <c r="A134"/>
      <c r="B134"/>
      <c r="C134"/>
      <c r="D134"/>
      <c r="E134"/>
      <c r="F134"/>
      <c r="G134"/>
      <c r="H134"/>
      <c r="I134"/>
    </row>
    <row r="135" spans="1:17" ht="15.6">
      <c r="A135"/>
      <c r="B135"/>
      <c r="C135"/>
      <c r="D135"/>
      <c r="E135"/>
      <c r="F135"/>
      <c r="G135"/>
      <c r="H135"/>
      <c r="I135"/>
    </row>
    <row r="136" spans="1:17" ht="15.6">
      <c r="A136"/>
      <c r="B136"/>
      <c r="C136"/>
      <c r="D136"/>
      <c r="E136"/>
      <c r="F136"/>
      <c r="G136"/>
      <c r="H136"/>
      <c r="I136"/>
    </row>
    <row r="137" spans="1:17" ht="15.6">
      <c r="A137"/>
      <c r="B137"/>
      <c r="C137"/>
      <c r="D137"/>
      <c r="E137"/>
      <c r="F137"/>
      <c r="G137"/>
      <c r="H137"/>
      <c r="I137"/>
    </row>
    <row r="138" spans="1:17" ht="15.6">
      <c r="A138"/>
      <c r="B138"/>
      <c r="C138"/>
      <c r="D138"/>
      <c r="E138"/>
      <c r="F138"/>
      <c r="G138"/>
      <c r="H138"/>
      <c r="I138"/>
    </row>
    <row r="139" spans="1:17" ht="15.6">
      <c r="A139"/>
      <c r="B139"/>
      <c r="C139"/>
      <c r="D139"/>
      <c r="E139"/>
      <c r="F139"/>
      <c r="G139"/>
      <c r="H139"/>
      <c r="I139"/>
    </row>
    <row r="140" spans="1:17" ht="15.6">
      <c r="A140"/>
      <c r="B140"/>
      <c r="C140"/>
      <c r="D140"/>
      <c r="E140"/>
      <c r="F140"/>
      <c r="G140"/>
      <c r="H140"/>
      <c r="I140"/>
    </row>
    <row r="141" spans="1:17" ht="15.6">
      <c r="A141"/>
      <c r="B141"/>
      <c r="C141"/>
      <c r="D141"/>
      <c r="E141"/>
      <c r="F141"/>
      <c r="G141"/>
      <c r="H141"/>
      <c r="I141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zoomScale="75" zoomScaleNormal="100" workbookViewId="0">
      <selection activeCell="C7" sqref="C7"/>
    </sheetView>
  </sheetViews>
  <sheetFormatPr defaultRowHeight="15.6"/>
  <cols>
    <col min="2" max="2" width="9.36328125" customWidth="1"/>
  </cols>
  <sheetData>
    <row r="1" spans="1:39">
      <c r="A1" s="777" t="s">
        <v>421</v>
      </c>
      <c r="D1" s="772">
        <f>'ENA IDC'!D8</f>
        <v>36474</v>
      </c>
      <c r="E1" s="772">
        <f>'ENA IDC'!E8</f>
        <v>36495</v>
      </c>
      <c r="F1" s="772">
        <f>'ENA IDC'!F8</f>
        <v>36526</v>
      </c>
      <c r="G1" s="772">
        <f>'ENA IDC'!G8</f>
        <v>36557</v>
      </c>
      <c r="H1" s="772">
        <f>'ENA IDC'!H8</f>
        <v>36586</v>
      </c>
      <c r="I1" s="772">
        <f>'ENA IDC'!I8</f>
        <v>36617</v>
      </c>
      <c r="J1" s="772">
        <f>'ENA IDC'!J8</f>
        <v>36647</v>
      </c>
      <c r="K1" s="772">
        <f>'ENA IDC'!K8</f>
        <v>36678</v>
      </c>
      <c r="L1" s="772">
        <f>'ENA IDC'!L8</f>
        <v>36708</v>
      </c>
      <c r="M1" s="772">
        <f>'ENA IDC'!M8</f>
        <v>36739</v>
      </c>
      <c r="N1" s="772">
        <f>'ENA IDC'!N8</f>
        <v>36770</v>
      </c>
      <c r="O1" s="772">
        <f>'ENA IDC'!O8</f>
        <v>36800</v>
      </c>
      <c r="P1" s="772">
        <f>'ENA IDC'!P8</f>
        <v>36831</v>
      </c>
      <c r="Q1" s="772">
        <f>'ENA IDC'!Q8</f>
        <v>36861</v>
      </c>
      <c r="R1" s="772">
        <f>'ENA IDC'!R8</f>
        <v>36892</v>
      </c>
      <c r="S1" s="772">
        <f>'ENA IDC'!S8</f>
        <v>36923</v>
      </c>
      <c r="T1" s="772">
        <v>37073</v>
      </c>
      <c r="U1" s="772">
        <v>37438</v>
      </c>
      <c r="V1" s="772">
        <v>37803</v>
      </c>
      <c r="W1" s="772">
        <v>38169</v>
      </c>
      <c r="X1" s="772">
        <v>38534</v>
      </c>
      <c r="Y1" s="772">
        <v>38899</v>
      </c>
      <c r="Z1" s="772">
        <v>39264</v>
      </c>
      <c r="AA1" s="772">
        <v>39630</v>
      </c>
      <c r="AB1" s="772">
        <v>39995</v>
      </c>
      <c r="AC1" s="772">
        <v>40360</v>
      </c>
      <c r="AD1" s="772">
        <v>40725</v>
      </c>
      <c r="AE1" s="772">
        <v>41091</v>
      </c>
      <c r="AF1" s="772">
        <v>41456</v>
      </c>
      <c r="AG1" s="772">
        <v>41821</v>
      </c>
      <c r="AH1" s="772">
        <v>42186</v>
      </c>
      <c r="AI1" s="772">
        <v>42552</v>
      </c>
      <c r="AJ1" s="772">
        <v>42917</v>
      </c>
      <c r="AK1" s="772">
        <v>43282</v>
      </c>
      <c r="AL1" s="772">
        <v>43647</v>
      </c>
      <c r="AM1" s="772">
        <v>44013</v>
      </c>
    </row>
    <row r="3" spans="1:39">
      <c r="A3" t="s">
        <v>416</v>
      </c>
      <c r="D3" s="774">
        <f ca="1">-'144A IDC'!D69</f>
        <v>-13111.953688293142</v>
      </c>
      <c r="E3" s="774">
        <f ca="1">-'144A IDC'!E69</f>
        <v>-7313.5196917428566</v>
      </c>
      <c r="F3" s="774">
        <f ca="1">-'144A IDC'!F69</f>
        <v>-7313.5196917428566</v>
      </c>
      <c r="G3" s="774">
        <f ca="1">-'144A IDC'!G69</f>
        <v>-7313.5196917428566</v>
      </c>
      <c r="H3" s="774">
        <f ca="1">-'144A IDC'!H69-H8</f>
        <v>-8630.5196917428566</v>
      </c>
      <c r="I3" s="774">
        <f ca="1">-'144A IDC'!I69</f>
        <v>43768.236040782307</v>
      </c>
      <c r="J3" s="774">
        <f ca="1">-'144A IDC'!J69</f>
        <v>48.355779518811751</v>
      </c>
      <c r="K3" s="774">
        <f ca="1">-'144A IDC'!K69</f>
        <v>24.686247591136759</v>
      </c>
      <c r="L3" s="774">
        <f ca="1">-'144A IDC'!L69</f>
        <v>-2635.5859608490764</v>
      </c>
      <c r="M3" s="774">
        <f ca="1">-'144A IDC'!M69</f>
        <v>-6524.1159865002192</v>
      </c>
      <c r="N3" s="774">
        <f ca="1">-'144A IDC'!N69</f>
        <v>-9676.1917296340453</v>
      </c>
      <c r="O3" s="774">
        <f ca="1">-'144A IDC'!O69</f>
        <v>-13276.191729634045</v>
      </c>
      <c r="P3" s="774">
        <f ca="1">-'144A IDC'!P69</f>
        <v>-17079.673269017472</v>
      </c>
      <c r="Q3" s="774">
        <f ca="1">-'144A IDC'!Q69</f>
        <v>-11400.25751562318</v>
      </c>
      <c r="R3" s="774">
        <f ca="1">-'144A IDC'!R69</f>
        <v>-11400.25751562318</v>
      </c>
      <c r="S3" s="774">
        <f ca="1">-'144A IDC'!S69</f>
        <v>-13096.322166017002</v>
      </c>
      <c r="T3" s="774">
        <f ca="1">-'ENA IDC'!T69</f>
        <v>0</v>
      </c>
    </row>
    <row r="4" spans="1:39">
      <c r="A4" t="s">
        <v>417</v>
      </c>
      <c r="D4" s="775">
        <v>0</v>
      </c>
      <c r="E4" s="775">
        <v>0</v>
      </c>
      <c r="F4" s="775">
        <v>0</v>
      </c>
      <c r="G4" s="775">
        <v>0</v>
      </c>
      <c r="H4" s="775">
        <v>0</v>
      </c>
      <c r="I4" s="775">
        <v>0</v>
      </c>
      <c r="J4" s="775">
        <v>0</v>
      </c>
      <c r="K4" s="775">
        <v>0</v>
      </c>
      <c r="L4" s="775">
        <v>0</v>
      </c>
      <c r="M4" s="775">
        <v>0</v>
      </c>
      <c r="N4" s="775">
        <v>0</v>
      </c>
      <c r="O4" s="776">
        <f ca="1">CSHFLO!C36+0.5*OandM!C11*(1-TAXES!C26)</f>
        <v>9864.891729136727</v>
      </c>
      <c r="P4" s="775">
        <v>0</v>
      </c>
      <c r="Q4" s="775">
        <v>0</v>
      </c>
      <c r="R4" s="775">
        <f>0</f>
        <v>0</v>
      </c>
      <c r="S4" s="775">
        <v>0</v>
      </c>
      <c r="T4" s="776">
        <f ca="1">CSHFLO!D36+0.5*OandM!D11*(1-TAXES!D26-'ASSUM 1'!$N$40)</f>
        <v>16349.137723371125</v>
      </c>
      <c r="U4" s="776">
        <f ca="1">CSHFLO!E36+0.5*OandM!E11*(1-TAXES!E26-'ASSUM 1'!$N$40)</f>
        <v>15358.361766726128</v>
      </c>
      <c r="V4" s="776">
        <f ca="1">CSHFLO!F36+0.5*OandM!F11*(1-TAXES!F26-'ASSUM 1'!$N$40)</f>
        <v>14986.144752754535</v>
      </c>
      <c r="W4" s="776">
        <f ca="1">CSHFLO!G36+0.5*OandM!G11*(1-TAXES!G26-'ASSUM 1'!$N$40)</f>
        <v>14492.788719437302</v>
      </c>
      <c r="X4" s="776">
        <f ca="1">CSHFLO!H36+0.5*OandM!H11*(1-TAXES!H26-'ASSUM 1'!$N$40)</f>
        <v>11660.066834546766</v>
      </c>
      <c r="Y4" s="776">
        <f ca="1">CSHFLO!I36+0.5*OandM!I11*(1-TAXES!I26-'ASSUM 1'!$N$40)</f>
        <v>12511.617715610713</v>
      </c>
      <c r="Z4" s="776">
        <f ca="1">CSHFLO!J36+0.5*OandM!J11*(1-TAXES!J26-'ASSUM 1'!$N$40)</f>
        <v>13564.820664865247</v>
      </c>
      <c r="AA4" s="776">
        <f ca="1">CSHFLO!K36+0.5*OandM!K11*(1-TAXES!K26-'ASSUM 1'!$N$40)</f>
        <v>13250.841902278364</v>
      </c>
      <c r="AB4" s="776">
        <f ca="1">CSHFLO!L36+0.5*OandM!L11*(1-TAXES!L26-'ASSUM 1'!$N$40)</f>
        <v>12886.892613612717</v>
      </c>
      <c r="AC4" s="776">
        <f ca="1">CSHFLO!M36+0.5*OandM!M11*(1-TAXES!M26-'ASSUM 1'!$N$40)</f>
        <v>13733.156557072831</v>
      </c>
      <c r="AD4" s="776">
        <f ca="1">CSHFLO!N36+0.5*OandM!N11*(1-TAXES!N26-'ASSUM 1'!$N$40)</f>
        <v>13529.681808408804</v>
      </c>
      <c r="AE4" s="776">
        <f ca="1">CSHFLO!O36+0.5*OandM!O11*(1-TAXES!O26-'ASSUM 1'!$N$40)</f>
        <v>13186.215368246865</v>
      </c>
      <c r="AF4" s="776">
        <f ca="1">CSHFLO!P36+0.5*OandM!P11*(1-TAXES!P26-'ASSUM 1'!$N$40)</f>
        <v>12207.745430158204</v>
      </c>
      <c r="AG4" s="776">
        <f ca="1">CSHFLO!Q36+0.5*OandM!Q11*(1-TAXES!Q26-'ASSUM 1'!$N$40)</f>
        <v>16318.680411283436</v>
      </c>
      <c r="AH4" s="776">
        <f ca="1">CSHFLO!R36+0.5*OandM!R11*(1-TAXES!R26-'ASSUM 1'!$N$40)</f>
        <v>19316.497660356163</v>
      </c>
      <c r="AI4" s="776">
        <f ca="1">CSHFLO!S36+0.5*OandM!S11*(1-TAXES!S26-'ASSUM 1'!$N$40)</f>
        <v>27481.888241497403</v>
      </c>
      <c r="AJ4" s="776">
        <f ca="1">CSHFLO!T36+0.5*OandM!T11*(1-TAXES!T26-'ASSUM 1'!$N$40)</f>
        <v>27880.409296266498</v>
      </c>
      <c r="AK4" s="776">
        <f ca="1">CSHFLO!U36+0.5*OandM!U11*(1-TAXES!U26-'ASSUM 1'!$N$40)</f>
        <v>29111.81684454799</v>
      </c>
      <c r="AL4" s="776">
        <f ca="1">CSHFLO!V36+0.5*OandM!V11*(1-TAXES!V26-'ASSUM 1'!$N$40)</f>
        <v>41538.841476865295</v>
      </c>
      <c r="AM4" s="776">
        <f>'CSHFLO-ENA'!W36+0.5*OandM!W11*(1-'TAXES-ENA'!W26-'ASSUM 1'!$N$40)</f>
        <v>0</v>
      </c>
    </row>
    <row r="5" spans="1:39">
      <c r="A5" t="s">
        <v>420</v>
      </c>
      <c r="D5" s="774">
        <f ca="1">SUM(D3:D4)</f>
        <v>-13111.953688293142</v>
      </c>
      <c r="E5" s="774">
        <f t="shared" ref="E5:AM5" ca="1" si="0">SUM(E3:E4)</f>
        <v>-7313.5196917428566</v>
      </c>
      <c r="F5" s="774">
        <f t="shared" ca="1" si="0"/>
        <v>-7313.5196917428566</v>
      </c>
      <c r="G5" s="774">
        <f t="shared" ca="1" si="0"/>
        <v>-7313.5196917428566</v>
      </c>
      <c r="H5" s="774">
        <f t="shared" ca="1" si="0"/>
        <v>-8630.5196917428566</v>
      </c>
      <c r="I5" s="774">
        <f t="shared" ca="1" si="0"/>
        <v>43768.236040782307</v>
      </c>
      <c r="J5" s="774">
        <f t="shared" ca="1" si="0"/>
        <v>48.355779518811751</v>
      </c>
      <c r="K5" s="774">
        <f t="shared" ca="1" si="0"/>
        <v>24.686247591136759</v>
      </c>
      <c r="L5" s="774">
        <f t="shared" ca="1" si="0"/>
        <v>-2635.5859608490764</v>
      </c>
      <c r="M5" s="774">
        <f t="shared" ca="1" si="0"/>
        <v>-6524.1159865002192</v>
      </c>
      <c r="N5" s="774">
        <f t="shared" ca="1" si="0"/>
        <v>-9676.1917296340453</v>
      </c>
      <c r="O5" s="774">
        <f t="shared" ca="1" si="0"/>
        <v>-3411.3000004973183</v>
      </c>
      <c r="P5" s="774">
        <f t="shared" ca="1" si="0"/>
        <v>-17079.673269017472</v>
      </c>
      <c r="Q5" s="774">
        <f t="shared" ca="1" si="0"/>
        <v>-11400.25751562318</v>
      </c>
      <c r="R5" s="774">
        <f t="shared" ca="1" si="0"/>
        <v>-11400.25751562318</v>
      </c>
      <c r="S5" s="774">
        <f t="shared" ca="1" si="0"/>
        <v>-13096.322166017002</v>
      </c>
      <c r="T5" s="774">
        <f t="shared" ca="1" si="0"/>
        <v>16349.137723371125</v>
      </c>
      <c r="U5" s="774">
        <f t="shared" ca="1" si="0"/>
        <v>15358.361766726128</v>
      </c>
      <c r="V5" s="774">
        <f t="shared" ca="1" si="0"/>
        <v>14986.144752754535</v>
      </c>
      <c r="W5" s="774">
        <f t="shared" ca="1" si="0"/>
        <v>14492.788719437302</v>
      </c>
      <c r="X5" s="774">
        <f t="shared" ca="1" si="0"/>
        <v>11660.066834546766</v>
      </c>
      <c r="Y5" s="774">
        <f t="shared" ca="1" si="0"/>
        <v>12511.617715610713</v>
      </c>
      <c r="Z5" s="774">
        <f t="shared" ca="1" si="0"/>
        <v>13564.820664865247</v>
      </c>
      <c r="AA5" s="774">
        <f t="shared" ca="1" si="0"/>
        <v>13250.841902278364</v>
      </c>
      <c r="AB5" s="774">
        <f t="shared" ca="1" si="0"/>
        <v>12886.892613612717</v>
      </c>
      <c r="AC5" s="774">
        <f t="shared" ca="1" si="0"/>
        <v>13733.156557072831</v>
      </c>
      <c r="AD5" s="774">
        <f t="shared" ca="1" si="0"/>
        <v>13529.681808408804</v>
      </c>
      <c r="AE5" s="774">
        <f t="shared" ca="1" si="0"/>
        <v>13186.215368246865</v>
      </c>
      <c r="AF5" s="774">
        <f t="shared" ca="1" si="0"/>
        <v>12207.745430158204</v>
      </c>
      <c r="AG5" s="774">
        <f t="shared" ca="1" si="0"/>
        <v>16318.680411283436</v>
      </c>
      <c r="AH5" s="774">
        <f t="shared" ca="1" si="0"/>
        <v>19316.497660356163</v>
      </c>
      <c r="AI5" s="774">
        <f t="shared" ca="1" si="0"/>
        <v>27481.888241497403</v>
      </c>
      <c r="AJ5" s="774">
        <f t="shared" ca="1" si="0"/>
        <v>27880.409296266498</v>
      </c>
      <c r="AK5" s="774">
        <f t="shared" ca="1" si="0"/>
        <v>29111.81684454799</v>
      </c>
      <c r="AL5" s="774">
        <f t="shared" ca="1" si="0"/>
        <v>41538.841476865295</v>
      </c>
      <c r="AM5" s="774">
        <f t="shared" si="0"/>
        <v>0</v>
      </c>
    </row>
    <row r="7" spans="1:39">
      <c r="A7" t="s">
        <v>418</v>
      </c>
      <c r="B7" s="119">
        <f>'ENA-144A Comparison'!B9</f>
        <v>0.12</v>
      </c>
      <c r="C7" s="774">
        <f ca="1">XNPV(B7,D$5:AL$5,D$1:AL$1)</f>
        <v>37988.777079788051</v>
      </c>
      <c r="H7" s="97" t="s">
        <v>464</v>
      </c>
    </row>
    <row r="8" spans="1:39">
      <c r="A8" t="s">
        <v>419</v>
      </c>
      <c r="B8" s="119">
        <f ca="1">XIRR(D$5:AL$5,D$1:AL$1)</f>
        <v>0.19978734850883484</v>
      </c>
      <c r="H8">
        <v>0</v>
      </c>
    </row>
    <row r="11" spans="1:39">
      <c r="B11" s="773"/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1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3" sqref="C3"/>
    </sheetView>
  </sheetViews>
  <sheetFormatPr defaultRowHeight="15.6"/>
  <cols>
    <col min="1" max="1" width="9.81640625" customWidth="1"/>
    <col min="3" max="3" width="10.6328125" bestFit="1" customWidth="1"/>
    <col min="4" max="4" width="11.81640625" customWidth="1"/>
  </cols>
  <sheetData>
    <row r="1" spans="1:7">
      <c r="A1" t="s">
        <v>479</v>
      </c>
    </row>
    <row r="2" spans="1:7" ht="46.8">
      <c r="C2" s="97" t="s">
        <v>450</v>
      </c>
      <c r="D2" s="826" t="s">
        <v>459</v>
      </c>
    </row>
    <row r="3" spans="1:7">
      <c r="A3" t="s">
        <v>445</v>
      </c>
      <c r="C3">
        <f>'ENA Assumptions'!B4</f>
        <v>20</v>
      </c>
      <c r="D3">
        <f>'ASSUM 1'!S32</f>
        <v>15</v>
      </c>
    </row>
    <row r="4" spans="1:7">
      <c r="A4" t="s">
        <v>449</v>
      </c>
      <c r="C4" s="119">
        <f>'ASSUM 1'!$S39</f>
        <v>6.5000000000000002E-2</v>
      </c>
      <c r="D4" s="119">
        <v>6.5000000000000002E-2</v>
      </c>
    </row>
    <row r="5" spans="1:7">
      <c r="A5" t="s">
        <v>448</v>
      </c>
      <c r="C5" s="811">
        <f>D5</f>
        <v>1.4999999999999999E-2</v>
      </c>
      <c r="D5" s="811">
        <f>'ASSUM 1'!S40</f>
        <v>1.4999999999999999E-2</v>
      </c>
    </row>
    <row r="6" spans="1:7">
      <c r="A6" t="s">
        <v>446</v>
      </c>
      <c r="C6" s="119">
        <f>SUM(C4:C5)</f>
        <v>0.08</v>
      </c>
      <c r="D6" s="119">
        <f>SUM(D4:D5)</f>
        <v>0.08</v>
      </c>
    </row>
    <row r="7" spans="1:7">
      <c r="A7" t="s">
        <v>453</v>
      </c>
      <c r="C7" s="817">
        <f>'ENA IDC'!C41*1000</f>
        <v>2700.3374999999996</v>
      </c>
      <c r="D7" s="817">
        <f>'144A IDC'!C41*1000</f>
        <v>2700</v>
      </c>
      <c r="E7" s="839">
        <f>C7-D7</f>
        <v>0.3374999999996362</v>
      </c>
    </row>
    <row r="8" spans="1:7">
      <c r="A8" t="s">
        <v>442</v>
      </c>
      <c r="C8" s="813">
        <f ca="1">'ENA Debt'!B53</f>
        <v>12.566373301686355</v>
      </c>
      <c r="D8" s="813">
        <f ca="1">'144A DEBT'!B53</f>
        <v>9.5399000000000029</v>
      </c>
      <c r="F8" s="773"/>
      <c r="G8" s="827"/>
    </row>
    <row r="9" spans="1:7">
      <c r="A9" t="s">
        <v>452</v>
      </c>
      <c r="B9" s="119">
        <v>0.12</v>
      </c>
      <c r="C9" s="774">
        <f ca="1">'ENE FCF'!C7</f>
        <v>54511.266294128232</v>
      </c>
      <c r="D9" s="774">
        <f ca="1">'144A FCF'!C7</f>
        <v>37988.777079788051</v>
      </c>
      <c r="E9" s="774"/>
      <c r="F9" s="773"/>
      <c r="G9" s="827"/>
    </row>
    <row r="10" spans="1:7">
      <c r="A10" t="s">
        <v>447</v>
      </c>
      <c r="C10" s="119">
        <f ca="1">'ENE FCF'!B8</f>
        <v>0.31914007067680372</v>
      </c>
      <c r="D10" s="119">
        <f ca="1">'144A FCF'!B8</f>
        <v>0.19978734850883484</v>
      </c>
      <c r="F10" s="773"/>
      <c r="G10" s="827"/>
    </row>
    <row r="11" spans="1:7">
      <c r="F11" s="773"/>
      <c r="G11" s="827"/>
    </row>
    <row r="12" spans="1:7">
      <c r="F12" s="773"/>
      <c r="G12" s="827"/>
    </row>
    <row r="13" spans="1:7">
      <c r="F13" s="773"/>
      <c r="G13" s="827"/>
    </row>
    <row r="14" spans="1:7">
      <c r="F14" s="773"/>
      <c r="G14" s="827"/>
    </row>
    <row r="15" spans="1:7">
      <c r="F15" s="773"/>
      <c r="G15" s="827"/>
    </row>
    <row r="16" spans="1:7">
      <c r="F16" s="773"/>
      <c r="G16" s="827"/>
    </row>
    <row r="17" spans="6:7">
      <c r="F17" s="773"/>
      <c r="G17" s="827"/>
    </row>
    <row r="18" spans="6:7">
      <c r="F18" s="773"/>
      <c r="G18" s="827"/>
    </row>
    <row r="19" spans="6:7">
      <c r="F19" s="773"/>
      <c r="G19" s="827"/>
    </row>
    <row r="20" spans="6:7">
      <c r="F20" s="773"/>
      <c r="G20" s="827"/>
    </row>
    <row r="21" spans="6:7">
      <c r="F21" s="773"/>
      <c r="G21" s="827"/>
    </row>
    <row r="22" spans="6:7">
      <c r="F22" s="773"/>
      <c r="G22" s="827"/>
    </row>
    <row r="23" spans="6:7">
      <c r="F23" s="773"/>
      <c r="G23" s="827"/>
    </row>
    <row r="24" spans="6:7">
      <c r="F24" s="773"/>
      <c r="G24" s="827"/>
    </row>
    <row r="25" spans="6:7">
      <c r="F25" s="773"/>
      <c r="G25" s="827"/>
    </row>
    <row r="26" spans="6:7">
      <c r="F26" s="773"/>
      <c r="G26" s="827"/>
    </row>
    <row r="27" spans="6:7">
      <c r="F27" s="773"/>
      <c r="G27" s="827"/>
    </row>
  </sheetData>
  <pageMargins left="0.5" right="0.55347222222222203" top="0.5" bottom="0.75" header="0.5" footer="0.25"/>
  <pageSetup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3"/>
  <sheetViews>
    <sheetView topLeftCell="H25" workbookViewId="0">
      <selection activeCell="J34" sqref="J34"/>
    </sheetView>
  </sheetViews>
  <sheetFormatPr defaultColWidth="7.08984375" defaultRowHeight="13.2"/>
  <cols>
    <col min="1" max="1" width="26.90625" style="830" customWidth="1"/>
    <col min="2" max="2" width="4.81640625" style="830" customWidth="1"/>
    <col min="3" max="3" width="8.6328125" style="830" customWidth="1"/>
    <col min="4" max="4" width="10.90625" style="830" customWidth="1"/>
    <col min="5" max="5" width="8.6328125" style="830" customWidth="1"/>
    <col min="6" max="7" width="11.81640625" style="830" customWidth="1"/>
    <col min="8" max="8" width="10.08984375" style="830" customWidth="1"/>
    <col min="9" max="9" width="13.54296875" style="830" customWidth="1"/>
    <col min="10" max="10" width="14.54296875" style="830" customWidth="1"/>
    <col min="11" max="11" width="8.6328125" style="830" customWidth="1"/>
    <col min="12" max="12" width="8.54296875" style="830" customWidth="1"/>
    <col min="13" max="13" width="8.36328125" style="830" customWidth="1"/>
    <col min="14" max="16384" width="7.08984375" style="830"/>
  </cols>
  <sheetData>
    <row r="2" spans="1:10">
      <c r="A2" s="829" t="s">
        <v>460</v>
      </c>
    </row>
    <row r="4" spans="1:10">
      <c r="C4" s="831" t="s">
        <v>461</v>
      </c>
      <c r="D4" s="831" t="s">
        <v>462</v>
      </c>
      <c r="E4" s="831" t="s">
        <v>463</v>
      </c>
      <c r="F4" s="831" t="s">
        <v>462</v>
      </c>
      <c r="G4" s="831"/>
      <c r="H4" s="832" t="s">
        <v>464</v>
      </c>
      <c r="I4" s="832" t="s">
        <v>462</v>
      </c>
      <c r="J4" s="832" t="s">
        <v>462</v>
      </c>
    </row>
    <row r="5" spans="1:10">
      <c r="B5" s="833"/>
      <c r="C5" s="834">
        <v>0.08</v>
      </c>
      <c r="D5" s="835">
        <v>0.1628</v>
      </c>
      <c r="E5" s="834">
        <v>0.09</v>
      </c>
      <c r="F5" s="835">
        <v>0.156</v>
      </c>
      <c r="G5" s="835"/>
      <c r="H5" s="831" t="s">
        <v>465</v>
      </c>
      <c r="I5" s="831" t="s">
        <v>461</v>
      </c>
      <c r="J5" s="831" t="s">
        <v>463</v>
      </c>
    </row>
    <row r="6" spans="1:10">
      <c r="A6" s="830" t="s">
        <v>466</v>
      </c>
      <c r="F6" s="835"/>
      <c r="G6" s="835"/>
      <c r="H6" s="836">
        <v>1</v>
      </c>
      <c r="I6" s="835">
        <v>0.20039999999999999</v>
      </c>
      <c r="J6" s="835">
        <v>0.19289999999999999</v>
      </c>
    </row>
    <row r="7" spans="1:10">
      <c r="A7" s="830" t="s">
        <v>467</v>
      </c>
      <c r="F7" s="835"/>
      <c r="G7" s="835"/>
      <c r="H7" s="836">
        <v>2</v>
      </c>
      <c r="I7" s="835">
        <v>0.1973</v>
      </c>
      <c r="J7" s="835">
        <v>0.19</v>
      </c>
    </row>
    <row r="8" spans="1:10">
      <c r="A8" s="830" t="s">
        <v>468</v>
      </c>
      <c r="F8" s="835"/>
      <c r="G8" s="835"/>
      <c r="H8" s="836">
        <v>3</v>
      </c>
      <c r="I8" s="835">
        <v>0.1943</v>
      </c>
      <c r="J8" s="835">
        <v>0.187</v>
      </c>
    </row>
    <row r="9" spans="1:10">
      <c r="A9" s="830" t="s">
        <v>469</v>
      </c>
      <c r="F9" s="835"/>
      <c r="G9" s="835"/>
      <c r="H9" s="836">
        <v>4</v>
      </c>
      <c r="I9" s="835">
        <v>0.1913</v>
      </c>
      <c r="J9" s="835">
        <v>0.18429999999999999</v>
      </c>
    </row>
    <row r="10" spans="1:10">
      <c r="A10" s="830" t="s">
        <v>470</v>
      </c>
      <c r="F10" s="835"/>
      <c r="G10" s="835"/>
      <c r="H10" s="836">
        <v>5</v>
      </c>
      <c r="I10" s="835">
        <v>0.1885</v>
      </c>
      <c r="J10" s="835">
        <v>0.18160000000000001</v>
      </c>
    </row>
    <row r="11" spans="1:10">
      <c r="F11" s="835"/>
      <c r="G11" s="835"/>
      <c r="H11" s="836">
        <v>6</v>
      </c>
      <c r="I11" s="835">
        <v>0.1857</v>
      </c>
      <c r="J11" s="835">
        <v>0.1789</v>
      </c>
    </row>
    <row r="12" spans="1:10">
      <c r="A12" s="830" t="s">
        <v>471</v>
      </c>
      <c r="F12" s="835"/>
      <c r="G12" s="835"/>
      <c r="H12" s="836">
        <v>7</v>
      </c>
      <c r="I12" s="835">
        <v>0.183</v>
      </c>
      <c r="J12" s="835">
        <v>0.1764</v>
      </c>
    </row>
    <row r="13" spans="1:10">
      <c r="F13" s="835"/>
      <c r="G13" s="835"/>
      <c r="H13" s="836">
        <v>8</v>
      </c>
      <c r="I13" s="835">
        <v>0.1804</v>
      </c>
      <c r="J13" s="835">
        <v>0.1739</v>
      </c>
    </row>
    <row r="14" spans="1:10">
      <c r="F14" s="835"/>
      <c r="G14" s="835"/>
      <c r="H14" s="836">
        <v>9</v>
      </c>
      <c r="I14" s="835">
        <v>0.17780000000000001</v>
      </c>
      <c r="J14" s="835">
        <v>0.1714</v>
      </c>
    </row>
    <row r="15" spans="1:10">
      <c r="F15" s="835"/>
      <c r="G15" s="835"/>
      <c r="H15" s="836">
        <v>10</v>
      </c>
      <c r="I15" s="835">
        <v>0.17530000000000001</v>
      </c>
      <c r="J15" s="835">
        <v>0.16900000000000001</v>
      </c>
    </row>
    <row r="16" spans="1:10">
      <c r="F16" s="835"/>
      <c r="G16" s="835"/>
      <c r="H16" s="837"/>
    </row>
    <row r="17" spans="6:10">
      <c r="F17" s="835"/>
      <c r="G17" s="835"/>
      <c r="H17" s="837"/>
    </row>
    <row r="18" spans="6:10">
      <c r="F18" s="835"/>
      <c r="G18" s="835"/>
      <c r="H18" s="837" t="s">
        <v>472</v>
      </c>
    </row>
    <row r="19" spans="6:10">
      <c r="F19" s="835"/>
      <c r="G19" s="835"/>
      <c r="H19" s="837" t="s">
        <v>475</v>
      </c>
    </row>
    <row r="20" spans="6:10">
      <c r="F20" s="835"/>
      <c r="G20" s="835"/>
      <c r="H20" s="837" t="s">
        <v>474</v>
      </c>
    </row>
    <row r="21" spans="6:10">
      <c r="F21" s="835"/>
      <c r="G21" s="835"/>
      <c r="H21" s="837" t="s">
        <v>476</v>
      </c>
    </row>
    <row r="22" spans="6:10">
      <c r="F22" s="835"/>
      <c r="G22" s="835"/>
      <c r="H22" s="830" t="s">
        <v>473</v>
      </c>
    </row>
    <row r="23" spans="6:10">
      <c r="F23" s="835"/>
      <c r="G23" s="835"/>
    </row>
    <row r="24" spans="6:10">
      <c r="F24" s="835"/>
      <c r="G24" s="835"/>
    </row>
    <row r="25" spans="6:10">
      <c r="F25" s="835"/>
      <c r="G25" s="835"/>
    </row>
    <row r="26" spans="6:10">
      <c r="F26" s="835"/>
      <c r="G26" s="835"/>
    </row>
    <row r="27" spans="6:10">
      <c r="F27" s="838"/>
      <c r="G27" s="838"/>
    </row>
    <row r="28" spans="6:10">
      <c r="F28" s="838"/>
      <c r="G28" s="838"/>
    </row>
    <row r="30" spans="6:10">
      <c r="H30" s="832" t="s">
        <v>464</v>
      </c>
      <c r="I30" s="832" t="s">
        <v>462</v>
      </c>
      <c r="J30" s="832" t="s">
        <v>462</v>
      </c>
    </row>
    <row r="31" spans="6:10">
      <c r="H31" s="831"/>
      <c r="I31" s="831" t="s">
        <v>461</v>
      </c>
      <c r="J31" s="831" t="s">
        <v>463</v>
      </c>
    </row>
    <row r="32" spans="6:10">
      <c r="H32" s="836">
        <v>5</v>
      </c>
      <c r="I32" s="835">
        <v>0.185</v>
      </c>
      <c r="J32" s="835">
        <v>0.1782</v>
      </c>
    </row>
    <row r="33" spans="8:10">
      <c r="H33" s="836">
        <v>6</v>
      </c>
      <c r="I33" s="835">
        <v>0.18229999999999999</v>
      </c>
      <c r="J33" s="835">
        <v>0.17560000000000001</v>
      </c>
    </row>
    <row r="34" spans="8:10">
      <c r="H34" s="836">
        <v>8</v>
      </c>
      <c r="I34" s="835">
        <v>0.17710000000000001</v>
      </c>
      <c r="J34" s="835">
        <v>0.17069999999999999</v>
      </c>
    </row>
    <row r="35" spans="8:10">
      <c r="H35" s="836">
        <v>10</v>
      </c>
      <c r="I35" s="835">
        <v>0.17219999999999999</v>
      </c>
      <c r="J35" s="835">
        <v>0.16600000000000001</v>
      </c>
    </row>
    <row r="36" spans="8:10">
      <c r="H36" s="836">
        <v>12</v>
      </c>
      <c r="I36" s="835">
        <v>0.16750000000000001</v>
      </c>
      <c r="J36" s="835">
        <v>0.1615</v>
      </c>
    </row>
    <row r="37" spans="8:10">
      <c r="H37" s="836">
        <v>14</v>
      </c>
      <c r="I37" s="835">
        <v>0.16300000000000001</v>
      </c>
      <c r="J37" s="835">
        <v>0.15720000000000001</v>
      </c>
    </row>
    <row r="38" spans="8:10">
      <c r="H38" s="836">
        <v>16</v>
      </c>
      <c r="I38" s="835">
        <v>0.15870000000000001</v>
      </c>
      <c r="J38" s="835">
        <v>0.15310000000000001</v>
      </c>
    </row>
    <row r="39" spans="8:10">
      <c r="H39" s="836">
        <v>18</v>
      </c>
      <c r="I39" s="835">
        <v>0.1547</v>
      </c>
      <c r="J39" s="835">
        <v>0.1492</v>
      </c>
    </row>
    <row r="40" spans="8:10">
      <c r="H40" s="836">
        <v>20</v>
      </c>
      <c r="I40" s="835">
        <v>0.15079999999999999</v>
      </c>
      <c r="J40" s="835">
        <v>0.14549999999999999</v>
      </c>
    </row>
    <row r="41" spans="8:10">
      <c r="H41" s="836">
        <v>22</v>
      </c>
      <c r="I41" s="835">
        <v>0.14699999999999999</v>
      </c>
      <c r="J41" s="835">
        <v>0.1419</v>
      </c>
    </row>
    <row r="42" spans="8:10">
      <c r="H42" s="836">
        <v>24</v>
      </c>
      <c r="I42" s="835">
        <v>0.1434</v>
      </c>
      <c r="J42" s="835">
        <v>0.1384</v>
      </c>
    </row>
    <row r="43" spans="8:10">
      <c r="H43" s="836">
        <v>26</v>
      </c>
      <c r="I43" s="835">
        <v>0.14000000000000001</v>
      </c>
      <c r="J43" s="835">
        <v>0.1351</v>
      </c>
    </row>
    <row r="44" spans="8:10">
      <c r="H44" s="836">
        <v>28</v>
      </c>
      <c r="I44" s="835">
        <v>0.13669999999999999</v>
      </c>
      <c r="J44" s="835">
        <v>0.13189999999999999</v>
      </c>
    </row>
    <row r="45" spans="8:10">
      <c r="H45" s="836">
        <v>30</v>
      </c>
      <c r="I45" s="835">
        <v>0.13350000000000001</v>
      </c>
      <c r="J45" s="835">
        <v>0.12889999999999999</v>
      </c>
    </row>
    <row r="49" spans="8:8">
      <c r="H49" s="837" t="s">
        <v>472</v>
      </c>
    </row>
    <row r="50" spans="8:8">
      <c r="H50" s="837" t="s">
        <v>475</v>
      </c>
    </row>
    <row r="51" spans="8:8">
      <c r="H51" s="837" t="s">
        <v>474</v>
      </c>
    </row>
    <row r="52" spans="8:8">
      <c r="H52" s="837" t="s">
        <v>476</v>
      </c>
    </row>
    <row r="53" spans="8:8">
      <c r="H53" s="830" t="s">
        <v>473</v>
      </c>
    </row>
  </sheetData>
  <pageMargins left="0.75" right="0.75" top="1" bottom="1" header="0.5" footer="0.5"/>
  <pageSetup scale="96" orientation="landscape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Normal="100" zoomScaleSheetLayoutView="100" workbookViewId="0">
      <selection activeCell="B3" sqref="B3"/>
    </sheetView>
  </sheetViews>
  <sheetFormatPr defaultRowHeight="15.6"/>
  <cols>
    <col min="1" max="1" width="15.08984375" bestFit="1" customWidth="1"/>
    <col min="8" max="8" width="6.6328125" customWidth="1"/>
  </cols>
  <sheetData>
    <row r="1" spans="1:12">
      <c r="A1" t="s">
        <v>443</v>
      </c>
    </row>
    <row r="2" spans="1:12">
      <c r="A2" s="349" t="s">
        <v>394</v>
      </c>
      <c r="B2" s="243">
        <f>315*375</f>
        <v>118125</v>
      </c>
    </row>
    <row r="3" spans="1:12">
      <c r="A3" s="349" t="s">
        <v>396</v>
      </c>
      <c r="B3" s="766">
        <f>'ENA-144A Comparison'!C6</f>
        <v>0.08</v>
      </c>
    </row>
    <row r="4" spans="1:12">
      <c r="A4" s="349" t="s">
        <v>397</v>
      </c>
      <c r="B4">
        <v>20</v>
      </c>
    </row>
    <row r="5" spans="1:12">
      <c r="A5" s="349" t="s">
        <v>399</v>
      </c>
    </row>
    <row r="6" spans="1:12">
      <c r="A6" s="349" t="s">
        <v>400</v>
      </c>
      <c r="B6">
        <v>1</v>
      </c>
    </row>
    <row r="8" spans="1:12" ht="16.2" thickBot="1"/>
    <row r="9" spans="1:12" ht="16.2" thickTop="1">
      <c r="A9" s="23"/>
      <c r="B9" s="24"/>
      <c r="C9" s="26"/>
      <c r="D9" s="26"/>
      <c r="E9" s="26"/>
      <c r="F9" s="770"/>
      <c r="G9" t="s">
        <v>454</v>
      </c>
      <c r="H9" t="s">
        <v>5</v>
      </c>
    </row>
    <row r="10" spans="1:12" ht="63" thickBot="1">
      <c r="A10" s="771" t="s">
        <v>11</v>
      </c>
      <c r="B10" s="8"/>
      <c r="C10" s="763" t="s">
        <v>414</v>
      </c>
      <c r="D10" s="763" t="s">
        <v>412</v>
      </c>
      <c r="E10" s="763" t="s">
        <v>413</v>
      </c>
      <c r="F10" s="770"/>
      <c r="G10" t="s">
        <v>11</v>
      </c>
      <c r="H10" t="s">
        <v>13</v>
      </c>
      <c r="I10">
        <f>SUM(I11:I26)</f>
        <v>9.7899000000000029</v>
      </c>
    </row>
    <row r="11" spans="1:12" ht="16.2" thickTop="1">
      <c r="A11" s="41">
        <v>2000</v>
      </c>
      <c r="B11" s="24"/>
      <c r="C11" s="42">
        <v>0</v>
      </c>
      <c r="D11" s="764">
        <v>0.7</v>
      </c>
      <c r="E11" s="764">
        <f>1-D11</f>
        <v>0.30000000000000004</v>
      </c>
      <c r="F11" s="770"/>
      <c r="G11">
        <v>2000</v>
      </c>
      <c r="H11" s="812">
        <v>0</v>
      </c>
      <c r="I11">
        <f>H11*J11</f>
        <v>0</v>
      </c>
      <c r="J11">
        <v>0.5</v>
      </c>
      <c r="K11">
        <f>J11*C11</f>
        <v>0</v>
      </c>
      <c r="L11">
        <f>SUM(K11:K31)</f>
        <v>12.716366635012058</v>
      </c>
    </row>
    <row r="12" spans="1:12">
      <c r="A12" s="49">
        <f t="shared" ref="A12:A27" si="0">A11+1</f>
        <v>2001</v>
      </c>
      <c r="B12" s="8"/>
      <c r="C12" s="75">
        <v>1.6811114531048641E-2</v>
      </c>
      <c r="D12" s="765">
        <v>0.7</v>
      </c>
      <c r="E12" s="765">
        <f t="shared" ref="E12:E31" si="1">1-D12</f>
        <v>0.30000000000000004</v>
      </c>
      <c r="F12" s="770"/>
      <c r="G12">
        <v>2001</v>
      </c>
      <c r="H12" s="812">
        <v>3.4000000000000002E-2</v>
      </c>
      <c r="I12">
        <f t="shared" ref="I12:I26" si="2">H12*J12</f>
        <v>5.1000000000000004E-2</v>
      </c>
      <c r="J12">
        <v>1.5</v>
      </c>
      <c r="K12">
        <f t="shared" ref="K12:K31" si="3">J12*C12</f>
        <v>2.5216671796572963E-2</v>
      </c>
    </row>
    <row r="13" spans="1:12">
      <c r="A13" s="49">
        <f t="shared" si="0"/>
        <v>2002</v>
      </c>
      <c r="B13" s="8"/>
      <c r="C13" s="75">
        <v>1.8792763884475275E-2</v>
      </c>
      <c r="D13" s="765">
        <v>0.7</v>
      </c>
      <c r="E13" s="765">
        <f t="shared" si="1"/>
        <v>0.30000000000000004</v>
      </c>
      <c r="F13" s="770"/>
      <c r="G13">
        <v>2002</v>
      </c>
      <c r="H13" s="812">
        <v>3.1E-2</v>
      </c>
      <c r="I13">
        <f t="shared" si="2"/>
        <v>7.7499999999999999E-2</v>
      </c>
      <c r="J13">
        <v>2.5</v>
      </c>
      <c r="K13">
        <f t="shared" si="3"/>
        <v>4.6981909711188187E-2</v>
      </c>
    </row>
    <row r="14" spans="1:12">
      <c r="A14" s="49">
        <f t="shared" si="0"/>
        <v>2003</v>
      </c>
      <c r="B14" s="8"/>
      <c r="C14" s="75">
        <v>2.3359748406237193E-2</v>
      </c>
      <c r="D14" s="765">
        <v>0.7</v>
      </c>
      <c r="E14" s="765">
        <f t="shared" si="1"/>
        <v>0.30000000000000004</v>
      </c>
      <c r="F14" s="770"/>
      <c r="G14">
        <v>2003</v>
      </c>
      <c r="H14" s="812">
        <v>4.0500000000000001E-2</v>
      </c>
      <c r="I14">
        <f t="shared" si="2"/>
        <v>0.14175000000000001</v>
      </c>
      <c r="J14">
        <v>3.5</v>
      </c>
      <c r="K14">
        <f t="shared" si="3"/>
        <v>8.1759119421830173E-2</v>
      </c>
    </row>
    <row r="15" spans="1:12">
      <c r="A15" s="49">
        <f t="shared" si="0"/>
        <v>2004</v>
      </c>
      <c r="B15" s="8"/>
      <c r="C15" s="75">
        <v>2.7910696561800129E-2</v>
      </c>
      <c r="D15" s="765">
        <v>0.7</v>
      </c>
      <c r="E15" s="765">
        <f t="shared" si="1"/>
        <v>0.30000000000000004</v>
      </c>
      <c r="F15" s="770"/>
      <c r="G15">
        <v>2004</v>
      </c>
      <c r="H15" s="812">
        <v>4.7100000000000003E-2</v>
      </c>
      <c r="I15">
        <f t="shared" si="2"/>
        <v>0.21195000000000003</v>
      </c>
      <c r="J15">
        <v>4.5</v>
      </c>
      <c r="K15">
        <f t="shared" si="3"/>
        <v>0.12559813452810059</v>
      </c>
    </row>
    <row r="16" spans="1:12">
      <c r="A16" s="49">
        <f t="shared" si="0"/>
        <v>2005</v>
      </c>
      <c r="B16" s="8"/>
      <c r="C16" s="75">
        <v>2.7910696561800129E-2</v>
      </c>
      <c r="D16" s="765">
        <v>0.7</v>
      </c>
      <c r="E16" s="765">
        <f t="shared" si="1"/>
        <v>0.30000000000000004</v>
      </c>
      <c r="F16" s="770"/>
      <c r="G16">
        <v>2005</v>
      </c>
      <c r="H16" s="812">
        <v>8.9999999999999993E-3</v>
      </c>
      <c r="I16">
        <f t="shared" si="2"/>
        <v>4.9499999999999995E-2</v>
      </c>
      <c r="J16">
        <v>5.5</v>
      </c>
      <c r="K16">
        <f t="shared" si="3"/>
        <v>0.15350883108990071</v>
      </c>
    </row>
    <row r="17" spans="1:11">
      <c r="A17" s="49">
        <f t="shared" si="0"/>
        <v>2006</v>
      </c>
      <c r="B17" s="8"/>
      <c r="C17" s="75">
        <v>3.8175171645624471E-2</v>
      </c>
      <c r="D17" s="765">
        <v>0.7</v>
      </c>
      <c r="E17" s="765">
        <f t="shared" si="1"/>
        <v>0.30000000000000004</v>
      </c>
      <c r="F17" s="770"/>
      <c r="G17">
        <v>2006</v>
      </c>
      <c r="H17" s="812">
        <v>4.4499999999999998E-2</v>
      </c>
      <c r="I17">
        <f t="shared" si="2"/>
        <v>0.28925000000000001</v>
      </c>
      <c r="J17">
        <v>6.5</v>
      </c>
      <c r="K17">
        <f t="shared" si="3"/>
        <v>0.24813861569655907</v>
      </c>
    </row>
    <row r="18" spans="1:11">
      <c r="A18" s="49">
        <f t="shared" si="0"/>
        <v>2007</v>
      </c>
      <c r="B18" s="8"/>
      <c r="C18" s="75">
        <v>3.8175171645624582E-2</v>
      </c>
      <c r="D18" s="765">
        <v>0.7</v>
      </c>
      <c r="E18" s="765">
        <f t="shared" si="1"/>
        <v>0.30000000000000004</v>
      </c>
      <c r="F18" s="770"/>
      <c r="G18">
        <v>2007</v>
      </c>
      <c r="H18" s="812">
        <v>8.8499999999999995E-2</v>
      </c>
      <c r="I18">
        <f t="shared" si="2"/>
        <v>0.66374999999999995</v>
      </c>
      <c r="J18">
        <v>7.5</v>
      </c>
      <c r="K18">
        <f t="shared" si="3"/>
        <v>0.28631378734218438</v>
      </c>
    </row>
    <row r="19" spans="1:11">
      <c r="A19" s="49">
        <f t="shared" si="0"/>
        <v>2008</v>
      </c>
      <c r="B19" s="8"/>
      <c r="C19" s="75">
        <v>5.0065386963951242E-2</v>
      </c>
      <c r="D19" s="765">
        <v>0.7</v>
      </c>
      <c r="E19" s="765">
        <f t="shared" si="1"/>
        <v>0.30000000000000004</v>
      </c>
      <c r="F19" s="770"/>
      <c r="G19">
        <v>2008</v>
      </c>
      <c r="H19" s="812">
        <v>0.10050000000000001</v>
      </c>
      <c r="I19">
        <f t="shared" si="2"/>
        <v>0.85425000000000006</v>
      </c>
      <c r="J19">
        <v>8.5</v>
      </c>
      <c r="K19">
        <f t="shared" si="3"/>
        <v>0.42555578919358555</v>
      </c>
    </row>
    <row r="20" spans="1:11">
      <c r="A20" s="49">
        <f t="shared" si="0"/>
        <v>2009</v>
      </c>
      <c r="B20" s="8"/>
      <c r="C20" s="75">
        <v>5.0065386963951242E-2</v>
      </c>
      <c r="D20" s="765">
        <v>0.7</v>
      </c>
      <c r="E20" s="765">
        <f t="shared" si="1"/>
        <v>0.30000000000000004</v>
      </c>
      <c r="F20" s="770"/>
      <c r="G20">
        <v>2009</v>
      </c>
      <c r="H20" s="812">
        <v>9.5000000000000001E-2</v>
      </c>
      <c r="I20">
        <f t="shared" si="2"/>
        <v>0.90249999999999997</v>
      </c>
      <c r="J20">
        <v>9.5</v>
      </c>
      <c r="K20">
        <f t="shared" si="3"/>
        <v>0.4756211761575368</v>
      </c>
    </row>
    <row r="21" spans="1:11">
      <c r="A21" s="49">
        <f t="shared" si="0"/>
        <v>2010</v>
      </c>
      <c r="B21" s="8"/>
      <c r="C21" s="75">
        <v>6.3308584378467064E-2</v>
      </c>
      <c r="D21" s="765">
        <v>0.7</v>
      </c>
      <c r="E21" s="765">
        <f t="shared" si="1"/>
        <v>0.30000000000000004</v>
      </c>
      <c r="F21" s="770"/>
      <c r="G21">
        <v>2010</v>
      </c>
      <c r="H21" s="812">
        <v>9.5000000000000001E-2</v>
      </c>
      <c r="I21">
        <f t="shared" si="2"/>
        <v>0.99750000000000005</v>
      </c>
      <c r="J21">
        <v>10.5</v>
      </c>
      <c r="K21">
        <f t="shared" si="3"/>
        <v>0.66474013597390413</v>
      </c>
    </row>
    <row r="22" spans="1:11">
      <c r="A22" s="49">
        <f t="shared" si="0"/>
        <v>2011</v>
      </c>
      <c r="B22" s="8"/>
      <c r="C22" s="75">
        <v>6.3308584378467175E-2</v>
      </c>
      <c r="D22" s="765">
        <v>0.7</v>
      </c>
      <c r="E22" s="765">
        <f t="shared" si="1"/>
        <v>0.30000000000000004</v>
      </c>
      <c r="F22" s="770"/>
      <c r="G22">
        <v>2011</v>
      </c>
      <c r="H22" s="812">
        <v>0.09</v>
      </c>
      <c r="I22">
        <f t="shared" si="2"/>
        <v>1.0349999999999999</v>
      </c>
      <c r="J22">
        <v>11.5</v>
      </c>
      <c r="K22">
        <f t="shared" si="3"/>
        <v>0.72804872035237256</v>
      </c>
    </row>
    <row r="23" spans="1:11">
      <c r="A23" s="49">
        <f t="shared" si="0"/>
        <v>2012</v>
      </c>
      <c r="B23" s="8"/>
      <c r="C23" s="75">
        <v>6.5000000000000002E-2</v>
      </c>
      <c r="D23" s="765">
        <v>0.7</v>
      </c>
      <c r="E23" s="765">
        <f t="shared" si="1"/>
        <v>0.30000000000000004</v>
      </c>
      <c r="F23" s="770"/>
      <c r="G23">
        <v>2012</v>
      </c>
      <c r="H23" s="812">
        <v>0.09</v>
      </c>
      <c r="I23">
        <f t="shared" si="2"/>
        <v>1.125</v>
      </c>
      <c r="J23">
        <v>12.5</v>
      </c>
      <c r="K23">
        <f t="shared" si="3"/>
        <v>0.8125</v>
      </c>
    </row>
    <row r="24" spans="1:11">
      <c r="A24" s="49">
        <f t="shared" si="0"/>
        <v>2013</v>
      </c>
      <c r="B24" s="8"/>
      <c r="C24" s="75">
        <v>6.5000000000000002E-2</v>
      </c>
      <c r="D24" s="765">
        <v>0.7</v>
      </c>
      <c r="E24" s="765">
        <f t="shared" si="1"/>
        <v>0.30000000000000004</v>
      </c>
      <c r="F24" s="770"/>
      <c r="G24">
        <v>2013</v>
      </c>
      <c r="H24" s="812">
        <v>8.5000000000000006E-2</v>
      </c>
      <c r="I24">
        <f t="shared" si="2"/>
        <v>1.1475000000000002</v>
      </c>
      <c r="J24">
        <v>13.5</v>
      </c>
      <c r="K24">
        <f t="shared" si="3"/>
        <v>0.87750000000000006</v>
      </c>
    </row>
    <row r="25" spans="1:11">
      <c r="A25" s="49">
        <f t="shared" si="0"/>
        <v>2014</v>
      </c>
      <c r="B25" s="8"/>
      <c r="C25" s="75">
        <v>7.523612479161064E-2</v>
      </c>
      <c r="D25" s="765">
        <v>0.7</v>
      </c>
      <c r="E25" s="765">
        <f t="shared" si="1"/>
        <v>0.30000000000000004</v>
      </c>
      <c r="F25" s="770"/>
      <c r="G25">
        <v>2014</v>
      </c>
      <c r="H25" s="812">
        <v>0.08</v>
      </c>
      <c r="I25">
        <f t="shared" si="2"/>
        <v>1.1599999999999999</v>
      </c>
      <c r="J25">
        <v>14.5</v>
      </c>
      <c r="K25">
        <f t="shared" si="3"/>
        <v>1.0909238094783542</v>
      </c>
    </row>
    <row r="26" spans="1:11">
      <c r="A26" s="49">
        <f t="shared" si="0"/>
        <v>2015</v>
      </c>
      <c r="B26" s="8"/>
      <c r="C26" s="75">
        <v>7.5236124791610764E-2</v>
      </c>
      <c r="D26" s="765">
        <v>0.7</v>
      </c>
      <c r="E26" s="765">
        <f t="shared" si="1"/>
        <v>0.30000000000000004</v>
      </c>
      <c r="F26" s="770"/>
      <c r="G26">
        <v>2015</v>
      </c>
      <c r="H26" s="812">
        <v>6.9900000000000184E-2</v>
      </c>
      <c r="I26">
        <f t="shared" si="2"/>
        <v>1.0834500000000029</v>
      </c>
      <c r="J26">
        <v>15.5</v>
      </c>
      <c r="K26">
        <f t="shared" si="3"/>
        <v>1.1661599342699669</v>
      </c>
    </row>
    <row r="27" spans="1:11">
      <c r="A27" s="49">
        <f t="shared" si="0"/>
        <v>2016</v>
      </c>
      <c r="B27" s="8"/>
      <c r="C27" s="75">
        <v>7.4999999999999997E-2</v>
      </c>
      <c r="D27" s="765">
        <v>0.7</v>
      </c>
      <c r="E27" s="765">
        <f t="shared" si="1"/>
        <v>0.30000000000000004</v>
      </c>
      <c r="F27" s="770"/>
      <c r="H27" s="818"/>
      <c r="J27">
        <v>16.5</v>
      </c>
      <c r="K27">
        <f t="shared" si="3"/>
        <v>1.2375</v>
      </c>
    </row>
    <row r="28" spans="1:11">
      <c r="A28" s="49">
        <v>2017</v>
      </c>
      <c r="B28" s="8"/>
      <c r="C28" s="75">
        <v>7.4999999999999997E-2</v>
      </c>
      <c r="D28" s="765">
        <v>0.7</v>
      </c>
      <c r="E28" s="765">
        <f t="shared" si="1"/>
        <v>0.30000000000000004</v>
      </c>
      <c r="F28" s="770"/>
      <c r="J28">
        <v>17.5</v>
      </c>
      <c r="K28">
        <f t="shared" si="3"/>
        <v>1.3125</v>
      </c>
    </row>
    <row r="29" spans="1:11">
      <c r="A29" s="49">
        <v>2018</v>
      </c>
      <c r="C29" s="75">
        <v>0.05</v>
      </c>
      <c r="D29" s="765">
        <v>0.7</v>
      </c>
      <c r="E29" s="765">
        <f t="shared" si="1"/>
        <v>0.30000000000000004</v>
      </c>
      <c r="F29" s="770"/>
      <c r="J29">
        <v>18.5</v>
      </c>
      <c r="K29">
        <f t="shared" si="3"/>
        <v>0.92500000000000004</v>
      </c>
    </row>
    <row r="30" spans="1:11">
      <c r="A30" s="49">
        <v>2019</v>
      </c>
      <c r="C30" s="75">
        <v>0.05</v>
      </c>
      <c r="D30" s="765">
        <v>0.7</v>
      </c>
      <c r="E30" s="765">
        <f t="shared" si="1"/>
        <v>0.30000000000000004</v>
      </c>
      <c r="F30" s="770"/>
      <c r="J30">
        <v>19.5</v>
      </c>
      <c r="K30">
        <f t="shared" si="3"/>
        <v>0.97500000000000009</v>
      </c>
    </row>
    <row r="31" spans="1:11" ht="16.2" thickBot="1">
      <c r="A31" s="49">
        <v>2020</v>
      </c>
      <c r="C31" s="75">
        <v>5.16E-2</v>
      </c>
      <c r="D31" s="765">
        <v>0.7</v>
      </c>
      <c r="E31" s="765">
        <f t="shared" si="1"/>
        <v>0.30000000000000004</v>
      </c>
      <c r="F31" s="770"/>
      <c r="J31">
        <v>20.5</v>
      </c>
      <c r="K31">
        <f t="shared" si="3"/>
        <v>1.0578000000000001</v>
      </c>
    </row>
    <row r="32" spans="1:11" ht="16.2" thickTop="1">
      <c r="A32" s="769"/>
      <c r="B32" s="769"/>
      <c r="C32" s="769"/>
      <c r="D32" s="769"/>
      <c r="E32" s="769"/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R154"/>
  <sheetViews>
    <sheetView showOutlineSymbols="0" view="pageBreakPreview" zoomScale="60" zoomScaleNormal="75" workbookViewId="0">
      <selection activeCell="C17" sqref="C17"/>
    </sheetView>
  </sheetViews>
  <sheetFormatPr defaultColWidth="8.81640625" defaultRowHeight="15"/>
  <cols>
    <col min="1" max="1" width="21.81640625" style="286" customWidth="1"/>
    <col min="2" max="2" width="6.81640625" style="286" customWidth="1"/>
    <col min="3" max="17" width="9.81640625" style="286" customWidth="1"/>
    <col min="18" max="26" width="8.81640625" style="286" customWidth="1"/>
    <col min="27" max="27" width="11.81640625" style="286" customWidth="1"/>
    <col min="28" max="28" width="10.81640625" style="286" customWidth="1"/>
    <col min="29" max="29" width="8.81640625" style="286" customWidth="1"/>
    <col min="30" max="31" width="10.81640625" style="286" customWidth="1"/>
    <col min="32" max="57" width="8.81640625" style="286" customWidth="1"/>
    <col min="58" max="58" width="11.81640625" style="286" customWidth="1"/>
    <col min="59" max="59" width="8.81640625" style="286" customWidth="1"/>
    <col min="60" max="60" width="10.81640625" style="286" customWidth="1"/>
    <col min="61" max="61" width="8.81640625" style="286" customWidth="1"/>
    <col min="62" max="62" width="11.81640625" style="286" customWidth="1"/>
    <col min="63" max="16384" width="8.81640625" style="286"/>
  </cols>
  <sheetData>
    <row r="1" spans="1:96" ht="21.9" customHeight="1">
      <c r="A1" s="282" t="str">
        <f ca="1">'IS-ENA'!A1</f>
        <v>DELMARVA, VA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4"/>
      <c r="R1" s="284"/>
      <c r="S1" s="284"/>
      <c r="T1" s="284"/>
      <c r="U1" s="284"/>
      <c r="V1" s="284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285"/>
      <c r="AT1" s="285"/>
      <c r="AU1" s="285"/>
      <c r="AV1" s="285"/>
      <c r="AW1" s="285"/>
      <c r="AX1" s="285"/>
      <c r="AY1" s="285"/>
      <c r="AZ1" s="285"/>
      <c r="BA1" s="285"/>
      <c r="BB1" s="285"/>
      <c r="BC1" s="285"/>
      <c r="BD1" s="285"/>
      <c r="BE1" s="285"/>
      <c r="BF1" s="285"/>
      <c r="BG1" s="285"/>
      <c r="BH1" s="285"/>
      <c r="BI1" s="285"/>
      <c r="BJ1" s="285"/>
      <c r="BK1" s="285"/>
      <c r="BL1" s="285"/>
      <c r="BM1" s="285"/>
      <c r="BN1" s="285"/>
      <c r="BO1" s="285"/>
      <c r="BP1" s="285"/>
      <c r="BQ1" s="285"/>
      <c r="BR1" s="285"/>
      <c r="BS1" s="285"/>
      <c r="BT1" s="285"/>
      <c r="BU1" s="285"/>
      <c r="BV1" s="285"/>
      <c r="BW1" s="285"/>
      <c r="BX1" s="285"/>
      <c r="BY1" s="285"/>
      <c r="BZ1" s="285"/>
      <c r="CA1" s="285"/>
      <c r="CB1" s="285"/>
      <c r="CC1" s="285"/>
      <c r="CD1" s="285"/>
      <c r="CE1" s="285"/>
      <c r="CF1" s="285"/>
      <c r="CG1" s="285"/>
      <c r="CH1" s="285"/>
      <c r="CI1" s="285"/>
      <c r="CJ1" s="285"/>
      <c r="CK1" s="285"/>
      <c r="CL1" s="285"/>
      <c r="CM1" s="285"/>
      <c r="CN1" s="285"/>
      <c r="CO1" s="285"/>
      <c r="CP1" s="285"/>
      <c r="CQ1" s="285"/>
      <c r="CR1" s="285"/>
    </row>
    <row r="2" spans="1:96" ht="15.6">
      <c r="A2" s="287" t="s">
        <v>280</v>
      </c>
      <c r="B2" s="288"/>
      <c r="C2" s="289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90"/>
      <c r="R2" s="290"/>
      <c r="S2" s="290"/>
      <c r="T2" s="290"/>
      <c r="U2" s="290"/>
      <c r="V2" s="290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5"/>
      <c r="AN2" s="285"/>
      <c r="AO2" s="285"/>
      <c r="AP2" s="285"/>
      <c r="AQ2" s="285"/>
      <c r="AR2" s="285"/>
      <c r="AS2" s="285"/>
      <c r="AT2" s="285"/>
      <c r="AU2" s="285"/>
      <c r="AV2" s="285"/>
      <c r="AW2" s="285"/>
      <c r="AX2" s="285"/>
      <c r="AY2" s="285"/>
      <c r="AZ2" s="285"/>
      <c r="BA2" s="285"/>
      <c r="BB2" s="285"/>
      <c r="BC2" s="285"/>
      <c r="BD2" s="285"/>
      <c r="BE2" s="285"/>
      <c r="BF2" s="285"/>
      <c r="BG2" s="285"/>
      <c r="BH2" s="285"/>
      <c r="BI2" s="285"/>
      <c r="BJ2" s="285"/>
      <c r="BK2" s="285"/>
      <c r="BL2" s="285"/>
      <c r="BM2" s="285"/>
      <c r="BN2" s="285"/>
      <c r="BO2" s="285"/>
      <c r="BP2" s="285"/>
      <c r="BQ2" s="285"/>
      <c r="BR2" s="285"/>
      <c r="BS2" s="285"/>
      <c r="BT2" s="285"/>
      <c r="BU2" s="285"/>
      <c r="BV2" s="285"/>
      <c r="BW2" s="285"/>
      <c r="BX2" s="285"/>
      <c r="BY2" s="285"/>
      <c r="BZ2" s="285"/>
      <c r="CA2" s="285"/>
      <c r="CB2" s="285"/>
      <c r="CC2" s="285"/>
      <c r="CD2" s="285"/>
      <c r="CE2" s="285"/>
      <c r="CF2" s="285"/>
      <c r="CG2" s="285"/>
      <c r="CH2" s="285"/>
      <c r="CI2" s="285"/>
      <c r="CJ2" s="285"/>
      <c r="CK2" s="285"/>
      <c r="CL2" s="285"/>
      <c r="CM2" s="285"/>
      <c r="CN2" s="285"/>
      <c r="CO2" s="285"/>
      <c r="CP2" s="285"/>
      <c r="CQ2" s="285"/>
      <c r="CR2" s="285"/>
    </row>
    <row r="3" spans="1:96" ht="12.75" customHeight="1">
      <c r="A3" s="291"/>
      <c r="B3" s="292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4"/>
      <c r="R3" s="294"/>
      <c r="S3" s="294"/>
      <c r="T3" s="294"/>
      <c r="U3" s="294"/>
      <c r="V3" s="294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  <c r="AL3" s="285"/>
      <c r="AM3" s="285"/>
      <c r="AN3" s="285"/>
      <c r="AO3" s="285"/>
      <c r="AP3" s="285"/>
      <c r="AQ3" s="285"/>
      <c r="AR3" s="285"/>
      <c r="AS3" s="285"/>
      <c r="AT3" s="285"/>
      <c r="AU3" s="285"/>
      <c r="AV3" s="285"/>
      <c r="AW3" s="285"/>
      <c r="AX3" s="285"/>
      <c r="AY3" s="285"/>
      <c r="AZ3" s="285"/>
      <c r="BA3" s="285"/>
      <c r="BB3" s="285"/>
      <c r="BC3" s="285"/>
      <c r="BD3" s="285"/>
      <c r="BE3" s="285"/>
      <c r="BF3" s="285"/>
      <c r="BG3" s="285"/>
      <c r="BH3" s="285"/>
      <c r="BI3" s="285"/>
      <c r="BJ3" s="285"/>
      <c r="BK3" s="285"/>
      <c r="BL3" s="285"/>
      <c r="BM3" s="285"/>
      <c r="BN3" s="285"/>
      <c r="BO3" s="285"/>
      <c r="BP3" s="285"/>
      <c r="BQ3" s="285"/>
      <c r="BR3" s="285"/>
      <c r="BS3" s="285"/>
      <c r="BT3" s="285"/>
      <c r="BU3" s="285"/>
      <c r="BV3" s="285"/>
      <c r="BW3" s="285"/>
      <c r="BX3" s="285"/>
      <c r="BY3" s="285"/>
      <c r="BZ3" s="285"/>
      <c r="CA3" s="285"/>
      <c r="CB3" s="285"/>
      <c r="CC3" s="285"/>
      <c r="CD3" s="285"/>
      <c r="CE3" s="285"/>
      <c r="CF3" s="285"/>
      <c r="CG3" s="285"/>
      <c r="CH3" s="285"/>
      <c r="CI3" s="285"/>
      <c r="CJ3" s="285"/>
      <c r="CK3" s="285"/>
      <c r="CL3" s="285"/>
      <c r="CM3" s="285"/>
      <c r="CN3" s="285"/>
      <c r="CO3" s="285"/>
      <c r="CP3" s="285"/>
      <c r="CQ3" s="285"/>
      <c r="CR3" s="285"/>
    </row>
    <row r="4" spans="1:96" ht="15.6">
      <c r="A4" s="295"/>
      <c r="B4" s="295"/>
      <c r="C4" s="283"/>
      <c r="D4" s="283"/>
      <c r="E4" s="283"/>
      <c r="F4" s="283"/>
      <c r="G4" s="283"/>
      <c r="H4" s="283"/>
      <c r="I4" s="283"/>
      <c r="J4" s="283"/>
      <c r="K4" s="283"/>
      <c r="L4" s="296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5"/>
      <c r="X4" s="285"/>
      <c r="Y4" s="285"/>
      <c r="Z4" s="285"/>
      <c r="AA4" s="285"/>
      <c r="AB4" s="285"/>
      <c r="AC4" s="285"/>
      <c r="AD4" s="285"/>
      <c r="AE4" s="285"/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5"/>
      <c r="AQ4" s="285"/>
      <c r="AR4" s="285"/>
      <c r="AS4" s="285"/>
      <c r="AT4" s="285"/>
      <c r="AU4" s="285"/>
      <c r="AV4" s="285"/>
      <c r="AW4" s="285"/>
      <c r="AX4" s="285"/>
      <c r="AY4" s="285"/>
      <c r="AZ4" s="285"/>
      <c r="BA4" s="285"/>
      <c r="BB4" s="285"/>
      <c r="BC4" s="285"/>
      <c r="BD4" s="285"/>
      <c r="BE4" s="285"/>
      <c r="BF4" s="285"/>
      <c r="BG4" s="285"/>
      <c r="BH4" s="285"/>
      <c r="BI4" s="285"/>
      <c r="BJ4" s="285"/>
      <c r="BK4" s="285"/>
      <c r="BL4" s="285"/>
      <c r="BM4" s="285"/>
      <c r="BN4" s="285"/>
      <c r="BO4" s="285"/>
      <c r="BP4" s="285"/>
      <c r="BQ4" s="285"/>
      <c r="BR4" s="285"/>
      <c r="BS4" s="285"/>
      <c r="BT4" s="285"/>
      <c r="BU4" s="285"/>
      <c r="BV4" s="285"/>
      <c r="BW4" s="285"/>
      <c r="BX4" s="285"/>
      <c r="BY4" s="285"/>
      <c r="BZ4" s="285"/>
      <c r="CA4" s="285"/>
      <c r="CB4" s="285"/>
      <c r="CC4" s="285"/>
      <c r="CD4" s="285"/>
      <c r="CE4" s="285"/>
      <c r="CF4" s="285"/>
      <c r="CG4" s="285"/>
      <c r="CH4" s="285"/>
      <c r="CI4" s="285"/>
      <c r="CJ4" s="285"/>
      <c r="CK4" s="285"/>
      <c r="CL4" s="285"/>
      <c r="CM4" s="285"/>
      <c r="CN4" s="285"/>
      <c r="CO4" s="285"/>
      <c r="CP4" s="285"/>
      <c r="CQ4" s="285"/>
      <c r="CR4" s="285"/>
    </row>
    <row r="5" spans="1:96" ht="15.6">
      <c r="A5" s="283" t="str">
        <f ca="1">'IS-ENA'!A5</f>
        <v>US $ 000s</v>
      </c>
      <c r="B5" s="283"/>
      <c r="C5" s="297">
        <f ca="1">'IS-ENA'!C5</f>
        <v>2000</v>
      </c>
      <c r="D5" s="297">
        <f ca="1">'IS-ENA'!D5</f>
        <v>2001</v>
      </c>
      <c r="E5" s="297">
        <f ca="1">'IS-ENA'!E5</f>
        <v>2002</v>
      </c>
      <c r="F5" s="297">
        <f ca="1">'IS-ENA'!F5</f>
        <v>2003</v>
      </c>
      <c r="G5" s="297">
        <f ca="1">'IS-ENA'!G5</f>
        <v>2004</v>
      </c>
      <c r="H5" s="297">
        <f ca="1">'IS-ENA'!H5</f>
        <v>2005</v>
      </c>
      <c r="I5" s="297">
        <f ca="1">'IS-ENA'!I5</f>
        <v>2006</v>
      </c>
      <c r="J5" s="297">
        <f ca="1">'IS-ENA'!J5</f>
        <v>2007</v>
      </c>
      <c r="K5" s="297">
        <f ca="1">'IS-ENA'!K5</f>
        <v>2008</v>
      </c>
      <c r="L5" s="297">
        <f ca="1">'IS-ENA'!L5</f>
        <v>2009</v>
      </c>
      <c r="M5" s="297">
        <f ca="1">'IS-ENA'!M5</f>
        <v>2010</v>
      </c>
      <c r="N5" s="297">
        <f ca="1">'IS-ENA'!N5</f>
        <v>2011</v>
      </c>
      <c r="O5" s="297">
        <f ca="1">'IS-ENA'!O5</f>
        <v>2012</v>
      </c>
      <c r="P5" s="297">
        <f ca="1">'IS-ENA'!P5</f>
        <v>2013</v>
      </c>
      <c r="Q5" s="297">
        <f ca="1">'IS-ENA'!Q5</f>
        <v>2014</v>
      </c>
      <c r="R5" s="297">
        <f ca="1">'IS-ENA'!R5</f>
        <v>2015</v>
      </c>
      <c r="S5" s="297">
        <f ca="1">'IS-ENA'!S5</f>
        <v>2016</v>
      </c>
      <c r="T5" s="297">
        <f ca="1">'IS-ENA'!T5</f>
        <v>2017</v>
      </c>
      <c r="U5" s="297">
        <f ca="1">'IS-ENA'!U5</f>
        <v>2018</v>
      </c>
      <c r="V5" s="297">
        <f ca="1">'IS-ENA'!V5</f>
        <v>2019</v>
      </c>
      <c r="W5" s="285"/>
      <c r="X5" s="285"/>
      <c r="Y5" s="285"/>
      <c r="Z5" s="285"/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5"/>
      <c r="AR5" s="285"/>
      <c r="AS5" s="285"/>
      <c r="AT5" s="285"/>
      <c r="AU5" s="285"/>
      <c r="AV5" s="285"/>
      <c r="AW5" s="285"/>
      <c r="AX5" s="285"/>
      <c r="AY5" s="285"/>
      <c r="AZ5" s="285"/>
      <c r="BA5" s="285"/>
      <c r="BB5" s="285"/>
      <c r="BC5" s="285"/>
      <c r="BD5" s="285"/>
      <c r="BE5" s="285"/>
      <c r="BF5" s="285"/>
      <c r="BG5" s="285"/>
      <c r="BH5" s="285"/>
      <c r="BI5" s="285"/>
      <c r="BJ5" s="285"/>
      <c r="BK5" s="285"/>
      <c r="BL5" s="285"/>
      <c r="BM5" s="285"/>
      <c r="BN5" s="285"/>
      <c r="BO5" s="285"/>
      <c r="BP5" s="285"/>
      <c r="BQ5" s="285"/>
      <c r="BR5" s="285"/>
      <c r="BS5" s="285"/>
      <c r="BT5" s="285"/>
      <c r="BU5" s="285"/>
      <c r="BV5" s="285"/>
      <c r="BW5" s="285"/>
      <c r="BX5" s="285"/>
      <c r="BY5" s="285"/>
      <c r="BZ5" s="285"/>
      <c r="CA5" s="285"/>
      <c r="CB5" s="285"/>
      <c r="CC5" s="285"/>
      <c r="CD5" s="285"/>
      <c r="CE5" s="285"/>
      <c r="CF5" s="285"/>
      <c r="CG5" s="285"/>
      <c r="CH5" s="285"/>
      <c r="CI5" s="285"/>
      <c r="CJ5" s="285"/>
      <c r="CK5" s="285"/>
      <c r="CL5" s="285"/>
      <c r="CM5" s="285"/>
      <c r="CN5" s="285"/>
      <c r="CO5" s="285"/>
      <c r="CP5" s="285"/>
      <c r="CQ5" s="285"/>
      <c r="CR5" s="285"/>
    </row>
    <row r="6" spans="1:96" ht="15.6">
      <c r="A6" s="295" t="str">
        <f ca="1">'IS-ENA'!A6</f>
        <v>Year</v>
      </c>
      <c r="B6" s="283"/>
      <c r="C6" s="298">
        <f ca="1">'IS-ENA'!C6</f>
        <v>1</v>
      </c>
      <c r="D6" s="298">
        <f ca="1">'IS-ENA'!D6</f>
        <v>2</v>
      </c>
      <c r="E6" s="298">
        <f ca="1">'IS-ENA'!E6</f>
        <v>3</v>
      </c>
      <c r="F6" s="298">
        <f ca="1">'IS-ENA'!F6</f>
        <v>4</v>
      </c>
      <c r="G6" s="298">
        <f ca="1">'IS-ENA'!G6</f>
        <v>5</v>
      </c>
      <c r="H6" s="298">
        <f ca="1">'IS-ENA'!H6</f>
        <v>6</v>
      </c>
      <c r="I6" s="298">
        <f ca="1">'IS-ENA'!I6</f>
        <v>7</v>
      </c>
      <c r="J6" s="298">
        <f ca="1">'IS-ENA'!J6</f>
        <v>8</v>
      </c>
      <c r="K6" s="298">
        <f ca="1">'IS-ENA'!K6</f>
        <v>9</v>
      </c>
      <c r="L6" s="298">
        <f ca="1">'IS-ENA'!L6</f>
        <v>10</v>
      </c>
      <c r="M6" s="298">
        <f ca="1">'IS-ENA'!M6</f>
        <v>11</v>
      </c>
      <c r="N6" s="298">
        <f ca="1">'IS-ENA'!N6</f>
        <v>12</v>
      </c>
      <c r="O6" s="298">
        <f ca="1">'IS-ENA'!O6</f>
        <v>13</v>
      </c>
      <c r="P6" s="298">
        <f ca="1">'IS-ENA'!P6</f>
        <v>14</v>
      </c>
      <c r="Q6" s="298">
        <f ca="1">'IS-ENA'!Q6</f>
        <v>15</v>
      </c>
      <c r="R6" s="298">
        <f ca="1">'IS-ENA'!R6</f>
        <v>16</v>
      </c>
      <c r="S6" s="298">
        <f ca="1">'IS-ENA'!S6</f>
        <v>17</v>
      </c>
      <c r="T6" s="298">
        <f ca="1">'IS-ENA'!T6</f>
        <v>18</v>
      </c>
      <c r="U6" s="298">
        <f ca="1">'IS-ENA'!U6</f>
        <v>19</v>
      </c>
      <c r="V6" s="298">
        <f ca="1">'IS-ENA'!V6</f>
        <v>20</v>
      </c>
      <c r="W6" s="285"/>
      <c r="X6" s="285"/>
      <c r="Y6" s="285"/>
      <c r="Z6" s="285"/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  <c r="AM6" s="285"/>
      <c r="AN6" s="285"/>
      <c r="AO6" s="285"/>
      <c r="AP6" s="285"/>
      <c r="AQ6" s="285"/>
      <c r="AR6" s="285"/>
      <c r="AS6" s="285"/>
      <c r="AT6" s="285"/>
      <c r="AU6" s="285"/>
      <c r="AV6" s="285"/>
      <c r="AW6" s="285"/>
      <c r="AX6" s="285"/>
      <c r="AY6" s="285"/>
      <c r="AZ6" s="285"/>
      <c r="BA6" s="285"/>
      <c r="BB6" s="285"/>
      <c r="BC6" s="285"/>
      <c r="BD6" s="285"/>
      <c r="BE6" s="285"/>
      <c r="BF6" s="285"/>
      <c r="BG6" s="285"/>
      <c r="BH6" s="285"/>
      <c r="BI6" s="285"/>
      <c r="BJ6" s="285"/>
      <c r="BK6" s="285"/>
      <c r="BL6" s="285"/>
      <c r="BM6" s="285"/>
      <c r="BN6" s="285"/>
      <c r="BO6" s="285"/>
      <c r="BP6" s="285"/>
      <c r="BQ6" s="285"/>
      <c r="BR6" s="285"/>
      <c r="BS6" s="285"/>
      <c r="BT6" s="285"/>
      <c r="BU6" s="285"/>
      <c r="BV6" s="285"/>
      <c r="BW6" s="285"/>
      <c r="BX6" s="285"/>
      <c r="BY6" s="285"/>
      <c r="BZ6" s="285"/>
      <c r="CA6" s="285"/>
      <c r="CB6" s="285"/>
      <c r="CC6" s="285"/>
      <c r="CD6" s="285"/>
      <c r="CE6" s="285"/>
      <c r="CF6" s="285"/>
      <c r="CG6" s="285"/>
      <c r="CH6" s="285"/>
      <c r="CI6" s="285"/>
      <c r="CJ6" s="285"/>
      <c r="CK6" s="285"/>
      <c r="CL6" s="285"/>
      <c r="CM6" s="285"/>
      <c r="CN6" s="285"/>
      <c r="CO6" s="285"/>
      <c r="CP6" s="285"/>
      <c r="CQ6" s="285"/>
      <c r="CR6" s="285"/>
    </row>
    <row r="7" spans="1:96" ht="15.6">
      <c r="A7" s="295" t="str">
        <f ca="1">'IS-ENA'!A7</f>
        <v>Months of Operation</v>
      </c>
      <c r="B7" s="283"/>
      <c r="C7" s="298">
        <f ca="1">'IS-ENA'!C7</f>
        <v>7</v>
      </c>
      <c r="D7" s="298">
        <f ca="1">'IS-ENA'!D7</f>
        <v>12</v>
      </c>
      <c r="E7" s="298">
        <f ca="1">'IS-ENA'!E7</f>
        <v>12</v>
      </c>
      <c r="F7" s="298">
        <f ca="1">'IS-ENA'!F7</f>
        <v>12</v>
      </c>
      <c r="G7" s="298">
        <f ca="1">'IS-ENA'!G7</f>
        <v>12</v>
      </c>
      <c r="H7" s="298">
        <f ca="1">'IS-ENA'!H7</f>
        <v>12</v>
      </c>
      <c r="I7" s="298">
        <f ca="1">'IS-ENA'!I7</f>
        <v>12</v>
      </c>
      <c r="J7" s="298">
        <f ca="1">'IS-ENA'!J7</f>
        <v>12</v>
      </c>
      <c r="K7" s="298">
        <f ca="1">'IS-ENA'!K7</f>
        <v>12</v>
      </c>
      <c r="L7" s="298">
        <f ca="1">'IS-ENA'!L7</f>
        <v>12</v>
      </c>
      <c r="M7" s="298">
        <f ca="1">'IS-ENA'!M7</f>
        <v>12</v>
      </c>
      <c r="N7" s="298">
        <f ca="1">'IS-ENA'!N7</f>
        <v>12</v>
      </c>
      <c r="O7" s="298">
        <f ca="1">'IS-ENA'!O7</f>
        <v>12</v>
      </c>
      <c r="P7" s="298">
        <f ca="1">'IS-ENA'!P7</f>
        <v>12</v>
      </c>
      <c r="Q7" s="298">
        <f ca="1">'IS-ENA'!Q7</f>
        <v>12</v>
      </c>
      <c r="R7" s="298">
        <f ca="1">'IS-ENA'!R7</f>
        <v>12</v>
      </c>
      <c r="S7" s="298">
        <f ca="1">'IS-ENA'!S7</f>
        <v>12</v>
      </c>
      <c r="T7" s="298">
        <f ca="1">'IS-ENA'!T7</f>
        <v>12</v>
      </c>
      <c r="U7" s="298">
        <f ca="1">'IS-ENA'!U7</f>
        <v>12</v>
      </c>
      <c r="V7" s="298">
        <f ca="1">'IS-ENA'!V7</f>
        <v>12</v>
      </c>
      <c r="W7" s="285"/>
      <c r="X7" s="285"/>
      <c r="Y7" s="285"/>
      <c r="Z7" s="285"/>
      <c r="AA7" s="285"/>
      <c r="AB7" s="285"/>
      <c r="AC7" s="285"/>
      <c r="AD7" s="285"/>
      <c r="AE7" s="285"/>
      <c r="AF7" s="285"/>
      <c r="AG7" s="285"/>
      <c r="AH7" s="285"/>
      <c r="AI7" s="285"/>
      <c r="AJ7" s="285"/>
      <c r="AK7" s="285"/>
      <c r="AL7" s="285"/>
      <c r="AM7" s="285"/>
      <c r="AN7" s="285"/>
      <c r="AO7" s="285"/>
      <c r="AP7" s="285"/>
      <c r="AQ7" s="285"/>
      <c r="AR7" s="285"/>
      <c r="AS7" s="285"/>
      <c r="AT7" s="285"/>
      <c r="AU7" s="285"/>
      <c r="AV7" s="285"/>
      <c r="AW7" s="285"/>
      <c r="AX7" s="285"/>
      <c r="AY7" s="285"/>
      <c r="AZ7" s="285"/>
      <c r="BA7" s="285"/>
      <c r="BB7" s="285"/>
      <c r="BC7" s="285"/>
      <c r="BD7" s="285"/>
      <c r="BE7" s="285"/>
      <c r="BF7" s="285"/>
      <c r="BG7" s="285"/>
      <c r="BH7" s="285"/>
      <c r="BI7" s="285"/>
      <c r="BJ7" s="285"/>
      <c r="BK7" s="285"/>
      <c r="BL7" s="285"/>
      <c r="BM7" s="285"/>
      <c r="BN7" s="285"/>
      <c r="BO7" s="285"/>
      <c r="BP7" s="285"/>
      <c r="BQ7" s="285"/>
      <c r="BR7" s="285"/>
      <c r="BS7" s="285"/>
      <c r="BT7" s="285"/>
      <c r="BU7" s="285"/>
      <c r="BV7" s="285"/>
      <c r="BW7" s="285"/>
      <c r="BX7" s="285"/>
      <c r="BY7" s="285"/>
      <c r="BZ7" s="285"/>
      <c r="CA7" s="285"/>
      <c r="CB7" s="285"/>
      <c r="CC7" s="285"/>
      <c r="CD7" s="285"/>
      <c r="CE7" s="285"/>
      <c r="CF7" s="285"/>
      <c r="CG7" s="285"/>
      <c r="CH7" s="285"/>
      <c r="CI7" s="285"/>
      <c r="CJ7" s="285"/>
      <c r="CK7" s="285"/>
      <c r="CL7" s="285"/>
      <c r="CM7" s="285"/>
      <c r="CN7" s="285"/>
      <c r="CO7" s="285"/>
      <c r="CP7" s="285"/>
      <c r="CQ7" s="285"/>
      <c r="CR7" s="285"/>
    </row>
    <row r="8" spans="1:96" ht="16.2" thickBot="1">
      <c r="A8" s="299"/>
      <c r="B8" s="283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285"/>
      <c r="X8" s="285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5"/>
      <c r="AJ8" s="285"/>
      <c r="AK8" s="285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5"/>
      <c r="AX8" s="285"/>
      <c r="AY8" s="285"/>
      <c r="AZ8" s="285"/>
      <c r="BA8" s="285"/>
      <c r="BB8" s="285"/>
      <c r="BC8" s="285"/>
      <c r="BD8" s="285"/>
      <c r="BE8" s="285"/>
      <c r="BF8" s="285"/>
      <c r="BG8" s="285"/>
      <c r="BH8" s="285"/>
      <c r="BI8" s="285"/>
      <c r="BJ8" s="285"/>
      <c r="BK8" s="285"/>
      <c r="BL8" s="285"/>
      <c r="BM8" s="285"/>
      <c r="BN8" s="285"/>
      <c r="BO8" s="285"/>
      <c r="BP8" s="285"/>
      <c r="BQ8" s="285"/>
      <c r="BR8" s="285"/>
      <c r="BS8" s="285"/>
      <c r="BT8" s="285"/>
      <c r="BU8" s="285"/>
      <c r="BV8" s="285"/>
      <c r="BW8" s="285"/>
      <c r="BX8" s="285"/>
      <c r="BY8" s="285"/>
      <c r="BZ8" s="285"/>
      <c r="CA8" s="285"/>
      <c r="CB8" s="285"/>
      <c r="CC8" s="285"/>
      <c r="CD8" s="285"/>
      <c r="CE8" s="285"/>
      <c r="CF8" s="285"/>
      <c r="CG8" s="285"/>
      <c r="CH8" s="285"/>
      <c r="CI8" s="285"/>
      <c r="CJ8" s="285"/>
      <c r="CK8" s="285"/>
      <c r="CL8" s="285"/>
      <c r="CM8" s="285"/>
      <c r="CN8" s="285"/>
      <c r="CO8" s="285"/>
      <c r="CP8" s="285"/>
      <c r="CQ8" s="285"/>
      <c r="CR8" s="285"/>
    </row>
    <row r="9" spans="1:96" ht="16.2" thickTop="1">
      <c r="A9" s="301" t="s">
        <v>281</v>
      </c>
      <c r="B9" s="302"/>
      <c r="C9" s="732"/>
      <c r="D9" s="733"/>
      <c r="E9" s="733"/>
      <c r="F9" s="733"/>
      <c r="G9" s="733"/>
      <c r="H9" s="733"/>
      <c r="I9" s="733"/>
      <c r="J9" s="733"/>
      <c r="K9" s="733"/>
      <c r="L9" s="733"/>
      <c r="M9" s="733"/>
      <c r="N9" s="733"/>
      <c r="O9" s="733"/>
      <c r="P9" s="733"/>
      <c r="Q9" s="733"/>
      <c r="R9" s="733"/>
      <c r="S9" s="733"/>
      <c r="T9" s="733"/>
      <c r="U9" s="733"/>
      <c r="V9" s="734"/>
      <c r="W9" s="731"/>
      <c r="X9" s="285"/>
      <c r="Y9" s="285"/>
      <c r="Z9" s="285"/>
      <c r="AA9" s="285"/>
      <c r="AB9" s="285"/>
      <c r="AC9" s="285"/>
      <c r="AD9" s="285"/>
      <c r="AE9" s="285"/>
      <c r="AF9" s="285"/>
      <c r="AG9" s="285"/>
      <c r="AH9" s="285"/>
      <c r="AI9" s="285"/>
      <c r="AJ9" s="285"/>
      <c r="AK9" s="285"/>
      <c r="AL9" s="285"/>
      <c r="AM9" s="285"/>
      <c r="AN9" s="285"/>
      <c r="AO9" s="285"/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5"/>
      <c r="BB9" s="285"/>
      <c r="BC9" s="285"/>
      <c r="BD9" s="285"/>
      <c r="BE9" s="285"/>
      <c r="BF9" s="285"/>
      <c r="BG9" s="285"/>
      <c r="BH9" s="285"/>
      <c r="BI9" s="285"/>
      <c r="BJ9" s="285"/>
      <c r="BK9" s="285"/>
      <c r="BL9" s="285"/>
      <c r="BM9" s="285"/>
      <c r="BN9" s="285"/>
      <c r="BO9" s="285"/>
      <c r="BP9" s="285"/>
      <c r="BQ9" s="285"/>
      <c r="BR9" s="285"/>
      <c r="BS9" s="285"/>
      <c r="BT9" s="285"/>
      <c r="BU9" s="285"/>
      <c r="BV9" s="285"/>
      <c r="BW9" s="285"/>
      <c r="BX9" s="285"/>
      <c r="BY9" s="285"/>
      <c r="BZ9" s="285"/>
      <c r="CA9" s="285"/>
      <c r="CB9" s="285"/>
      <c r="CC9" s="285"/>
      <c r="CD9" s="285"/>
      <c r="CE9" s="285"/>
      <c r="CF9" s="285"/>
      <c r="CG9" s="285"/>
      <c r="CH9" s="285"/>
      <c r="CI9" s="285"/>
      <c r="CJ9" s="285"/>
      <c r="CK9" s="285"/>
      <c r="CL9" s="285"/>
      <c r="CM9" s="285"/>
      <c r="CN9" s="285"/>
      <c r="CO9" s="285"/>
      <c r="CP9" s="285"/>
      <c r="CQ9" s="285"/>
      <c r="CR9" s="285"/>
    </row>
    <row r="10" spans="1:96" ht="15.6">
      <c r="A10" s="304" t="s">
        <v>282</v>
      </c>
      <c r="B10" s="300"/>
      <c r="C10" s="735">
        <f>Tariff!C23</f>
        <v>2670.6019857725</v>
      </c>
      <c r="D10" s="736">
        <f>Tariff!D23</f>
        <v>8535.1460549557978</v>
      </c>
      <c r="E10" s="736">
        <f>Tariff!E23</f>
        <v>8634.5230131309399</v>
      </c>
      <c r="F10" s="736">
        <f>Tariff!F23</f>
        <v>8843.4511175181378</v>
      </c>
      <c r="G10" s="736">
        <f>Tariff!G23</f>
        <v>9040.6333562818381</v>
      </c>
      <c r="H10" s="736">
        <f>Tariff!H23</f>
        <v>6618.2577418592673</v>
      </c>
      <c r="I10" s="736">
        <f>Tariff!I23</f>
        <v>8589.7344052949211</v>
      </c>
      <c r="J10" s="736">
        <f>Tariff!J23</f>
        <v>10759.145310641588</v>
      </c>
      <c r="K10" s="736">
        <f>Tariff!K23</f>
        <v>11016.859465760257</v>
      </c>
      <c r="L10" s="736">
        <f>Tariff!L23</f>
        <v>10402.806145686296</v>
      </c>
      <c r="M10" s="736">
        <f>Tariff!M23</f>
        <v>10613.950496424512</v>
      </c>
      <c r="N10" s="736">
        <f>Tariff!N23</f>
        <v>10065.807689282616</v>
      </c>
      <c r="O10" s="736">
        <f>Tariff!O23</f>
        <v>9828.1842643041964</v>
      </c>
      <c r="P10" s="736">
        <f>Tariff!P23</f>
        <v>9002.0239312495087</v>
      </c>
      <c r="Q10" s="736">
        <f>Tariff!Q23</f>
        <v>10633.654779665956</v>
      </c>
      <c r="R10" s="736">
        <f>Tariff!R23</f>
        <v>12213.685674306913</v>
      </c>
      <c r="S10" s="736">
        <f>Tariff!S23</f>
        <v>13797.396491410733</v>
      </c>
      <c r="T10" s="736">
        <f>Tariff!T23</f>
        <v>13904.796814559999</v>
      </c>
      <c r="U10" s="736">
        <f>Tariff!U23</f>
        <v>14388.47460655525</v>
      </c>
      <c r="V10" s="737">
        <f>Tariff!V23</f>
        <v>12153.671265220351</v>
      </c>
      <c r="W10" s="731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  <c r="AM10" s="285"/>
      <c r="AN10" s="285"/>
      <c r="AO10" s="285"/>
      <c r="AP10" s="285"/>
      <c r="AQ10" s="285"/>
      <c r="AR10" s="285"/>
      <c r="AS10" s="285"/>
      <c r="AT10" s="285"/>
      <c r="AU10" s="285"/>
      <c r="AV10" s="285"/>
      <c r="AW10" s="285"/>
      <c r="AX10" s="285"/>
      <c r="AY10" s="285"/>
      <c r="AZ10" s="285"/>
      <c r="BA10" s="285"/>
      <c r="BB10" s="285"/>
      <c r="BC10" s="285"/>
      <c r="BD10" s="285"/>
      <c r="BE10" s="285"/>
      <c r="BF10" s="285"/>
      <c r="BG10" s="285"/>
      <c r="BH10" s="285"/>
      <c r="BI10" s="285"/>
      <c r="BJ10" s="285"/>
      <c r="BK10" s="285"/>
      <c r="BL10" s="285"/>
      <c r="BM10" s="285"/>
      <c r="BN10" s="285"/>
      <c r="BO10" s="285"/>
      <c r="BP10" s="285"/>
      <c r="BQ10" s="285"/>
      <c r="BR10" s="285"/>
      <c r="BS10" s="285"/>
      <c r="BT10" s="285"/>
      <c r="BU10" s="285"/>
      <c r="BV10" s="285"/>
      <c r="BW10" s="285"/>
      <c r="BX10" s="285"/>
      <c r="BY10" s="285"/>
      <c r="BZ10" s="285"/>
      <c r="CA10" s="285"/>
      <c r="CB10" s="285"/>
      <c r="CC10" s="285"/>
      <c r="CD10" s="285"/>
      <c r="CE10" s="285"/>
      <c r="CF10" s="285"/>
      <c r="CG10" s="285"/>
      <c r="CH10" s="285"/>
      <c r="CI10" s="285"/>
      <c r="CJ10" s="285"/>
      <c r="CK10" s="285"/>
      <c r="CL10" s="285"/>
      <c r="CM10" s="285"/>
      <c r="CN10" s="285"/>
      <c r="CO10" s="285"/>
      <c r="CP10" s="285"/>
      <c r="CQ10" s="285"/>
      <c r="CR10" s="285"/>
    </row>
    <row r="11" spans="1:96" ht="15.6">
      <c r="A11" s="304" t="s">
        <v>283</v>
      </c>
      <c r="B11" s="300"/>
      <c r="C11" s="735">
        <f>Tariff!C29</f>
        <v>3028.465486322194</v>
      </c>
      <c r="D11" s="736">
        <f>Tariff!D29</f>
        <v>7912.7499637431865</v>
      </c>
      <c r="E11" s="736">
        <f>Tariff!E29</f>
        <v>7655.4394924636754</v>
      </c>
      <c r="F11" s="736">
        <f>Tariff!F29</f>
        <v>8061.4198831599469</v>
      </c>
      <c r="G11" s="736">
        <f>Tariff!G29</f>
        <v>8083.526717476715</v>
      </c>
      <c r="H11" s="736">
        <f>Tariff!H29</f>
        <v>5828.1366763630331</v>
      </c>
      <c r="I11" s="736">
        <f>Tariff!I29</f>
        <v>7637.9174252096363</v>
      </c>
      <c r="J11" s="736">
        <f>Tariff!J29</f>
        <v>9845.3570906857767</v>
      </c>
      <c r="K11" s="736">
        <f>Tariff!K29</f>
        <v>9955.0231008411083</v>
      </c>
      <c r="L11" s="736">
        <f>Tariff!L29</f>
        <v>9220.6198012628774</v>
      </c>
      <c r="M11" s="736">
        <f>Tariff!M29</f>
        <v>9354.9875191446135</v>
      </c>
      <c r="N11" s="736">
        <f>Tariff!N29</f>
        <v>8831.3797809957505</v>
      </c>
      <c r="O11" s="736">
        <f>Tariff!O29</f>
        <v>8892.4466391200676</v>
      </c>
      <c r="P11" s="736">
        <f>Tariff!P29</f>
        <v>8043.9230909434364</v>
      </c>
      <c r="Q11" s="736">
        <f>Tariff!Q29</f>
        <v>9481.7601106008115</v>
      </c>
      <c r="R11" s="736">
        <f>Tariff!R29</f>
        <v>11224.822459980584</v>
      </c>
      <c r="S11" s="736">
        <f>Tariff!S29</f>
        <v>12855.472668114626</v>
      </c>
      <c r="T11" s="736">
        <f>Tariff!T29</f>
        <v>13011.623076007696</v>
      </c>
      <c r="U11" s="736">
        <f>Tariff!U29</f>
        <v>13549.976479515202</v>
      </c>
      <c r="V11" s="737">
        <f>Tariff!V29</f>
        <v>11043.297311110464</v>
      </c>
      <c r="W11" s="731"/>
      <c r="X11" s="285"/>
      <c r="Y11" s="285"/>
      <c r="Z11" s="285"/>
      <c r="AA11" s="285"/>
      <c r="AB11" s="285"/>
      <c r="AC11" s="285"/>
      <c r="AD11" s="285"/>
      <c r="AE11" s="285"/>
      <c r="AF11" s="285"/>
      <c r="AG11" s="285"/>
      <c r="AH11" s="285"/>
      <c r="AI11" s="285"/>
      <c r="AJ11" s="285"/>
      <c r="AK11" s="285"/>
      <c r="AL11" s="285"/>
      <c r="AM11" s="285"/>
      <c r="AN11" s="285"/>
      <c r="AO11" s="285"/>
      <c r="AP11" s="285"/>
      <c r="AQ11" s="285"/>
      <c r="AR11" s="285"/>
      <c r="AS11" s="285"/>
      <c r="AT11" s="285"/>
      <c r="AU11" s="285"/>
      <c r="AV11" s="285"/>
      <c r="AW11" s="285"/>
      <c r="AX11" s="285"/>
      <c r="AY11" s="285"/>
      <c r="AZ11" s="285"/>
      <c r="BA11" s="285"/>
      <c r="BB11" s="285"/>
      <c r="BC11" s="285"/>
      <c r="BD11" s="285"/>
      <c r="BE11" s="285"/>
      <c r="BF11" s="285"/>
      <c r="BG11" s="285"/>
      <c r="BH11" s="285"/>
      <c r="BI11" s="285"/>
      <c r="BJ11" s="285"/>
      <c r="BK11" s="285"/>
      <c r="BL11" s="285"/>
      <c r="BM11" s="285"/>
      <c r="BN11" s="285"/>
      <c r="BO11" s="285"/>
      <c r="BP11" s="285"/>
      <c r="BQ11" s="285"/>
      <c r="BR11" s="285"/>
      <c r="BS11" s="285"/>
      <c r="BT11" s="285"/>
      <c r="BU11" s="285"/>
      <c r="BV11" s="285"/>
      <c r="BW11" s="285"/>
      <c r="BX11" s="285"/>
      <c r="BY11" s="285"/>
      <c r="BZ11" s="285"/>
      <c r="CA11" s="285"/>
      <c r="CB11" s="285"/>
      <c r="CC11" s="285"/>
      <c r="CD11" s="285"/>
      <c r="CE11" s="285"/>
      <c r="CF11" s="285"/>
      <c r="CG11" s="285"/>
      <c r="CH11" s="285"/>
      <c r="CI11" s="285"/>
      <c r="CJ11" s="285"/>
      <c r="CK11" s="285"/>
      <c r="CL11" s="285"/>
      <c r="CM11" s="285"/>
      <c r="CN11" s="285"/>
      <c r="CO11" s="285"/>
      <c r="CP11" s="285"/>
      <c r="CQ11" s="285"/>
      <c r="CR11" s="285"/>
    </row>
    <row r="12" spans="1:96" ht="15.6">
      <c r="A12" s="304" t="s">
        <v>284</v>
      </c>
      <c r="B12" s="300"/>
      <c r="C12" s="738">
        <f>Tariff!C34</f>
        <v>9096.9885575593562</v>
      </c>
      <c r="D12" s="739">
        <f>Tariff!D34</f>
        <v>24969.329618222044</v>
      </c>
      <c r="E12" s="739">
        <f>Tariff!E34</f>
        <v>24953.239630039927</v>
      </c>
      <c r="F12" s="739">
        <f>Tariff!F34</f>
        <v>25916.861991501624</v>
      </c>
      <c r="G12" s="739">
        <f>Tariff!G34</f>
        <v>26004.163136320436</v>
      </c>
      <c r="H12" s="739">
        <f>Tariff!H34</f>
        <v>22029.730420557811</v>
      </c>
      <c r="I12" s="739">
        <f>Tariff!I34</f>
        <v>25832.444698313033</v>
      </c>
      <c r="J12" s="739">
        <f>Tariff!J34</f>
        <v>29838.48549015119</v>
      </c>
      <c r="K12" s="739">
        <f>Tariff!K34</f>
        <v>30212.118526126778</v>
      </c>
      <c r="L12" s="739">
        <f>Tariff!L34</f>
        <v>29552.425024262608</v>
      </c>
      <c r="M12" s="739">
        <f>Tariff!M34</f>
        <v>30145.191414116238</v>
      </c>
      <c r="N12" s="739">
        <f>Tariff!N34</f>
        <v>29608.482059286162</v>
      </c>
      <c r="O12" s="739">
        <f>Tariff!O34</f>
        <v>30318.421751258113</v>
      </c>
      <c r="P12" s="739">
        <f>Tariff!P34</f>
        <v>29037.647071435193</v>
      </c>
      <c r="Q12" s="739">
        <f>Tariff!Q34</f>
        <v>31932.069320129191</v>
      </c>
      <c r="R12" s="739">
        <f>Tariff!R34</f>
        <v>34619.491899677727</v>
      </c>
      <c r="S12" s="739">
        <f>Tariff!S34</f>
        <v>37491.533048382487</v>
      </c>
      <c r="T12" s="739">
        <f>Tariff!T34</f>
        <v>38148.972588033845</v>
      </c>
      <c r="U12" s="739">
        <f>Tariff!U34</f>
        <v>39594.909535552164</v>
      </c>
      <c r="V12" s="740">
        <f>Tariff!V34</f>
        <v>36082.035749385941</v>
      </c>
      <c r="W12" s="731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5"/>
      <c r="AM12" s="285"/>
      <c r="AN12" s="285"/>
      <c r="AO12" s="285"/>
      <c r="AP12" s="285"/>
      <c r="AQ12" s="285"/>
      <c r="AR12" s="285"/>
      <c r="AS12" s="285"/>
      <c r="AT12" s="285"/>
      <c r="AU12" s="285"/>
      <c r="AV12" s="285"/>
      <c r="AW12" s="285"/>
      <c r="AX12" s="285"/>
      <c r="AY12" s="285"/>
      <c r="AZ12" s="285"/>
      <c r="BA12" s="285"/>
      <c r="BB12" s="285"/>
      <c r="BC12" s="285"/>
      <c r="BD12" s="285"/>
      <c r="BE12" s="285"/>
      <c r="BF12" s="285"/>
      <c r="BG12" s="285"/>
      <c r="BH12" s="285"/>
      <c r="BI12" s="285"/>
      <c r="BJ12" s="285"/>
      <c r="BK12" s="285"/>
      <c r="BL12" s="285"/>
      <c r="BM12" s="285"/>
      <c r="BN12" s="285"/>
      <c r="BO12" s="285"/>
      <c r="BP12" s="285"/>
      <c r="BQ12" s="285"/>
      <c r="BR12" s="285"/>
      <c r="BS12" s="285"/>
      <c r="BT12" s="285"/>
      <c r="BU12" s="285"/>
      <c r="BV12" s="285"/>
      <c r="BW12" s="285"/>
      <c r="BX12" s="285"/>
      <c r="BY12" s="285"/>
      <c r="BZ12" s="285"/>
      <c r="CA12" s="285"/>
      <c r="CB12" s="285"/>
      <c r="CC12" s="285"/>
      <c r="CD12" s="285"/>
      <c r="CE12" s="285"/>
      <c r="CF12" s="285"/>
      <c r="CG12" s="285"/>
      <c r="CH12" s="285"/>
      <c r="CI12" s="285"/>
      <c r="CJ12" s="285"/>
      <c r="CK12" s="285"/>
      <c r="CL12" s="285"/>
      <c r="CM12" s="285"/>
      <c r="CN12" s="285"/>
      <c r="CO12" s="285"/>
      <c r="CP12" s="285"/>
      <c r="CQ12" s="285"/>
      <c r="CR12" s="285"/>
    </row>
    <row r="13" spans="1:96" ht="15.6">
      <c r="A13" s="306" t="s">
        <v>285</v>
      </c>
      <c r="B13" s="300"/>
      <c r="C13" s="735">
        <f t="shared" ref="C13:V13" si="0">SUM(C10:C12)</f>
        <v>14796.05602965405</v>
      </c>
      <c r="D13" s="736">
        <f t="shared" si="0"/>
        <v>41417.22563692103</v>
      </c>
      <c r="E13" s="736">
        <f t="shared" si="0"/>
        <v>41243.202135634543</v>
      </c>
      <c r="F13" s="736">
        <f t="shared" si="0"/>
        <v>42821.732992179706</v>
      </c>
      <c r="G13" s="736">
        <f t="shared" si="0"/>
        <v>43128.32321007899</v>
      </c>
      <c r="H13" s="736">
        <f t="shared" si="0"/>
        <v>34476.12483878011</v>
      </c>
      <c r="I13" s="736">
        <f t="shared" si="0"/>
        <v>42060.096528817594</v>
      </c>
      <c r="J13" s="736">
        <f t="shared" si="0"/>
        <v>50442.987891478551</v>
      </c>
      <c r="K13" s="736">
        <f t="shared" si="0"/>
        <v>51184.00109272814</v>
      </c>
      <c r="L13" s="736">
        <f t="shared" si="0"/>
        <v>49175.850971211781</v>
      </c>
      <c r="M13" s="736">
        <f t="shared" si="0"/>
        <v>50114.129429685359</v>
      </c>
      <c r="N13" s="736">
        <f t="shared" si="0"/>
        <v>48505.669529564533</v>
      </c>
      <c r="O13" s="736">
        <f t="shared" si="0"/>
        <v>49039.052654682382</v>
      </c>
      <c r="P13" s="736">
        <f t="shared" si="0"/>
        <v>46083.59409362814</v>
      </c>
      <c r="Q13" s="736">
        <f t="shared" si="0"/>
        <v>52047.484210395953</v>
      </c>
      <c r="R13" s="736">
        <f t="shared" si="0"/>
        <v>58058.000033965225</v>
      </c>
      <c r="S13" s="736">
        <f t="shared" si="0"/>
        <v>64144.402207907842</v>
      </c>
      <c r="T13" s="736">
        <f t="shared" si="0"/>
        <v>65065.392478601541</v>
      </c>
      <c r="U13" s="736">
        <f t="shared" si="0"/>
        <v>67533.360621622618</v>
      </c>
      <c r="V13" s="737">
        <f t="shared" si="0"/>
        <v>59279.004325716756</v>
      </c>
      <c r="W13" s="731"/>
      <c r="X13" s="285"/>
      <c r="Y13" s="285"/>
      <c r="Z13" s="285"/>
      <c r="AA13" s="285"/>
      <c r="AB13" s="285"/>
      <c r="AC13" s="285"/>
      <c r="AD13" s="285"/>
      <c r="AE13" s="285"/>
      <c r="AF13" s="285"/>
      <c r="AG13" s="285"/>
      <c r="AH13" s="285"/>
      <c r="AI13" s="285"/>
      <c r="AJ13" s="285"/>
      <c r="AK13" s="285"/>
      <c r="AL13" s="285"/>
      <c r="AM13" s="285"/>
      <c r="AN13" s="285"/>
      <c r="AO13" s="285"/>
      <c r="AP13" s="285"/>
      <c r="AQ13" s="285"/>
      <c r="AR13" s="285"/>
      <c r="AS13" s="285"/>
      <c r="AT13" s="285"/>
      <c r="AU13" s="285"/>
      <c r="AV13" s="285"/>
      <c r="AW13" s="285"/>
      <c r="AX13" s="285"/>
      <c r="AY13" s="285"/>
      <c r="AZ13" s="285"/>
      <c r="BA13" s="285"/>
      <c r="BB13" s="285"/>
      <c r="BC13" s="285"/>
      <c r="BD13" s="285"/>
      <c r="BE13" s="285"/>
      <c r="BF13" s="285"/>
      <c r="BG13" s="285"/>
      <c r="BH13" s="285"/>
      <c r="BI13" s="285"/>
      <c r="BJ13" s="285"/>
      <c r="BK13" s="285"/>
      <c r="BL13" s="285"/>
      <c r="BM13" s="285"/>
      <c r="BN13" s="285"/>
      <c r="BO13" s="285"/>
      <c r="BP13" s="285"/>
      <c r="BQ13" s="285"/>
      <c r="BR13" s="285"/>
      <c r="BS13" s="285"/>
      <c r="BT13" s="285"/>
      <c r="BU13" s="285"/>
      <c r="BV13" s="285"/>
      <c r="BW13" s="285"/>
      <c r="BX13" s="285"/>
      <c r="BY13" s="285"/>
      <c r="BZ13" s="285"/>
      <c r="CA13" s="285"/>
      <c r="CB13" s="285"/>
      <c r="CC13" s="285"/>
      <c r="CD13" s="285"/>
      <c r="CE13" s="285"/>
      <c r="CF13" s="285"/>
      <c r="CG13" s="285"/>
      <c r="CH13" s="285"/>
      <c r="CI13" s="285"/>
      <c r="CJ13" s="285"/>
      <c r="CK13" s="285"/>
      <c r="CL13" s="285"/>
      <c r="CM13" s="285"/>
      <c r="CN13" s="285"/>
      <c r="CO13" s="285"/>
      <c r="CP13" s="285"/>
      <c r="CQ13" s="285"/>
      <c r="CR13" s="285"/>
    </row>
    <row r="14" spans="1:96" ht="15.6">
      <c r="A14" s="307"/>
      <c r="B14" s="283"/>
      <c r="C14" s="741"/>
      <c r="D14" s="742"/>
      <c r="E14" s="742"/>
      <c r="F14" s="742"/>
      <c r="G14" s="742"/>
      <c r="H14" s="743"/>
      <c r="I14" s="742"/>
      <c r="J14" s="742"/>
      <c r="K14" s="742"/>
      <c r="L14" s="742"/>
      <c r="M14" s="742"/>
      <c r="N14" s="742"/>
      <c r="O14" s="742"/>
      <c r="P14" s="742"/>
      <c r="Q14" s="742"/>
      <c r="R14" s="742"/>
      <c r="S14" s="742"/>
      <c r="T14" s="742"/>
      <c r="U14" s="742"/>
      <c r="V14" s="744"/>
      <c r="W14" s="731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5"/>
      <c r="BI14" s="285"/>
      <c r="BJ14" s="285"/>
      <c r="BK14" s="285"/>
      <c r="BL14" s="285"/>
      <c r="BM14" s="285"/>
      <c r="BN14" s="285"/>
      <c r="BO14" s="285"/>
      <c r="BP14" s="285"/>
      <c r="BQ14" s="285"/>
      <c r="BR14" s="285"/>
      <c r="BS14" s="285"/>
      <c r="BT14" s="285"/>
      <c r="BU14" s="285"/>
      <c r="BV14" s="285"/>
      <c r="BW14" s="285"/>
      <c r="BX14" s="285"/>
      <c r="BY14" s="285"/>
      <c r="BZ14" s="285"/>
      <c r="CA14" s="285"/>
      <c r="CB14" s="285"/>
      <c r="CC14" s="285"/>
      <c r="CD14" s="285"/>
      <c r="CE14" s="285"/>
      <c r="CF14" s="285"/>
      <c r="CG14" s="285"/>
      <c r="CH14" s="285"/>
      <c r="CI14" s="285"/>
      <c r="CJ14" s="285"/>
      <c r="CK14" s="285"/>
      <c r="CL14" s="285"/>
      <c r="CM14" s="285"/>
      <c r="CN14" s="285"/>
      <c r="CO14" s="285"/>
      <c r="CP14" s="285"/>
      <c r="CQ14" s="285"/>
      <c r="CR14" s="285"/>
    </row>
    <row r="15" spans="1:96" ht="15.6">
      <c r="A15" s="307" t="s">
        <v>286</v>
      </c>
      <c r="B15" s="283"/>
      <c r="C15" s="745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6"/>
      <c r="O15" s="746"/>
      <c r="P15" s="746"/>
      <c r="Q15" s="746"/>
      <c r="R15" s="746"/>
      <c r="S15" s="746"/>
      <c r="T15" s="746"/>
      <c r="U15" s="746"/>
      <c r="V15" s="747"/>
      <c r="W15" s="731"/>
      <c r="X15" s="285"/>
      <c r="Y15" s="285"/>
      <c r="Z15" s="285"/>
      <c r="AA15" s="285"/>
      <c r="AB15" s="285"/>
      <c r="AC15" s="285"/>
      <c r="AD15" s="285"/>
      <c r="AE15" s="285"/>
      <c r="AF15" s="285"/>
      <c r="AG15" s="285"/>
      <c r="AH15" s="285"/>
      <c r="AI15" s="285"/>
      <c r="AJ15" s="285"/>
      <c r="AK15" s="285"/>
      <c r="AL15" s="285"/>
      <c r="AM15" s="285"/>
      <c r="AN15" s="285"/>
      <c r="AO15" s="285"/>
      <c r="AP15" s="285"/>
      <c r="AQ15" s="285"/>
      <c r="AR15" s="285"/>
      <c r="AS15" s="285"/>
      <c r="AT15" s="285"/>
      <c r="AU15" s="285"/>
      <c r="AV15" s="285"/>
      <c r="AW15" s="285"/>
      <c r="AX15" s="285"/>
      <c r="AY15" s="285"/>
      <c r="AZ15" s="285"/>
      <c r="BA15" s="285"/>
      <c r="BB15" s="285"/>
      <c r="BC15" s="285"/>
      <c r="BD15" s="285"/>
      <c r="BE15" s="285"/>
      <c r="BF15" s="285"/>
      <c r="BG15" s="285"/>
      <c r="BH15" s="285"/>
      <c r="BI15" s="285"/>
      <c r="BJ15" s="285"/>
      <c r="BK15" s="285"/>
      <c r="BL15" s="285"/>
      <c r="BM15" s="285"/>
      <c r="BN15" s="285"/>
      <c r="BO15" s="285"/>
      <c r="BP15" s="285"/>
      <c r="BQ15" s="285"/>
      <c r="BR15" s="285"/>
      <c r="BS15" s="285"/>
      <c r="BT15" s="285"/>
      <c r="BU15" s="285"/>
      <c r="BV15" s="285"/>
      <c r="BW15" s="285"/>
      <c r="BX15" s="285"/>
      <c r="BY15" s="285"/>
      <c r="BZ15" s="285"/>
      <c r="CA15" s="285"/>
      <c r="CB15" s="285"/>
      <c r="CC15" s="285"/>
      <c r="CD15" s="285"/>
      <c r="CE15" s="285"/>
      <c r="CF15" s="285"/>
      <c r="CG15" s="285"/>
      <c r="CH15" s="285"/>
      <c r="CI15" s="285"/>
      <c r="CJ15" s="285"/>
      <c r="CK15" s="285"/>
      <c r="CL15" s="285"/>
      <c r="CM15" s="285"/>
      <c r="CN15" s="285"/>
      <c r="CO15" s="285"/>
      <c r="CP15" s="285"/>
      <c r="CQ15" s="285"/>
      <c r="CR15" s="285"/>
    </row>
    <row r="16" spans="1:96" ht="15.6">
      <c r="A16" s="308" t="s">
        <v>287</v>
      </c>
      <c r="B16" s="283"/>
      <c r="C16" s="735">
        <f ca="1">FUEL!C88</f>
        <v>2422.5367338246688</v>
      </c>
      <c r="D16" s="736">
        <f ca="1">FUEL!D88</f>
        <v>7479.5135160014624</v>
      </c>
      <c r="E16" s="736">
        <f ca="1">FUEL!E88</f>
        <v>8363.3032782439604</v>
      </c>
      <c r="F16" s="736">
        <f ca="1">FUEL!F88</f>
        <v>8858.1597919343876</v>
      </c>
      <c r="G16" s="736">
        <f ca="1">FUEL!G88</f>
        <v>8649.2037442468663</v>
      </c>
      <c r="H16" s="736">
        <f ca="1">FUEL!H88</f>
        <v>8438.6746983976063</v>
      </c>
      <c r="I16" s="736">
        <f ca="1">FUEL!I88</f>
        <v>8939.7586871747171</v>
      </c>
      <c r="J16" s="736">
        <f ca="1">FUEL!J88</f>
        <v>9415.9209751249382</v>
      </c>
      <c r="K16" s="736">
        <f ca="1">FUEL!K88</f>
        <v>9597.1475971032123</v>
      </c>
      <c r="L16" s="736">
        <f ca="1">FUEL!L88</f>
        <v>9695.6894349314152</v>
      </c>
      <c r="M16" s="736">
        <f ca="1">FUEL!M88</f>
        <v>9878.0146321325083</v>
      </c>
      <c r="N16" s="736">
        <f ca="1">FUEL!N88</f>
        <v>10000.673485074472</v>
      </c>
      <c r="O16" s="736">
        <f ca="1">FUEL!O88</f>
        <v>10565.153439807755</v>
      </c>
      <c r="P16" s="736">
        <f ca="1">FUEL!P88</f>
        <v>10658.67603260217</v>
      </c>
      <c r="Q16" s="736">
        <f ca="1">FUEL!Q88</f>
        <v>11079.901920796188</v>
      </c>
      <c r="R16" s="736">
        <f ca="1">FUEL!R88</f>
        <v>11354.189170162097</v>
      </c>
      <c r="S16" s="736">
        <f ca="1">FUEL!S88</f>
        <v>11768.693325210694</v>
      </c>
      <c r="T16" s="736">
        <f ca="1">FUEL!T88</f>
        <v>12013.159254115955</v>
      </c>
      <c r="U16" s="736">
        <f ca="1">FUEL!U88</f>
        <v>12362.516756547986</v>
      </c>
      <c r="V16" s="737">
        <f ca="1">FUEL!V88</f>
        <v>12274.783414374866</v>
      </c>
      <c r="W16" s="731"/>
      <c r="X16" s="285"/>
      <c r="Y16" s="285"/>
      <c r="Z16" s="285"/>
      <c r="AA16" s="285"/>
      <c r="AB16" s="285"/>
      <c r="AC16" s="285"/>
      <c r="AD16" s="285"/>
      <c r="AE16" s="285"/>
      <c r="AF16" s="285"/>
      <c r="AG16" s="285"/>
      <c r="AH16" s="285"/>
      <c r="AI16" s="285"/>
      <c r="AJ16" s="285"/>
      <c r="AK16" s="285"/>
      <c r="AL16" s="285"/>
      <c r="AM16" s="285"/>
      <c r="AN16" s="285"/>
      <c r="AO16" s="285"/>
      <c r="AP16" s="285"/>
      <c r="AQ16" s="285"/>
      <c r="AR16" s="285"/>
      <c r="AS16" s="285"/>
      <c r="AT16" s="285"/>
      <c r="AU16" s="285"/>
      <c r="AV16" s="285"/>
      <c r="AW16" s="285"/>
      <c r="AX16" s="285"/>
      <c r="AY16" s="285"/>
      <c r="AZ16" s="285"/>
      <c r="BA16" s="285"/>
      <c r="BB16" s="285"/>
      <c r="BC16" s="285"/>
      <c r="BD16" s="285"/>
      <c r="BE16" s="285"/>
      <c r="BF16" s="285"/>
      <c r="BG16" s="285"/>
      <c r="BH16" s="285"/>
      <c r="BI16" s="285"/>
      <c r="BJ16" s="285"/>
      <c r="BK16" s="285"/>
      <c r="BL16" s="285"/>
      <c r="BM16" s="285"/>
      <c r="BN16" s="285"/>
      <c r="BO16" s="285"/>
      <c r="BP16" s="285"/>
      <c r="BQ16" s="285"/>
      <c r="BR16" s="285"/>
      <c r="BS16" s="285"/>
      <c r="BT16" s="285"/>
      <c r="BU16" s="285"/>
      <c r="BV16" s="285"/>
      <c r="BW16" s="285"/>
      <c r="BX16" s="285"/>
      <c r="BY16" s="285"/>
      <c r="BZ16" s="285"/>
      <c r="CA16" s="285"/>
      <c r="CB16" s="285"/>
      <c r="CC16" s="285"/>
      <c r="CD16" s="285"/>
      <c r="CE16" s="285"/>
      <c r="CF16" s="285"/>
      <c r="CG16" s="285"/>
      <c r="CH16" s="285"/>
      <c r="CI16" s="285"/>
      <c r="CJ16" s="285"/>
      <c r="CK16" s="285"/>
      <c r="CL16" s="285"/>
      <c r="CM16" s="285"/>
      <c r="CN16" s="285"/>
      <c r="CO16" s="285"/>
      <c r="CP16" s="285"/>
      <c r="CQ16" s="285"/>
      <c r="CR16" s="285"/>
    </row>
    <row r="17" spans="1:96" ht="15.6">
      <c r="A17" s="308" t="s">
        <v>288</v>
      </c>
      <c r="B17" s="283"/>
      <c r="C17" s="735">
        <f ca="1">OandM!C18</f>
        <v>2061.1030478623411</v>
      </c>
      <c r="D17" s="736">
        <f ca="1">OandM!D18</f>
        <v>4979.7354441333791</v>
      </c>
      <c r="E17" s="736">
        <f ca="1">OandM!E18</f>
        <v>5135.5445725448271</v>
      </c>
      <c r="F17" s="736">
        <f ca="1">OandM!F18</f>
        <v>5273.9894022795052</v>
      </c>
      <c r="G17" s="736">
        <f ca="1">OandM!G18</f>
        <v>5376.8765778589532</v>
      </c>
      <c r="H17" s="736">
        <f ca="1">OandM!H18</f>
        <v>5482.6549400119911</v>
      </c>
      <c r="I17" s="736">
        <f ca="1">OandM!I18</f>
        <v>5630.6645354992579</v>
      </c>
      <c r="J17" s="736">
        <f ca="1">OandM!J18</f>
        <v>5780.5280022931474</v>
      </c>
      <c r="K17" s="736">
        <f ca="1">OandM!K18</f>
        <v>5917.4266243063003</v>
      </c>
      <c r="L17" s="736">
        <f ca="1">OandM!L18</f>
        <v>6053.339559167588</v>
      </c>
      <c r="M17" s="736">
        <f ca="1">OandM!M18</f>
        <v>6197.3795394248273</v>
      </c>
      <c r="N17" s="736">
        <f ca="1">OandM!N18</f>
        <v>6341.7743378657533</v>
      </c>
      <c r="O17" s="736">
        <f ca="1">OandM!O18</f>
        <v>6514.1935527845626</v>
      </c>
      <c r="P17" s="736">
        <f ca="1">OandM!P18</f>
        <v>6664.4097214151043</v>
      </c>
      <c r="Q17" s="736">
        <f ca="1">OandM!Q18</f>
        <v>6836.5693008623712</v>
      </c>
      <c r="R17" s="736">
        <f ca="1">OandM!R18</f>
        <v>6988.5864669146094</v>
      </c>
      <c r="S17" s="736">
        <f ca="1">OandM!S18</f>
        <v>7168.0447029391062</v>
      </c>
      <c r="T17" s="736">
        <f ca="1">OandM!T18</f>
        <v>7342.6304141428946</v>
      </c>
      <c r="U17" s="736">
        <f ca="1">OandM!U18</f>
        <v>7527.1740338114059</v>
      </c>
      <c r="V17" s="737">
        <f ca="1">OandM!V18</f>
        <v>7692.7422445834436</v>
      </c>
      <c r="W17" s="731"/>
      <c r="X17" s="285"/>
      <c r="Y17" s="285"/>
      <c r="Z17" s="285"/>
      <c r="AA17" s="285"/>
      <c r="AB17" s="285"/>
      <c r="AC17" s="285"/>
      <c r="AD17" s="285"/>
      <c r="AE17" s="285"/>
      <c r="AF17" s="285"/>
      <c r="AG17" s="285"/>
      <c r="AH17" s="285"/>
      <c r="AI17" s="285"/>
      <c r="AJ17" s="285"/>
      <c r="AK17" s="285"/>
      <c r="AL17" s="285"/>
      <c r="AM17" s="285"/>
      <c r="AN17" s="285"/>
      <c r="AO17" s="285"/>
      <c r="AP17" s="285"/>
      <c r="AQ17" s="285"/>
      <c r="AR17" s="285"/>
      <c r="AS17" s="285"/>
      <c r="AT17" s="285"/>
      <c r="AU17" s="285"/>
      <c r="AV17" s="285"/>
      <c r="AW17" s="285"/>
      <c r="AX17" s="285"/>
      <c r="AY17" s="285"/>
      <c r="AZ17" s="285"/>
      <c r="BA17" s="285"/>
      <c r="BB17" s="285"/>
      <c r="BC17" s="285"/>
      <c r="BD17" s="285"/>
      <c r="BE17" s="285"/>
      <c r="BF17" s="285"/>
      <c r="BG17" s="285"/>
      <c r="BH17" s="285"/>
      <c r="BI17" s="285"/>
      <c r="BJ17" s="285"/>
      <c r="BK17" s="285"/>
      <c r="BL17" s="285"/>
      <c r="BM17" s="285"/>
      <c r="BN17" s="285"/>
      <c r="BO17" s="285"/>
      <c r="BP17" s="285"/>
      <c r="BQ17" s="285"/>
      <c r="BR17" s="285"/>
      <c r="BS17" s="285"/>
      <c r="BT17" s="285"/>
      <c r="BU17" s="285"/>
      <c r="BV17" s="285"/>
      <c r="BW17" s="285"/>
      <c r="BX17" s="285"/>
      <c r="BY17" s="285"/>
      <c r="BZ17" s="285"/>
      <c r="CA17" s="285"/>
      <c r="CB17" s="285"/>
      <c r="CC17" s="285"/>
      <c r="CD17" s="285"/>
      <c r="CE17" s="285"/>
      <c r="CF17" s="285"/>
      <c r="CG17" s="285"/>
      <c r="CH17" s="285"/>
      <c r="CI17" s="285"/>
      <c r="CJ17" s="285"/>
      <c r="CK17" s="285"/>
      <c r="CL17" s="285"/>
      <c r="CM17" s="285"/>
      <c r="CN17" s="285"/>
      <c r="CO17" s="285"/>
      <c r="CP17" s="285"/>
      <c r="CQ17" s="285"/>
      <c r="CR17" s="285"/>
    </row>
    <row r="18" spans="1:96" ht="15.6">
      <c r="A18" s="308" t="s">
        <v>289</v>
      </c>
      <c r="B18" s="283"/>
      <c r="C18" s="738">
        <f ca="1">OandM!C32</f>
        <v>180.5138361779243</v>
      </c>
      <c r="D18" s="739">
        <f ca="1">OandM!D32</f>
        <v>1019.4494150267261</v>
      </c>
      <c r="E18" s="739">
        <f ca="1">OandM!E32</f>
        <v>1022.6769264690072</v>
      </c>
      <c r="F18" s="739">
        <f ca="1">OandM!F32</f>
        <v>789.19843846399613</v>
      </c>
      <c r="G18" s="739">
        <f ca="1">OandM!G32</f>
        <v>795.54341548832792</v>
      </c>
      <c r="H18" s="739">
        <f ca="1">OandM!H32</f>
        <v>748.25730774182796</v>
      </c>
      <c r="I18" s="739">
        <f ca="1">OandM!I32</f>
        <v>798.51315159034107</v>
      </c>
      <c r="J18" s="739">
        <f ca="1">OandM!J32</f>
        <v>853.69081784471882</v>
      </c>
      <c r="K18" s="739">
        <f ca="1">OandM!K32</f>
        <v>863.14898371874551</v>
      </c>
      <c r="L18" s="739">
        <f ca="1">OandM!L32</f>
        <v>856.2474959961728</v>
      </c>
      <c r="M18" s="739">
        <f ca="1">OandM!M32</f>
        <v>867.16355990471584</v>
      </c>
      <c r="N18" s="739">
        <f ca="1">OandM!N32</f>
        <v>862.94192627695031</v>
      </c>
      <c r="O18" s="739">
        <f ca="1">OandM!O32</f>
        <v>871.7179371964869</v>
      </c>
      <c r="P18" s="739">
        <f ca="1">OandM!P32</f>
        <v>859.71144222754924</v>
      </c>
      <c r="Q18" s="739">
        <f ca="1">OandM!Q32</f>
        <v>901.37564824827359</v>
      </c>
      <c r="R18" s="739">
        <f ca="1">OandM!R32</f>
        <v>943.47839187344971</v>
      </c>
      <c r="S18" s="739">
        <f ca="1">OandM!S32</f>
        <v>986.19952411532734</v>
      </c>
      <c r="T18" s="739">
        <f ca="1">OandM!T32</f>
        <v>998.0956583560635</v>
      </c>
      <c r="U18" s="739">
        <f ca="1">OandM!U32</f>
        <v>1019.4456550314117</v>
      </c>
      <c r="V18" s="740">
        <f ca="1">OandM!V32</f>
        <v>976.63834414426287</v>
      </c>
      <c r="W18" s="731"/>
      <c r="X18" s="285"/>
      <c r="Y18" s="285"/>
      <c r="Z18" s="285"/>
      <c r="AA18" s="285"/>
      <c r="AB18" s="285"/>
      <c r="AC18" s="285"/>
      <c r="AD18" s="285"/>
      <c r="AE18" s="285"/>
      <c r="AF18" s="285"/>
      <c r="AG18" s="285"/>
      <c r="AH18" s="285"/>
      <c r="AI18" s="285"/>
      <c r="AJ18" s="285"/>
      <c r="AK18" s="285"/>
      <c r="AL18" s="285"/>
      <c r="AM18" s="285"/>
      <c r="AN18" s="285"/>
      <c r="AO18" s="285"/>
      <c r="AP18" s="285"/>
      <c r="AQ18" s="285"/>
      <c r="AR18" s="285"/>
      <c r="AS18" s="285"/>
      <c r="AT18" s="285"/>
      <c r="AU18" s="285"/>
      <c r="AV18" s="285"/>
      <c r="AW18" s="285"/>
      <c r="AX18" s="285"/>
      <c r="AY18" s="285"/>
      <c r="AZ18" s="285"/>
      <c r="BA18" s="285"/>
      <c r="BB18" s="285"/>
      <c r="BC18" s="285"/>
      <c r="BD18" s="285"/>
      <c r="BE18" s="285"/>
      <c r="BF18" s="285"/>
      <c r="BG18" s="285"/>
      <c r="BH18" s="285"/>
      <c r="BI18" s="285"/>
      <c r="BJ18" s="285"/>
      <c r="BK18" s="285"/>
      <c r="BL18" s="285"/>
      <c r="BM18" s="285"/>
      <c r="BN18" s="285"/>
      <c r="BO18" s="285"/>
      <c r="BP18" s="285"/>
      <c r="BQ18" s="285"/>
      <c r="BR18" s="285"/>
      <c r="BS18" s="285"/>
      <c r="BT18" s="285"/>
      <c r="BU18" s="285"/>
      <c r="BV18" s="285"/>
      <c r="BW18" s="285"/>
      <c r="BX18" s="285"/>
      <c r="BY18" s="285"/>
      <c r="BZ18" s="285"/>
      <c r="CA18" s="285"/>
      <c r="CB18" s="285"/>
      <c r="CC18" s="285"/>
      <c r="CD18" s="285"/>
      <c r="CE18" s="285"/>
      <c r="CF18" s="285"/>
      <c r="CG18" s="285"/>
      <c r="CH18" s="285"/>
      <c r="CI18" s="285"/>
      <c r="CJ18" s="285"/>
      <c r="CK18" s="285"/>
      <c r="CL18" s="285"/>
      <c r="CM18" s="285"/>
      <c r="CN18" s="285"/>
      <c r="CO18" s="285"/>
      <c r="CP18" s="285"/>
      <c r="CQ18" s="285"/>
      <c r="CR18" s="285"/>
    </row>
    <row r="19" spans="1:96" ht="15.6">
      <c r="A19" s="307" t="s">
        <v>290</v>
      </c>
      <c r="B19" s="283"/>
      <c r="C19" s="735">
        <f t="shared" ref="C19:V19" ca="1" si="1">SUM(C16:C18)</f>
        <v>4664.1536178649349</v>
      </c>
      <c r="D19" s="736">
        <f t="shared" ca="1" si="1"/>
        <v>13478.698375161568</v>
      </c>
      <c r="E19" s="736">
        <f t="shared" ca="1" si="1"/>
        <v>14521.524777257795</v>
      </c>
      <c r="F19" s="736">
        <f t="shared" ca="1" si="1"/>
        <v>14921.347632677889</v>
      </c>
      <c r="G19" s="736">
        <f t="shared" ca="1" si="1"/>
        <v>14821.623737594147</v>
      </c>
      <c r="H19" s="736">
        <f t="shared" ca="1" si="1"/>
        <v>14669.586946151425</v>
      </c>
      <c r="I19" s="736">
        <f t="shared" ca="1" si="1"/>
        <v>15368.936374264316</v>
      </c>
      <c r="J19" s="736">
        <f t="shared" ca="1" si="1"/>
        <v>16050.139795262805</v>
      </c>
      <c r="K19" s="736">
        <f t="shared" ca="1" si="1"/>
        <v>16377.723205128257</v>
      </c>
      <c r="L19" s="736">
        <f t="shared" ca="1" si="1"/>
        <v>16605.276490095177</v>
      </c>
      <c r="M19" s="736">
        <f t="shared" ca="1" si="1"/>
        <v>16942.55773146205</v>
      </c>
      <c r="N19" s="736">
        <f t="shared" ca="1" si="1"/>
        <v>17205.389749217178</v>
      </c>
      <c r="O19" s="736">
        <f t="shared" ca="1" si="1"/>
        <v>17951.064929788805</v>
      </c>
      <c r="P19" s="736">
        <f t="shared" ca="1" si="1"/>
        <v>18182.797196244821</v>
      </c>
      <c r="Q19" s="736">
        <f t="shared" ca="1" si="1"/>
        <v>18817.846869906836</v>
      </c>
      <c r="R19" s="736">
        <f t="shared" ca="1" si="1"/>
        <v>19286.254028950156</v>
      </c>
      <c r="S19" s="736">
        <f t="shared" ca="1" si="1"/>
        <v>19922.937552265128</v>
      </c>
      <c r="T19" s="736">
        <f t="shared" ca="1" si="1"/>
        <v>20353.885326614913</v>
      </c>
      <c r="U19" s="736">
        <f t="shared" ca="1" si="1"/>
        <v>20909.136445390803</v>
      </c>
      <c r="V19" s="737">
        <f t="shared" ca="1" si="1"/>
        <v>20944.164003102571</v>
      </c>
      <c r="W19" s="731"/>
      <c r="X19" s="285"/>
      <c r="Y19" s="285"/>
      <c r="Z19" s="285"/>
      <c r="AA19" s="285"/>
      <c r="AB19" s="285"/>
      <c r="AC19" s="285"/>
      <c r="AD19" s="285"/>
      <c r="AE19" s="285"/>
      <c r="AF19" s="285"/>
      <c r="AG19" s="285"/>
      <c r="AH19" s="285"/>
      <c r="AI19" s="285"/>
      <c r="AJ19" s="285"/>
      <c r="AK19" s="285"/>
      <c r="AL19" s="285"/>
      <c r="AM19" s="285"/>
      <c r="AN19" s="285"/>
      <c r="AO19" s="285"/>
      <c r="AP19" s="285"/>
      <c r="AQ19" s="285"/>
      <c r="AR19" s="285"/>
      <c r="AS19" s="285"/>
      <c r="AT19" s="285"/>
      <c r="AU19" s="285"/>
      <c r="AV19" s="285"/>
      <c r="AW19" s="285"/>
      <c r="AX19" s="285"/>
      <c r="AY19" s="285"/>
      <c r="AZ19" s="285"/>
      <c r="BA19" s="285"/>
      <c r="BB19" s="285"/>
      <c r="BC19" s="285"/>
      <c r="BD19" s="285"/>
      <c r="BE19" s="285"/>
      <c r="BF19" s="285"/>
      <c r="BG19" s="285"/>
      <c r="BH19" s="285"/>
      <c r="BI19" s="285"/>
      <c r="BJ19" s="285"/>
      <c r="BK19" s="285"/>
      <c r="BL19" s="285"/>
      <c r="BM19" s="285"/>
      <c r="BN19" s="285"/>
      <c r="BO19" s="285"/>
      <c r="BP19" s="285"/>
      <c r="BQ19" s="285"/>
      <c r="BR19" s="285"/>
      <c r="BS19" s="285"/>
      <c r="BT19" s="285"/>
      <c r="BU19" s="285"/>
      <c r="BV19" s="285"/>
      <c r="BW19" s="285"/>
      <c r="BX19" s="285"/>
      <c r="BY19" s="285"/>
      <c r="BZ19" s="285"/>
      <c r="CA19" s="285"/>
      <c r="CB19" s="285"/>
      <c r="CC19" s="285"/>
      <c r="CD19" s="285"/>
      <c r="CE19" s="285"/>
      <c r="CF19" s="285"/>
      <c r="CG19" s="285"/>
      <c r="CH19" s="285"/>
      <c r="CI19" s="285"/>
      <c r="CJ19" s="285"/>
      <c r="CK19" s="285"/>
      <c r="CL19" s="285"/>
      <c r="CM19" s="285"/>
      <c r="CN19" s="285"/>
      <c r="CO19" s="285"/>
      <c r="CP19" s="285"/>
      <c r="CQ19" s="285"/>
      <c r="CR19" s="285"/>
    </row>
    <row r="20" spans="1:96" ht="15.6">
      <c r="A20" s="308"/>
      <c r="B20" s="283"/>
      <c r="C20" s="748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7"/>
      <c r="W20" s="731"/>
      <c r="X20" s="285"/>
      <c r="Y20" s="285"/>
      <c r="Z20" s="285"/>
      <c r="AA20" s="285"/>
      <c r="AB20" s="285"/>
      <c r="AC20" s="285"/>
      <c r="AD20" s="285"/>
      <c r="AE20" s="285"/>
      <c r="AF20" s="285"/>
      <c r="AG20" s="285"/>
      <c r="AH20" s="285"/>
      <c r="AI20" s="285"/>
      <c r="AJ20" s="285"/>
      <c r="AK20" s="285"/>
      <c r="AL20" s="285"/>
      <c r="AM20" s="285"/>
      <c r="AN20" s="285"/>
      <c r="AO20" s="285"/>
      <c r="AP20" s="285"/>
      <c r="AQ20" s="285"/>
      <c r="AR20" s="285"/>
      <c r="AS20" s="285"/>
      <c r="AT20" s="285"/>
      <c r="AU20" s="285"/>
      <c r="AV20" s="285"/>
      <c r="AW20" s="285"/>
      <c r="AX20" s="285"/>
      <c r="AY20" s="285"/>
      <c r="AZ20" s="285"/>
      <c r="BA20" s="285"/>
      <c r="BB20" s="285"/>
      <c r="BC20" s="285"/>
      <c r="BD20" s="285"/>
      <c r="BE20" s="285"/>
      <c r="BF20" s="285"/>
      <c r="BG20" s="285"/>
      <c r="BH20" s="285"/>
      <c r="BI20" s="285"/>
      <c r="BJ20" s="285"/>
      <c r="BK20" s="285"/>
      <c r="BL20" s="285"/>
      <c r="BM20" s="285"/>
      <c r="BN20" s="285"/>
      <c r="BO20" s="285"/>
      <c r="BP20" s="285"/>
      <c r="BQ20" s="285"/>
      <c r="BR20" s="285"/>
      <c r="BS20" s="285"/>
      <c r="BT20" s="285"/>
      <c r="BU20" s="285"/>
      <c r="BV20" s="285"/>
      <c r="BW20" s="285"/>
      <c r="BX20" s="285"/>
      <c r="BY20" s="285"/>
      <c r="BZ20" s="285"/>
      <c r="CA20" s="285"/>
      <c r="CB20" s="285"/>
      <c r="CC20" s="285"/>
      <c r="CD20" s="285"/>
      <c r="CE20" s="285"/>
      <c r="CF20" s="285"/>
      <c r="CG20" s="285"/>
      <c r="CH20" s="285"/>
      <c r="CI20" s="285"/>
      <c r="CJ20" s="285"/>
      <c r="CK20" s="285"/>
      <c r="CL20" s="285"/>
      <c r="CM20" s="285"/>
      <c r="CN20" s="285"/>
      <c r="CO20" s="285"/>
      <c r="CP20" s="285"/>
      <c r="CQ20" s="285"/>
      <c r="CR20" s="285"/>
    </row>
    <row r="21" spans="1:96" ht="15.6">
      <c r="A21" s="307" t="s">
        <v>291</v>
      </c>
      <c r="B21" s="283"/>
      <c r="C21" s="735">
        <f t="shared" ref="C21:V21" ca="1" si="2">C13-C19</f>
        <v>10131.902411789115</v>
      </c>
      <c r="D21" s="736">
        <f t="shared" ca="1" si="2"/>
        <v>27938.52726175946</v>
      </c>
      <c r="E21" s="736">
        <f t="shared" ca="1" si="2"/>
        <v>26721.67735837675</v>
      </c>
      <c r="F21" s="736">
        <f t="shared" ca="1" si="2"/>
        <v>27900.385359501815</v>
      </c>
      <c r="G21" s="736">
        <f t="shared" ca="1" si="2"/>
        <v>28306.699472484841</v>
      </c>
      <c r="H21" s="736">
        <f t="shared" ca="1" si="2"/>
        <v>19806.537892628687</v>
      </c>
      <c r="I21" s="736">
        <f t="shared" ca="1" si="2"/>
        <v>26691.160154553276</v>
      </c>
      <c r="J21" s="736">
        <f t="shared" ca="1" si="2"/>
        <v>34392.848096215748</v>
      </c>
      <c r="K21" s="736">
        <f t="shared" ca="1" si="2"/>
        <v>34806.277887599885</v>
      </c>
      <c r="L21" s="736">
        <f t="shared" ca="1" si="2"/>
        <v>32570.574481116604</v>
      </c>
      <c r="M21" s="736">
        <f t="shared" ca="1" si="2"/>
        <v>33171.571698223313</v>
      </c>
      <c r="N21" s="736">
        <f t="shared" ca="1" si="2"/>
        <v>31300.279780347355</v>
      </c>
      <c r="O21" s="736">
        <f t="shared" ca="1" si="2"/>
        <v>31087.987724893577</v>
      </c>
      <c r="P21" s="736">
        <f t="shared" ca="1" si="2"/>
        <v>27900.796897383319</v>
      </c>
      <c r="Q21" s="736">
        <f t="shared" ca="1" si="2"/>
        <v>33229.63734048912</v>
      </c>
      <c r="R21" s="736">
        <f t="shared" ca="1" si="2"/>
        <v>38771.746005015069</v>
      </c>
      <c r="S21" s="736">
        <f t="shared" ca="1" si="2"/>
        <v>44221.464655642718</v>
      </c>
      <c r="T21" s="736">
        <f t="shared" ca="1" si="2"/>
        <v>44711.507151986632</v>
      </c>
      <c r="U21" s="736">
        <f t="shared" ca="1" si="2"/>
        <v>46624.224176231815</v>
      </c>
      <c r="V21" s="737">
        <f t="shared" ca="1" si="2"/>
        <v>38334.840322614182</v>
      </c>
      <c r="W21" s="731"/>
      <c r="X21" s="285"/>
      <c r="Y21" s="285"/>
      <c r="Z21" s="285"/>
      <c r="AA21" s="285"/>
      <c r="AB21" s="285"/>
      <c r="AC21" s="285"/>
      <c r="AD21" s="285"/>
      <c r="AE21" s="285"/>
      <c r="AF21" s="285"/>
      <c r="AG21" s="285"/>
      <c r="AH21" s="285"/>
      <c r="AI21" s="285"/>
      <c r="AJ21" s="285"/>
      <c r="AK21" s="285"/>
      <c r="AL21" s="285"/>
      <c r="AM21" s="285"/>
      <c r="AN21" s="285"/>
      <c r="AO21" s="285"/>
      <c r="AP21" s="285"/>
      <c r="AQ21" s="285"/>
      <c r="AR21" s="285"/>
      <c r="AS21" s="285"/>
      <c r="AT21" s="285"/>
      <c r="AU21" s="285"/>
      <c r="AV21" s="285"/>
      <c r="AW21" s="285"/>
      <c r="AX21" s="285"/>
      <c r="AY21" s="285"/>
      <c r="AZ21" s="285"/>
      <c r="BA21" s="285"/>
      <c r="BB21" s="285"/>
      <c r="BC21" s="285"/>
      <c r="BD21" s="285"/>
      <c r="BE21" s="285"/>
      <c r="BF21" s="285"/>
      <c r="BG21" s="285"/>
      <c r="BH21" s="285"/>
      <c r="BI21" s="285"/>
      <c r="BJ21" s="285"/>
      <c r="BK21" s="285"/>
      <c r="BL21" s="285"/>
      <c r="BM21" s="285"/>
      <c r="BN21" s="285"/>
      <c r="BO21" s="285"/>
      <c r="BP21" s="285"/>
      <c r="BQ21" s="285"/>
      <c r="BR21" s="285"/>
      <c r="BS21" s="285"/>
      <c r="BT21" s="285"/>
      <c r="BU21" s="285"/>
      <c r="BV21" s="285"/>
      <c r="BW21" s="285"/>
      <c r="BX21" s="285"/>
      <c r="BY21" s="285"/>
      <c r="BZ21" s="285"/>
      <c r="CA21" s="285"/>
      <c r="CB21" s="285"/>
      <c r="CC21" s="285"/>
      <c r="CD21" s="285"/>
      <c r="CE21" s="285"/>
      <c r="CF21" s="285"/>
      <c r="CG21" s="285"/>
      <c r="CH21" s="285"/>
      <c r="CI21" s="285"/>
      <c r="CJ21" s="285"/>
      <c r="CK21" s="285"/>
      <c r="CL21" s="285"/>
      <c r="CM21" s="285"/>
      <c r="CN21" s="285"/>
      <c r="CO21" s="285"/>
      <c r="CP21" s="285"/>
      <c r="CQ21" s="285"/>
      <c r="CR21" s="285"/>
    </row>
    <row r="22" spans="1:96" ht="15.6">
      <c r="A22" s="308"/>
      <c r="B22" s="295"/>
      <c r="C22" s="749"/>
      <c r="D22" s="750"/>
      <c r="E22" s="750"/>
      <c r="F22" s="750"/>
      <c r="G22" s="750"/>
      <c r="H22" s="750"/>
      <c r="I22" s="750"/>
      <c r="J22" s="750"/>
      <c r="K22" s="750"/>
      <c r="L22" s="750"/>
      <c r="M22" s="750"/>
      <c r="N22" s="750"/>
      <c r="O22" s="750"/>
      <c r="P22" s="750"/>
      <c r="Q22" s="750"/>
      <c r="R22" s="750"/>
      <c r="S22" s="750"/>
      <c r="T22" s="750"/>
      <c r="U22" s="750"/>
      <c r="V22" s="751"/>
      <c r="W22" s="731"/>
      <c r="X22" s="285"/>
      <c r="Y22" s="285"/>
      <c r="Z22" s="285"/>
      <c r="AA22" s="285"/>
      <c r="AB22" s="285"/>
      <c r="AC22" s="285"/>
      <c r="AD22" s="285"/>
      <c r="AE22" s="285"/>
      <c r="AF22" s="285"/>
      <c r="AG22" s="285"/>
      <c r="AH22" s="285"/>
      <c r="AI22" s="285"/>
      <c r="AJ22" s="285"/>
      <c r="AK22" s="285"/>
      <c r="AL22" s="285"/>
      <c r="AM22" s="285"/>
      <c r="AN22" s="285"/>
      <c r="AO22" s="285"/>
      <c r="AP22" s="285"/>
      <c r="AQ22" s="285"/>
      <c r="AR22" s="285"/>
      <c r="AS22" s="285"/>
      <c r="AT22" s="285"/>
      <c r="AU22" s="285"/>
      <c r="AV22" s="285"/>
      <c r="AW22" s="285"/>
      <c r="AX22" s="285"/>
      <c r="AY22" s="285"/>
      <c r="AZ22" s="285"/>
      <c r="BA22" s="285"/>
      <c r="BB22" s="285"/>
      <c r="BC22" s="285"/>
      <c r="BD22" s="285"/>
      <c r="BE22" s="285"/>
      <c r="BF22" s="285"/>
      <c r="BG22" s="285"/>
      <c r="BH22" s="285"/>
      <c r="BI22" s="285"/>
      <c r="BJ22" s="285"/>
      <c r="BK22" s="285"/>
      <c r="BL22" s="285"/>
      <c r="BM22" s="285"/>
      <c r="BN22" s="285"/>
      <c r="BO22" s="285"/>
      <c r="BP22" s="285"/>
      <c r="BQ22" s="285"/>
      <c r="BR22" s="285"/>
      <c r="BS22" s="285"/>
      <c r="BT22" s="285"/>
      <c r="BU22" s="285"/>
      <c r="BV22" s="285"/>
      <c r="BW22" s="285"/>
      <c r="BX22" s="285"/>
      <c r="BY22" s="285"/>
      <c r="BZ22" s="285"/>
      <c r="CA22" s="285"/>
      <c r="CB22" s="285"/>
      <c r="CC22" s="285"/>
      <c r="CD22" s="285"/>
      <c r="CE22" s="285"/>
      <c r="CF22" s="285"/>
      <c r="CG22" s="285"/>
      <c r="CH22" s="285"/>
      <c r="CI22" s="285"/>
      <c r="CJ22" s="285"/>
      <c r="CK22" s="285"/>
      <c r="CL22" s="285"/>
      <c r="CM22" s="285"/>
      <c r="CN22" s="285"/>
      <c r="CO22" s="285"/>
      <c r="CP22" s="285"/>
      <c r="CQ22" s="285"/>
      <c r="CR22" s="285"/>
    </row>
    <row r="23" spans="1:96" ht="15.6">
      <c r="A23" s="307" t="s">
        <v>292</v>
      </c>
      <c r="B23" s="295"/>
      <c r="C23" s="749"/>
      <c r="D23" s="750"/>
      <c r="E23" s="750"/>
      <c r="F23" s="750"/>
      <c r="G23" s="750"/>
      <c r="H23" s="750"/>
      <c r="I23" s="750"/>
      <c r="J23" s="750"/>
      <c r="K23" s="750"/>
      <c r="L23" s="750"/>
      <c r="M23" s="750"/>
      <c r="N23" s="750"/>
      <c r="O23" s="750"/>
      <c r="P23" s="750"/>
      <c r="Q23" s="750"/>
      <c r="R23" s="750"/>
      <c r="S23" s="750"/>
      <c r="T23" s="750"/>
      <c r="U23" s="750"/>
      <c r="V23" s="751"/>
      <c r="W23" s="731"/>
      <c r="X23" s="285"/>
      <c r="Y23" s="285"/>
      <c r="Z23" s="285"/>
      <c r="AA23" s="285"/>
      <c r="AB23" s="285"/>
      <c r="AC23" s="285"/>
      <c r="AD23" s="285"/>
      <c r="AE23" s="285"/>
      <c r="AF23" s="285"/>
      <c r="AG23" s="285"/>
      <c r="AH23" s="285"/>
      <c r="AI23" s="285"/>
      <c r="AJ23" s="285"/>
      <c r="AK23" s="285"/>
      <c r="AL23" s="285"/>
      <c r="AM23" s="285"/>
      <c r="AN23" s="285"/>
      <c r="AO23" s="285"/>
      <c r="AP23" s="285"/>
      <c r="AQ23" s="285"/>
      <c r="AR23" s="285"/>
      <c r="AS23" s="285"/>
      <c r="AT23" s="285"/>
      <c r="AU23" s="285"/>
      <c r="AV23" s="285"/>
      <c r="AW23" s="285"/>
      <c r="AX23" s="285"/>
      <c r="AY23" s="285"/>
      <c r="AZ23" s="285"/>
      <c r="BA23" s="285"/>
      <c r="BB23" s="285"/>
      <c r="BC23" s="285"/>
      <c r="BD23" s="285"/>
      <c r="BE23" s="285"/>
      <c r="BF23" s="285"/>
      <c r="BG23" s="285"/>
      <c r="BH23" s="285"/>
      <c r="BI23" s="285"/>
      <c r="BJ23" s="285"/>
      <c r="BK23" s="285"/>
      <c r="BL23" s="285"/>
      <c r="BM23" s="285"/>
      <c r="BN23" s="285"/>
      <c r="BO23" s="285"/>
      <c r="BP23" s="285"/>
      <c r="BQ23" s="285"/>
      <c r="BR23" s="285"/>
      <c r="BS23" s="285"/>
      <c r="BT23" s="285"/>
      <c r="BU23" s="285"/>
      <c r="BV23" s="285"/>
      <c r="BW23" s="285"/>
      <c r="BX23" s="285"/>
      <c r="BY23" s="285"/>
      <c r="BZ23" s="285"/>
      <c r="CA23" s="285"/>
      <c r="CB23" s="285"/>
      <c r="CC23" s="285"/>
      <c r="CD23" s="285"/>
      <c r="CE23" s="285"/>
      <c r="CF23" s="285"/>
      <c r="CG23" s="285"/>
      <c r="CH23" s="285"/>
      <c r="CI23" s="285"/>
      <c r="CJ23" s="285"/>
      <c r="CK23" s="285"/>
      <c r="CL23" s="285"/>
      <c r="CM23" s="285"/>
      <c r="CN23" s="285"/>
      <c r="CO23" s="285"/>
      <c r="CP23" s="285"/>
      <c r="CQ23" s="285"/>
      <c r="CR23" s="285"/>
    </row>
    <row r="24" spans="1:96" ht="15.6">
      <c r="A24" s="308" t="s">
        <v>293</v>
      </c>
      <c r="B24" s="295"/>
      <c r="C24" s="735">
        <f ca="1">'ENA Debt'!C34</f>
        <v>0</v>
      </c>
      <c r="D24" s="736">
        <f ca="1">'ENA Debt'!D34</f>
        <v>9426.17</v>
      </c>
      <c r="E24" s="736">
        <f ca="1">'ENA Debt'!E34</f>
        <v>9264.5</v>
      </c>
      <c r="F24" s="736">
        <f ca="1">'ENA Debt'!F34</f>
        <v>9080.43</v>
      </c>
      <c r="G24" s="736">
        <f ca="1">'ENA Debt'!G34</f>
        <v>8853.23</v>
      </c>
      <c r="H24" s="736">
        <f ca="1">'ENA Debt'!H34</f>
        <v>8589.4699999999993</v>
      </c>
      <c r="I24" s="736">
        <f ca="1">'ENA Debt'!I34</f>
        <v>8311.17</v>
      </c>
      <c r="J24" s="736">
        <f ca="1">'ENA Debt'!J34</f>
        <v>7950.41</v>
      </c>
      <c r="K24" s="736">
        <f ca="1">'ENA Debt'!K34</f>
        <v>7572.8</v>
      </c>
      <c r="L24" s="736">
        <f ca="1">'ENA Debt'!L34</f>
        <v>7099.69</v>
      </c>
      <c r="M24" s="736">
        <f ca="1">'ENA Debt'!M34</f>
        <v>6607.8</v>
      </c>
      <c r="N24" s="736">
        <f ca="1">'ENA Debt'!N34</f>
        <v>6009.53</v>
      </c>
      <c r="O24" s="736">
        <f ca="1">'ENA Debt'!O34</f>
        <v>5408.87</v>
      </c>
      <c r="P24" s="736">
        <f ca="1">'ENA Debt'!P34</f>
        <v>4794.62</v>
      </c>
      <c r="Q24" s="736">
        <f ca="1">'ENA Debt'!Q34</f>
        <v>4165.8599999999997</v>
      </c>
      <c r="R24" s="736">
        <f ca="1">'ENA Debt'!R34</f>
        <v>3454.87</v>
      </c>
      <c r="S24" s="736">
        <f ca="1">'ENA Debt'!S34</f>
        <v>2744.23</v>
      </c>
      <c r="T24" s="736">
        <f ca="1">'ENA Debt'!T34</f>
        <v>2035.48</v>
      </c>
      <c r="U24" s="736"/>
      <c r="V24" s="737"/>
      <c r="W24" s="731"/>
      <c r="X24" s="285"/>
      <c r="Y24" s="285"/>
      <c r="Z24" s="285"/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85"/>
      <c r="AM24" s="285"/>
      <c r="AN24" s="285"/>
      <c r="AO24" s="285"/>
      <c r="AP24" s="285"/>
      <c r="AQ24" s="285"/>
      <c r="AR24" s="285"/>
      <c r="AS24" s="285"/>
      <c r="AT24" s="285"/>
      <c r="AU24" s="285"/>
      <c r="AV24" s="285"/>
      <c r="AW24" s="285"/>
      <c r="AX24" s="285"/>
      <c r="AY24" s="285"/>
      <c r="AZ24" s="285"/>
      <c r="BA24" s="285"/>
      <c r="BB24" s="285"/>
      <c r="BC24" s="285"/>
      <c r="BD24" s="285"/>
      <c r="BE24" s="285"/>
      <c r="BF24" s="285"/>
      <c r="BG24" s="285"/>
      <c r="BH24" s="285"/>
      <c r="BI24" s="285"/>
      <c r="BJ24" s="285"/>
      <c r="BK24" s="285"/>
      <c r="BL24" s="285"/>
      <c r="BM24" s="285"/>
      <c r="BN24" s="285"/>
      <c r="BO24" s="285"/>
      <c r="BP24" s="285"/>
      <c r="BQ24" s="285"/>
      <c r="BR24" s="285"/>
      <c r="BS24" s="285"/>
      <c r="BT24" s="285"/>
      <c r="BU24" s="285"/>
      <c r="BV24" s="285"/>
      <c r="BW24" s="285"/>
      <c r="BX24" s="285"/>
      <c r="BY24" s="285"/>
      <c r="BZ24" s="285"/>
      <c r="CA24" s="285"/>
      <c r="CB24" s="285"/>
      <c r="CC24" s="285"/>
      <c r="CD24" s="285"/>
      <c r="CE24" s="285"/>
      <c r="CF24" s="285"/>
      <c r="CG24" s="285"/>
      <c r="CH24" s="285"/>
      <c r="CI24" s="285"/>
      <c r="CJ24" s="285"/>
      <c r="CK24" s="285"/>
      <c r="CL24" s="285"/>
      <c r="CM24" s="285"/>
      <c r="CN24" s="285"/>
      <c r="CO24" s="285"/>
      <c r="CP24" s="285"/>
      <c r="CQ24" s="285"/>
      <c r="CR24" s="285"/>
    </row>
    <row r="25" spans="1:96" ht="15.6">
      <c r="A25" s="308" t="s">
        <v>294</v>
      </c>
      <c r="B25" s="295"/>
      <c r="C25" s="735">
        <f ca="1">'ENA Debt'!C44</f>
        <v>94.036448769673299</v>
      </c>
      <c r="D25" s="736">
        <f ca="1">'ENA Debt'!D44</f>
        <v>96.29025556432812</v>
      </c>
      <c r="E25" s="736">
        <f ca="1">'ENA Debt'!E44</f>
        <v>97.850986631185336</v>
      </c>
      <c r="F25" s="736">
        <f ca="1">'ENA Debt'!F44</f>
        <v>100.48614431859328</v>
      </c>
      <c r="G25" s="736">
        <f ca="1">'ENA Debt'!G44</f>
        <v>101.86771680459985</v>
      </c>
      <c r="H25" s="736">
        <f ca="1">'ENA Debt'!H44</f>
        <v>105.38724560194991</v>
      </c>
      <c r="I25" s="736">
        <f ca="1">'ENA Debt'!I44</f>
        <v>106.45483660845719</v>
      </c>
      <c r="J25" s="736">
        <f ca="1">'ENA Debt'!J44</f>
        <v>107.45826516743416</v>
      </c>
      <c r="K25" s="736">
        <f ca="1">'ENA Debt'!K44</f>
        <v>105.83581903124734</v>
      </c>
      <c r="L25" s="736">
        <f ca="1">'ENA Debt'!L44</f>
        <v>105.89896048067494</v>
      </c>
      <c r="M25" s="736">
        <f ca="1">'ENA Debt'!M44</f>
        <v>103.10857761875917</v>
      </c>
      <c r="N25" s="736">
        <f ca="1">'ENA Debt'!N44</f>
        <v>100.09377517122884</v>
      </c>
      <c r="O25" s="736">
        <f ca="1">'ENA Debt'!O44</f>
        <v>96.586351171228841</v>
      </c>
      <c r="P25" s="736">
        <f ca="1">'ENA Debt'!P44</f>
        <v>88.25943117122884</v>
      </c>
      <c r="Q25" s="736">
        <f ca="1">'ENA Debt'!Q44</f>
        <v>78.247899585614419</v>
      </c>
      <c r="R25" s="736">
        <f ca="1">'ENA Debt'!R44</f>
        <v>68.526287999999994</v>
      </c>
      <c r="S25" s="736">
        <f ca="1">'ENA Debt'!S44</f>
        <v>62.450650000000003</v>
      </c>
      <c r="T25" s="736">
        <f ca="1">'ENA Debt'!T44</f>
        <v>54.214586666666669</v>
      </c>
      <c r="U25" s="736">
        <f ca="1">'ENA Debt'!U44</f>
        <v>52.24819999999999</v>
      </c>
      <c r="V25" s="736">
        <f ca="1">'ENA Debt'!V44</f>
        <v>50.129040000000003</v>
      </c>
      <c r="W25" s="731"/>
      <c r="X25" s="285"/>
      <c r="Y25" s="285"/>
      <c r="Z25" s="285"/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85"/>
      <c r="AM25" s="285"/>
      <c r="AN25" s="285"/>
      <c r="AO25" s="285"/>
      <c r="AP25" s="285"/>
      <c r="AQ25" s="285"/>
      <c r="AR25" s="285"/>
      <c r="AS25" s="285"/>
      <c r="AT25" s="285"/>
      <c r="AU25" s="285"/>
      <c r="AV25" s="285"/>
      <c r="AW25" s="285"/>
      <c r="AX25" s="285"/>
      <c r="AY25" s="285"/>
      <c r="AZ25" s="285"/>
      <c r="BA25" s="285"/>
      <c r="BB25" s="285"/>
      <c r="BC25" s="285"/>
      <c r="BD25" s="285"/>
      <c r="BE25" s="285"/>
      <c r="BF25" s="285"/>
      <c r="BG25" s="285"/>
      <c r="BH25" s="285"/>
      <c r="BI25" s="285"/>
      <c r="BJ25" s="285"/>
      <c r="BK25" s="285"/>
      <c r="BL25" s="285"/>
      <c r="BM25" s="285"/>
      <c r="BN25" s="285"/>
      <c r="BO25" s="285"/>
      <c r="BP25" s="285"/>
      <c r="BQ25" s="285"/>
      <c r="BR25" s="285"/>
      <c r="BS25" s="285"/>
      <c r="BT25" s="285"/>
      <c r="BU25" s="285"/>
      <c r="BV25" s="285"/>
      <c r="BW25" s="285"/>
      <c r="BX25" s="285"/>
      <c r="BY25" s="285"/>
      <c r="BZ25" s="285"/>
      <c r="CA25" s="285"/>
      <c r="CB25" s="285"/>
      <c r="CC25" s="285"/>
      <c r="CD25" s="285"/>
      <c r="CE25" s="285"/>
      <c r="CF25" s="285"/>
      <c r="CG25" s="285"/>
      <c r="CH25" s="285"/>
      <c r="CI25" s="285"/>
      <c r="CJ25" s="285"/>
      <c r="CK25" s="285"/>
      <c r="CL25" s="285"/>
      <c r="CM25" s="285"/>
      <c r="CN25" s="285"/>
      <c r="CO25" s="285"/>
      <c r="CP25" s="285"/>
      <c r="CQ25" s="285"/>
      <c r="CR25" s="285"/>
    </row>
    <row r="26" spans="1:96" ht="15.6">
      <c r="A26" s="308" t="s">
        <v>295</v>
      </c>
      <c r="B26" s="295"/>
      <c r="C26" s="748">
        <f ca="1">-OandM!C46</f>
        <v>-17.9725</v>
      </c>
      <c r="D26" s="752">
        <f ca="1">-OandM!D46</f>
        <v>-90.326909399999991</v>
      </c>
      <c r="E26" s="752">
        <f ca="1">-OandM!E46</f>
        <v>-164.6348878538</v>
      </c>
      <c r="F26" s="752">
        <f ca="1">-OandM!F46</f>
        <v>-240.94918172585255</v>
      </c>
      <c r="G26" s="752">
        <f ca="1">-OandM!G46</f>
        <v>-319.32396153245054</v>
      </c>
      <c r="H26" s="752">
        <f ca="1">-OandM!H46</f>
        <v>-399.81486039382662</v>
      </c>
      <c r="I26" s="752">
        <f ca="1">-OandM!I46</f>
        <v>-482.4790135244599</v>
      </c>
      <c r="J26" s="752">
        <f ca="1">-OandM!J46</f>
        <v>-567.37509878962021</v>
      </c>
      <c r="K26" s="752">
        <f ca="1">-OandM!K46</f>
        <v>-654.56337835693989</v>
      </c>
      <c r="L26" s="752">
        <f ca="1">-OandM!L46</f>
        <v>-744.10574147257717</v>
      </c>
      <c r="M26" s="752">
        <f ca="1">-OandM!M46</f>
        <v>-836.06574839233656</v>
      </c>
      <c r="N26" s="752">
        <f ca="1">-OandM!N46</f>
        <v>-930.50867549892962</v>
      </c>
      <c r="O26" s="752">
        <f ca="1">-OandM!O46</f>
        <v>0</v>
      </c>
      <c r="P26" s="752">
        <f ca="1">-OandM!P46</f>
        <v>-99.611694064209701</v>
      </c>
      <c r="Q26" s="752">
        <f ca="1">-OandM!Q46</f>
        <v>-201.91290386815305</v>
      </c>
      <c r="R26" s="752">
        <f ca="1">-OandM!R46</f>
        <v>-306.97624633680289</v>
      </c>
      <c r="S26" s="752">
        <f ca="1">-OandM!S46</f>
        <v>-414.87629905210616</v>
      </c>
      <c r="T26" s="752">
        <f ca="1">-OandM!T46</f>
        <v>-525.68965319072265</v>
      </c>
      <c r="U26" s="752">
        <f ca="1">-OandM!U46</f>
        <v>-639.49496789108184</v>
      </c>
      <c r="V26" s="740">
        <f ca="1">-OandM!V46</f>
        <v>-756.37302608835068</v>
      </c>
      <c r="W26" s="731"/>
      <c r="X26" s="285"/>
      <c r="Y26" s="285"/>
      <c r="Z26" s="285"/>
      <c r="AA26" s="285"/>
      <c r="AB26" s="285"/>
      <c r="AC26" s="285"/>
      <c r="AD26" s="285"/>
      <c r="AE26" s="285"/>
      <c r="AF26" s="285"/>
      <c r="AG26" s="285"/>
      <c r="AH26" s="285"/>
      <c r="AI26" s="285"/>
      <c r="AJ26" s="285"/>
      <c r="AK26" s="285"/>
      <c r="AL26" s="285"/>
      <c r="AM26" s="285"/>
      <c r="AN26" s="285"/>
      <c r="AO26" s="285"/>
      <c r="AP26" s="285"/>
      <c r="AQ26" s="285"/>
      <c r="AR26" s="285"/>
      <c r="AS26" s="285"/>
      <c r="AT26" s="285"/>
      <c r="AU26" s="285"/>
      <c r="AV26" s="285"/>
      <c r="AW26" s="285"/>
      <c r="AX26" s="285"/>
      <c r="AY26" s="285"/>
      <c r="AZ26" s="285"/>
      <c r="BA26" s="285"/>
      <c r="BB26" s="285"/>
      <c r="BC26" s="285"/>
      <c r="BD26" s="285"/>
      <c r="BE26" s="285"/>
      <c r="BF26" s="285"/>
      <c r="BG26" s="285"/>
      <c r="BH26" s="285"/>
      <c r="BI26" s="285"/>
      <c r="BJ26" s="285"/>
      <c r="BK26" s="285"/>
      <c r="BL26" s="285"/>
      <c r="BM26" s="285"/>
      <c r="BN26" s="285"/>
      <c r="BO26" s="285"/>
      <c r="BP26" s="285"/>
      <c r="BQ26" s="285"/>
      <c r="BR26" s="285"/>
      <c r="BS26" s="285"/>
      <c r="BT26" s="285"/>
      <c r="BU26" s="285"/>
      <c r="BV26" s="285"/>
      <c r="BW26" s="285"/>
      <c r="BX26" s="285"/>
      <c r="BY26" s="285"/>
      <c r="BZ26" s="285"/>
      <c r="CA26" s="285"/>
      <c r="CB26" s="285"/>
      <c r="CC26" s="285"/>
      <c r="CD26" s="285"/>
      <c r="CE26" s="285"/>
      <c r="CF26" s="285"/>
      <c r="CG26" s="285"/>
      <c r="CH26" s="285"/>
      <c r="CI26" s="285"/>
      <c r="CJ26" s="285"/>
      <c r="CK26" s="285"/>
      <c r="CL26" s="285"/>
      <c r="CM26" s="285"/>
      <c r="CN26" s="285"/>
      <c r="CO26" s="285"/>
      <c r="CP26" s="285"/>
      <c r="CQ26" s="285"/>
      <c r="CR26" s="285"/>
    </row>
    <row r="27" spans="1:96" ht="15.6">
      <c r="A27" s="308" t="s">
        <v>296</v>
      </c>
      <c r="B27" s="295"/>
      <c r="C27" s="735">
        <f t="shared" ref="C27:V27" ca="1" si="3">SUM(C24:C26)</f>
        <v>76.063948769673303</v>
      </c>
      <c r="D27" s="736">
        <f t="shared" ca="1" si="3"/>
        <v>9432.133346164328</v>
      </c>
      <c r="E27" s="736">
        <f t="shared" ca="1" si="3"/>
        <v>9197.7160987773859</v>
      </c>
      <c r="F27" s="736">
        <f t="shared" ca="1" si="3"/>
        <v>8939.9669625927399</v>
      </c>
      <c r="G27" s="736">
        <f t="shared" ca="1" si="3"/>
        <v>8635.7737552721483</v>
      </c>
      <c r="H27" s="736">
        <f t="shared" ca="1" si="3"/>
        <v>8295.042385208124</v>
      </c>
      <c r="I27" s="736">
        <f t="shared" ca="1" si="3"/>
        <v>7935.1458230839962</v>
      </c>
      <c r="J27" s="736">
        <f t="shared" ca="1" si="3"/>
        <v>7490.4931663778143</v>
      </c>
      <c r="K27" s="736">
        <f t="shared" ca="1" si="3"/>
        <v>7024.0724406743075</v>
      </c>
      <c r="L27" s="736">
        <f t="shared" ca="1" si="3"/>
        <v>6461.483219008097</v>
      </c>
      <c r="M27" s="736">
        <f t="shared" ca="1" si="3"/>
        <v>5874.8428292264225</v>
      </c>
      <c r="N27" s="736">
        <f t="shared" ca="1" si="3"/>
        <v>5179.115099672299</v>
      </c>
      <c r="O27" s="736">
        <f t="shared" ca="1" si="3"/>
        <v>5505.4563511712286</v>
      </c>
      <c r="P27" s="736">
        <f t="shared" ca="1" si="3"/>
        <v>4783.2677371070195</v>
      </c>
      <c r="Q27" s="736">
        <f t="shared" ca="1" si="3"/>
        <v>4042.1949957174611</v>
      </c>
      <c r="R27" s="736">
        <f t="shared" ca="1" si="3"/>
        <v>3216.420041663197</v>
      </c>
      <c r="S27" s="736">
        <f t="shared" ca="1" si="3"/>
        <v>2391.8043509478939</v>
      </c>
      <c r="T27" s="736">
        <f t="shared" ca="1" si="3"/>
        <v>1564.0049334759437</v>
      </c>
      <c r="U27" s="736">
        <f t="shared" ca="1" si="3"/>
        <v>-587.24676789108184</v>
      </c>
      <c r="V27" s="737">
        <f t="shared" ca="1" si="3"/>
        <v>-706.24398608835065</v>
      </c>
      <c r="W27" s="731"/>
      <c r="X27" s="285"/>
      <c r="Y27" s="285"/>
      <c r="Z27" s="285"/>
      <c r="AA27" s="285"/>
      <c r="AB27" s="285"/>
      <c r="AC27" s="285"/>
      <c r="AD27" s="285"/>
      <c r="AE27" s="285"/>
      <c r="AF27" s="285"/>
      <c r="AG27" s="285"/>
      <c r="AH27" s="285"/>
      <c r="AI27" s="285"/>
      <c r="AJ27" s="285"/>
      <c r="AK27" s="285"/>
      <c r="AL27" s="285"/>
      <c r="AM27" s="285"/>
      <c r="AN27" s="285"/>
      <c r="AO27" s="285"/>
      <c r="AP27" s="285"/>
      <c r="AQ27" s="285"/>
      <c r="AR27" s="285"/>
      <c r="AS27" s="285"/>
      <c r="AT27" s="285"/>
      <c r="AU27" s="285"/>
      <c r="AV27" s="285"/>
      <c r="AW27" s="285"/>
      <c r="AX27" s="285"/>
      <c r="AY27" s="285"/>
      <c r="AZ27" s="285"/>
      <c r="BA27" s="285"/>
      <c r="BB27" s="285"/>
      <c r="BC27" s="285"/>
      <c r="BD27" s="285"/>
      <c r="BE27" s="285"/>
      <c r="BF27" s="285"/>
      <c r="BG27" s="285"/>
      <c r="BH27" s="285"/>
      <c r="BI27" s="285"/>
      <c r="BJ27" s="285"/>
      <c r="BK27" s="285"/>
      <c r="BL27" s="285"/>
      <c r="BM27" s="285"/>
      <c r="BN27" s="285"/>
      <c r="BO27" s="285"/>
      <c r="BP27" s="285"/>
      <c r="BQ27" s="285"/>
      <c r="BR27" s="285"/>
      <c r="BS27" s="285"/>
      <c r="BT27" s="285"/>
      <c r="BU27" s="285"/>
      <c r="BV27" s="285"/>
      <c r="BW27" s="285"/>
      <c r="BX27" s="285"/>
      <c r="BY27" s="285"/>
      <c r="BZ27" s="285"/>
      <c r="CA27" s="285"/>
      <c r="CB27" s="285"/>
      <c r="CC27" s="285"/>
      <c r="CD27" s="285"/>
      <c r="CE27" s="285"/>
      <c r="CF27" s="285"/>
      <c r="CG27" s="285"/>
      <c r="CH27" s="285"/>
      <c r="CI27" s="285"/>
      <c r="CJ27" s="285"/>
      <c r="CK27" s="285"/>
      <c r="CL27" s="285"/>
      <c r="CM27" s="285"/>
      <c r="CN27" s="285"/>
      <c r="CO27" s="285"/>
      <c r="CP27" s="285"/>
      <c r="CQ27" s="285"/>
      <c r="CR27" s="285"/>
    </row>
    <row r="28" spans="1:96" ht="15.6">
      <c r="A28" s="308"/>
      <c r="B28" s="295"/>
      <c r="C28" s="749"/>
      <c r="D28" s="750"/>
      <c r="E28" s="750"/>
      <c r="F28" s="750"/>
      <c r="G28" s="750"/>
      <c r="H28" s="750"/>
      <c r="I28" s="750"/>
      <c r="J28" s="750"/>
      <c r="K28" s="750"/>
      <c r="L28" s="750"/>
      <c r="M28" s="750"/>
      <c r="N28" s="750"/>
      <c r="O28" s="750"/>
      <c r="P28" s="750"/>
      <c r="Q28" s="750"/>
      <c r="R28" s="750"/>
      <c r="S28" s="750"/>
      <c r="T28" s="750"/>
      <c r="U28" s="750"/>
      <c r="V28" s="751"/>
      <c r="W28" s="731"/>
      <c r="X28" s="285"/>
      <c r="Y28" s="285"/>
      <c r="Z28" s="285"/>
      <c r="AA28" s="285"/>
      <c r="AB28" s="285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  <c r="AM28" s="285"/>
      <c r="AN28" s="285"/>
      <c r="AO28" s="285"/>
      <c r="AP28" s="285"/>
      <c r="AQ28" s="285"/>
      <c r="AR28" s="285"/>
      <c r="AS28" s="285"/>
      <c r="AT28" s="285"/>
      <c r="AU28" s="285"/>
      <c r="AV28" s="285"/>
      <c r="AW28" s="285"/>
      <c r="AX28" s="285"/>
      <c r="AY28" s="285"/>
      <c r="AZ28" s="285"/>
      <c r="BA28" s="285"/>
      <c r="BB28" s="285"/>
      <c r="BC28" s="285"/>
      <c r="BD28" s="285"/>
      <c r="BE28" s="285"/>
      <c r="BF28" s="285"/>
      <c r="BG28" s="285"/>
      <c r="BH28" s="285"/>
      <c r="BI28" s="285"/>
      <c r="BJ28" s="285"/>
      <c r="BK28" s="285"/>
      <c r="BL28" s="285"/>
      <c r="BM28" s="285"/>
      <c r="BN28" s="285"/>
      <c r="BO28" s="285"/>
      <c r="BP28" s="285"/>
      <c r="BQ28" s="285"/>
      <c r="BR28" s="285"/>
      <c r="BS28" s="285"/>
      <c r="BT28" s="285"/>
      <c r="BU28" s="285"/>
      <c r="BV28" s="285"/>
      <c r="BW28" s="285"/>
      <c r="BX28" s="285"/>
      <c r="BY28" s="285"/>
      <c r="BZ28" s="285"/>
      <c r="CA28" s="285"/>
      <c r="CB28" s="285"/>
      <c r="CC28" s="285"/>
      <c r="CD28" s="285"/>
      <c r="CE28" s="285"/>
      <c r="CF28" s="285"/>
      <c r="CG28" s="285"/>
      <c r="CH28" s="285"/>
      <c r="CI28" s="285"/>
      <c r="CJ28" s="285"/>
      <c r="CK28" s="285"/>
      <c r="CL28" s="285"/>
      <c r="CM28" s="285"/>
      <c r="CN28" s="285"/>
      <c r="CO28" s="285"/>
      <c r="CP28" s="285"/>
      <c r="CQ28" s="285"/>
      <c r="CR28" s="285"/>
    </row>
    <row r="29" spans="1:96" ht="15.6">
      <c r="A29" s="307" t="s">
        <v>297</v>
      </c>
      <c r="B29" s="295"/>
      <c r="C29" s="735">
        <f t="shared" ref="C29:V29" ca="1" si="4">C21-C27</f>
        <v>10055.838463019441</v>
      </c>
      <c r="D29" s="736">
        <f t="shared" ca="1" si="4"/>
        <v>18506.39391559513</v>
      </c>
      <c r="E29" s="736">
        <f t="shared" ca="1" si="4"/>
        <v>17523.961259599364</v>
      </c>
      <c r="F29" s="736">
        <f t="shared" ca="1" si="4"/>
        <v>18960.418396909074</v>
      </c>
      <c r="G29" s="736">
        <f t="shared" ca="1" si="4"/>
        <v>19670.925717212693</v>
      </c>
      <c r="H29" s="736">
        <f t="shared" ca="1" si="4"/>
        <v>11511.495507420563</v>
      </c>
      <c r="I29" s="736">
        <f t="shared" ca="1" si="4"/>
        <v>18756.01433146928</v>
      </c>
      <c r="J29" s="736">
        <f t="shared" ca="1" si="4"/>
        <v>26902.354929837933</v>
      </c>
      <c r="K29" s="736">
        <f t="shared" ca="1" si="4"/>
        <v>27782.205446925578</v>
      </c>
      <c r="L29" s="736">
        <f t="shared" ca="1" si="4"/>
        <v>26109.091262108508</v>
      </c>
      <c r="M29" s="736">
        <f t="shared" ca="1" si="4"/>
        <v>27296.728868996892</v>
      </c>
      <c r="N29" s="736">
        <f t="shared" ca="1" si="4"/>
        <v>26121.164680675058</v>
      </c>
      <c r="O29" s="736">
        <f t="shared" ca="1" si="4"/>
        <v>25582.531373722348</v>
      </c>
      <c r="P29" s="736">
        <f t="shared" ca="1" si="4"/>
        <v>23117.529160276299</v>
      </c>
      <c r="Q29" s="736">
        <f t="shared" ca="1" si="4"/>
        <v>29187.442344771658</v>
      </c>
      <c r="R29" s="736">
        <f t="shared" ca="1" si="4"/>
        <v>35555.325963351876</v>
      </c>
      <c r="S29" s="736">
        <f t="shared" ca="1" si="4"/>
        <v>41829.660304694822</v>
      </c>
      <c r="T29" s="736">
        <f t="shared" ca="1" si="4"/>
        <v>43147.502218510686</v>
      </c>
      <c r="U29" s="736">
        <f t="shared" ca="1" si="4"/>
        <v>47211.470944122899</v>
      </c>
      <c r="V29" s="737">
        <f t="shared" ca="1" si="4"/>
        <v>39041.084308702535</v>
      </c>
      <c r="W29" s="731"/>
      <c r="X29" s="285"/>
      <c r="Y29" s="285"/>
      <c r="Z29" s="285"/>
      <c r="AA29" s="285"/>
      <c r="AB29" s="285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85"/>
      <c r="AO29" s="285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85"/>
      <c r="BB29" s="285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85"/>
      <c r="BO29" s="285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85"/>
      <c r="CB29" s="285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85"/>
      <c r="CO29" s="285"/>
      <c r="CP29" s="285"/>
      <c r="CQ29" s="285"/>
      <c r="CR29" s="285"/>
    </row>
    <row r="30" spans="1:96" ht="15.6">
      <c r="A30" s="308"/>
      <c r="B30" s="295"/>
      <c r="C30" s="749"/>
      <c r="D30" s="750"/>
      <c r="E30" s="750"/>
      <c r="F30" s="750"/>
      <c r="G30" s="750"/>
      <c r="H30" s="750"/>
      <c r="I30" s="750"/>
      <c r="J30" s="750"/>
      <c r="K30" s="750"/>
      <c r="L30" s="750"/>
      <c r="M30" s="750"/>
      <c r="N30" s="750"/>
      <c r="O30" s="750"/>
      <c r="P30" s="750"/>
      <c r="Q30" s="750"/>
      <c r="R30" s="750"/>
      <c r="S30" s="750"/>
      <c r="T30" s="750"/>
      <c r="U30" s="750"/>
      <c r="V30" s="751"/>
      <c r="W30" s="731"/>
      <c r="X30" s="285"/>
      <c r="Y30" s="285"/>
      <c r="Z30" s="285"/>
      <c r="AA30" s="285"/>
      <c r="AB30" s="285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85"/>
      <c r="AO30" s="285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85"/>
      <c r="BB30" s="285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85"/>
      <c r="BO30" s="285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85"/>
      <c r="CB30" s="285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85"/>
      <c r="CO30" s="285"/>
      <c r="CP30" s="285"/>
      <c r="CQ30" s="285"/>
      <c r="CR30" s="285"/>
    </row>
    <row r="31" spans="1:96" ht="15.6">
      <c r="A31" s="308" t="s">
        <v>298</v>
      </c>
      <c r="B31" s="309"/>
      <c r="C31" s="748">
        <f ca="1">'BKDEPR 144A'!F67</f>
        <v>3307.0251421248604</v>
      </c>
      <c r="D31" s="752">
        <f ca="1">'BKDEPR 144A'!G67</f>
        <v>5669.1859579283318</v>
      </c>
      <c r="E31" s="752">
        <f ca="1">'BKDEPR 144A'!H67</f>
        <v>5669.1859579283318</v>
      </c>
      <c r="F31" s="752">
        <f ca="1">'BKDEPR 144A'!I67</f>
        <v>5669.1859579283318</v>
      </c>
      <c r="G31" s="752">
        <f ca="1">'BKDEPR 144A'!J67</f>
        <v>5669.1859579283318</v>
      </c>
      <c r="H31" s="752">
        <f ca="1">'BKDEPR 144A'!K67</f>
        <v>5669.1859579283318</v>
      </c>
      <c r="I31" s="752">
        <f ca="1">'BKDEPR 144A'!L67</f>
        <v>5669.1859579283318</v>
      </c>
      <c r="J31" s="752">
        <f ca="1">'BKDEPR 144A'!M67</f>
        <v>5669.1859579283318</v>
      </c>
      <c r="K31" s="752">
        <f ca="1">'BKDEPR 144A'!N67</f>
        <v>5669.1859579283318</v>
      </c>
      <c r="L31" s="752">
        <f ca="1">'BKDEPR 144A'!O67</f>
        <v>5669.1859579283318</v>
      </c>
      <c r="M31" s="752">
        <f ca="1">'BKDEPR 144A'!P67</f>
        <v>5669.1859579283318</v>
      </c>
      <c r="N31" s="752">
        <f ca="1">'BKDEPR 144A'!Q67</f>
        <v>5669.1859579283318</v>
      </c>
      <c r="O31" s="752">
        <f ca="1">'BKDEPR 144A'!R67</f>
        <v>5669.1859579283318</v>
      </c>
      <c r="P31" s="752">
        <f ca="1">'BKDEPR 144A'!S67</f>
        <v>5669.1859579283318</v>
      </c>
      <c r="Q31" s="752">
        <f ca="1">'BKDEPR 144A'!T67</f>
        <v>5669.1859579283318</v>
      </c>
      <c r="R31" s="752">
        <f ca="1">'BKDEPR 144A'!U67</f>
        <v>5669.1859579283318</v>
      </c>
      <c r="S31" s="752">
        <f ca="1">'BKDEPR 144A'!V67</f>
        <v>5669.1859579283318</v>
      </c>
      <c r="T31" s="752">
        <f ca="1">'BKDEPR 144A'!W67</f>
        <v>5669.1859579283318</v>
      </c>
      <c r="U31" s="752">
        <f ca="1">'BKDEPR 144A'!X67</f>
        <v>5669.1859579283318</v>
      </c>
      <c r="V31" s="753">
        <f ca="1">'BKDEPR 144A'!Y67</f>
        <v>5669.1859579283318</v>
      </c>
      <c r="W31" s="731"/>
      <c r="X31" s="285"/>
      <c r="Y31" s="285"/>
      <c r="Z31" s="285"/>
      <c r="AA31" s="285"/>
      <c r="AB31" s="285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85"/>
      <c r="AO31" s="285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85"/>
      <c r="BB31" s="285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85"/>
      <c r="BO31" s="285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85"/>
      <c r="CB31" s="285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85"/>
      <c r="CO31" s="285"/>
      <c r="CP31" s="285"/>
      <c r="CQ31" s="285"/>
      <c r="CR31" s="285"/>
    </row>
    <row r="32" spans="1:96" ht="15.6">
      <c r="A32" s="308"/>
      <c r="B32" s="309"/>
      <c r="C32" s="749"/>
      <c r="D32" s="750"/>
      <c r="E32" s="750"/>
      <c r="F32" s="750"/>
      <c r="G32" s="750"/>
      <c r="H32" s="750"/>
      <c r="I32" s="750"/>
      <c r="J32" s="750"/>
      <c r="K32" s="750"/>
      <c r="L32" s="750"/>
      <c r="M32" s="750"/>
      <c r="N32" s="750"/>
      <c r="O32" s="750"/>
      <c r="P32" s="750"/>
      <c r="Q32" s="750"/>
      <c r="R32" s="750"/>
      <c r="S32" s="750"/>
      <c r="T32" s="750"/>
      <c r="U32" s="750"/>
      <c r="V32" s="751"/>
      <c r="W32" s="731"/>
      <c r="X32" s="285"/>
      <c r="Y32" s="285"/>
      <c r="Z32" s="285"/>
      <c r="AA32" s="285"/>
      <c r="AB32" s="285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5"/>
      <c r="AN32" s="285"/>
      <c r="AO32" s="285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5"/>
      <c r="BA32" s="285"/>
      <c r="BB32" s="285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5"/>
      <c r="BN32" s="285"/>
      <c r="BO32" s="285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5"/>
      <c r="CA32" s="285"/>
      <c r="CB32" s="285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5"/>
      <c r="CN32" s="285"/>
      <c r="CO32" s="285"/>
      <c r="CP32" s="285"/>
      <c r="CQ32" s="285"/>
      <c r="CR32" s="285"/>
    </row>
    <row r="33" spans="1:96" ht="15.6">
      <c r="A33" s="306" t="s">
        <v>299</v>
      </c>
      <c r="B33" s="310"/>
      <c r="C33" s="741">
        <f t="shared" ref="C33:V33" ca="1" si="5">C29-C31</f>
        <v>6748.813320894581</v>
      </c>
      <c r="D33" s="742">
        <f t="shared" ca="1" si="5"/>
        <v>12837.207957666798</v>
      </c>
      <c r="E33" s="742">
        <f t="shared" ca="1" si="5"/>
        <v>11854.775301671032</v>
      </c>
      <c r="F33" s="742">
        <f t="shared" ca="1" si="5"/>
        <v>13291.232438980742</v>
      </c>
      <c r="G33" s="742">
        <f t="shared" ca="1" si="5"/>
        <v>14001.739759284361</v>
      </c>
      <c r="H33" s="742">
        <f t="shared" ca="1" si="5"/>
        <v>5842.3095494922309</v>
      </c>
      <c r="I33" s="742">
        <f t="shared" ca="1" si="5"/>
        <v>13086.828373540948</v>
      </c>
      <c r="J33" s="742">
        <f t="shared" ca="1" si="5"/>
        <v>21233.168971909603</v>
      </c>
      <c r="K33" s="742">
        <f t="shared" ca="1" si="5"/>
        <v>22113.019488997248</v>
      </c>
      <c r="L33" s="742">
        <f t="shared" ca="1" si="5"/>
        <v>20439.905304180174</v>
      </c>
      <c r="M33" s="742">
        <f t="shared" ca="1" si="5"/>
        <v>21627.542911068558</v>
      </c>
      <c r="N33" s="742">
        <f t="shared" ca="1" si="5"/>
        <v>20451.978722746724</v>
      </c>
      <c r="O33" s="742">
        <f t="shared" ca="1" si="5"/>
        <v>19913.345415794014</v>
      </c>
      <c r="P33" s="742">
        <f t="shared" ca="1" si="5"/>
        <v>17448.343202347969</v>
      </c>
      <c r="Q33" s="742">
        <f t="shared" ca="1" si="5"/>
        <v>23518.256386843328</v>
      </c>
      <c r="R33" s="742">
        <f t="shared" ca="1" si="5"/>
        <v>29886.140005423542</v>
      </c>
      <c r="S33" s="742">
        <f t="shared" ca="1" si="5"/>
        <v>36160.474346766488</v>
      </c>
      <c r="T33" s="742">
        <f t="shared" ca="1" si="5"/>
        <v>37478.316260582353</v>
      </c>
      <c r="U33" s="742">
        <f t="shared" ca="1" si="5"/>
        <v>41542.284986194565</v>
      </c>
      <c r="V33" s="744">
        <f t="shared" ca="1" si="5"/>
        <v>33371.898350774201</v>
      </c>
      <c r="W33" s="731"/>
      <c r="X33" s="285"/>
      <c r="Y33" s="285"/>
      <c r="Z33" s="285"/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85"/>
      <c r="AM33" s="285"/>
      <c r="AN33" s="285"/>
      <c r="AO33" s="285"/>
      <c r="AP33" s="285"/>
      <c r="AQ33" s="285"/>
      <c r="AR33" s="285"/>
      <c r="AS33" s="285"/>
      <c r="AT33" s="285"/>
      <c r="AU33" s="285"/>
      <c r="AV33" s="285"/>
      <c r="AW33" s="285"/>
      <c r="AX33" s="285"/>
      <c r="AY33" s="285"/>
      <c r="AZ33" s="285"/>
      <c r="BA33" s="285"/>
      <c r="BB33" s="285"/>
      <c r="BC33" s="285"/>
      <c r="BD33" s="285"/>
      <c r="BE33" s="285"/>
      <c r="BF33" s="285"/>
      <c r="BG33" s="285"/>
      <c r="BH33" s="285"/>
      <c r="BI33" s="285"/>
      <c r="BJ33" s="285"/>
      <c r="BK33" s="285"/>
      <c r="BL33" s="285"/>
      <c r="BM33" s="285"/>
      <c r="BN33" s="285"/>
      <c r="BO33" s="285"/>
      <c r="BP33" s="285"/>
      <c r="BQ33" s="285"/>
      <c r="BR33" s="285"/>
      <c r="BS33" s="285"/>
      <c r="BT33" s="285"/>
      <c r="BU33" s="285"/>
      <c r="BV33" s="285"/>
      <c r="BW33" s="285"/>
      <c r="BX33" s="285"/>
      <c r="BY33" s="285"/>
      <c r="BZ33" s="285"/>
      <c r="CA33" s="285"/>
      <c r="CB33" s="285"/>
      <c r="CC33" s="285"/>
      <c r="CD33" s="285"/>
      <c r="CE33" s="285"/>
      <c r="CF33" s="285"/>
      <c r="CG33" s="285"/>
      <c r="CH33" s="285"/>
      <c r="CI33" s="285"/>
      <c r="CJ33" s="285"/>
      <c r="CK33" s="285"/>
      <c r="CL33" s="285"/>
      <c r="CM33" s="285"/>
      <c r="CN33" s="285"/>
      <c r="CO33" s="285"/>
      <c r="CP33" s="285"/>
      <c r="CQ33" s="285"/>
      <c r="CR33" s="285"/>
    </row>
    <row r="34" spans="1:96" ht="15.6">
      <c r="A34" s="306"/>
      <c r="B34" s="310"/>
      <c r="C34" s="741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4"/>
      <c r="W34" s="731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85"/>
      <c r="AM34" s="285"/>
      <c r="AN34" s="285"/>
      <c r="AO34" s="285"/>
      <c r="AP34" s="285"/>
      <c r="AQ34" s="285"/>
      <c r="AR34" s="285"/>
      <c r="AS34" s="285"/>
      <c r="AT34" s="285"/>
      <c r="AU34" s="285"/>
      <c r="AV34" s="285"/>
      <c r="AW34" s="285"/>
      <c r="AX34" s="285"/>
      <c r="AY34" s="285"/>
      <c r="AZ34" s="285"/>
      <c r="BA34" s="285"/>
      <c r="BB34" s="285"/>
      <c r="BC34" s="285"/>
      <c r="BD34" s="285"/>
      <c r="BE34" s="285"/>
      <c r="BF34" s="285"/>
      <c r="BG34" s="285"/>
      <c r="BH34" s="285"/>
      <c r="BI34" s="285"/>
      <c r="BJ34" s="285"/>
      <c r="BK34" s="285"/>
      <c r="BL34" s="285"/>
      <c r="BM34" s="285"/>
      <c r="BN34" s="285"/>
      <c r="BO34" s="285"/>
      <c r="BP34" s="285"/>
      <c r="BQ34" s="285"/>
      <c r="BR34" s="285"/>
      <c r="BS34" s="285"/>
      <c r="BT34" s="285"/>
      <c r="BU34" s="285"/>
      <c r="BV34" s="285"/>
      <c r="BW34" s="285"/>
      <c r="BX34" s="285"/>
      <c r="BY34" s="285"/>
      <c r="BZ34" s="285"/>
      <c r="CA34" s="285"/>
      <c r="CB34" s="285"/>
      <c r="CC34" s="285"/>
      <c r="CD34" s="285"/>
      <c r="CE34" s="285"/>
      <c r="CF34" s="285"/>
      <c r="CG34" s="285"/>
      <c r="CH34" s="285"/>
      <c r="CI34" s="285"/>
      <c r="CJ34" s="285"/>
      <c r="CK34" s="285"/>
      <c r="CL34" s="285"/>
      <c r="CM34" s="285"/>
      <c r="CN34" s="285"/>
      <c r="CO34" s="285"/>
      <c r="CP34" s="285"/>
      <c r="CQ34" s="285"/>
      <c r="CR34" s="285"/>
    </row>
    <row r="35" spans="1:96" ht="15.6">
      <c r="A35" s="308" t="s">
        <v>300</v>
      </c>
      <c r="B35" s="309"/>
      <c r="C35" s="735">
        <f>'TAXES-ENA'!C14</f>
        <v>325.51323265238909</v>
      </c>
      <c r="D35" s="736">
        <f ca="1">'TAXES-ENA'!D14</f>
        <v>111.36912903510456</v>
      </c>
      <c r="E35" s="736">
        <f ca="1">'TAXES-ENA'!E14</f>
        <v>138.83497364761334</v>
      </c>
      <c r="F35" s="736">
        <f ca="1">'TAXES-ENA'!F14</f>
        <v>302.33822649295035</v>
      </c>
      <c r="G35" s="736">
        <f ca="1">'TAXES-ENA'!G14</f>
        <v>415.00770682552138</v>
      </c>
      <c r="H35" s="736">
        <f ca="1">'TAXES-ENA'!H14</f>
        <v>124.01021597455178</v>
      </c>
      <c r="I35" s="736">
        <f ca="1">'TAXES-ENA'!I14</f>
        <v>588.69807732362676</v>
      </c>
      <c r="J35" s="736">
        <f ca="1">'TAXES-ENA'!J14</f>
        <v>1077.4785132257459</v>
      </c>
      <c r="K35" s="736">
        <f ca="1">'TAXES-ENA'!K14</f>
        <v>1129.3599463144546</v>
      </c>
      <c r="L35" s="736">
        <f ca="1">'TAXES-ENA'!L14</f>
        <v>1029.8826931619806</v>
      </c>
      <c r="M35" s="736">
        <f ca="1">'TAXES-ENA'!M14</f>
        <v>1100.2313516387335</v>
      </c>
      <c r="N35" s="736">
        <f ca="1">'TAXES-ENA'!N14</f>
        <v>1030.6070982759734</v>
      </c>
      <c r="O35" s="736">
        <f ca="1">'TAXES-ENA'!O14</f>
        <v>997.37950192226083</v>
      </c>
      <c r="P35" s="736">
        <f ca="1">'TAXES-ENA'!P14</f>
        <v>850.38896705204797</v>
      </c>
      <c r="Q35" s="736">
        <f ca="1">'TAXES-ENA'!Q14</f>
        <v>1213.6741601852193</v>
      </c>
      <c r="R35" s="736">
        <f ca="1">'TAXES-ENA'!R14</f>
        <v>1864.9881665188473</v>
      </c>
      <c r="S35" s="736">
        <f ca="1">'TAXES-ENA'!S14</f>
        <v>2509.7796182816892</v>
      </c>
      <c r="T35" s="736">
        <f ca="1">'TAXES-ENA'!T14</f>
        <v>2588.8501331106413</v>
      </c>
      <c r="U35" s="736">
        <f ca="1">'TAXES-ENA'!U14</f>
        <v>2832.6882566473737</v>
      </c>
      <c r="V35" s="736">
        <f ca="1">'TAXES-ENA'!V14</f>
        <v>2342.465058522152</v>
      </c>
      <c r="W35" s="731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  <c r="AT35" s="285"/>
      <c r="AU35" s="285"/>
      <c r="AV35" s="285"/>
      <c r="AW35" s="285"/>
      <c r="AX35" s="285"/>
      <c r="AY35" s="285"/>
      <c r="AZ35" s="285"/>
      <c r="BA35" s="285"/>
      <c r="BB35" s="285"/>
      <c r="BC35" s="285"/>
      <c r="BD35" s="285"/>
      <c r="BE35" s="285"/>
      <c r="BF35" s="285"/>
      <c r="BG35" s="285"/>
      <c r="BH35" s="285"/>
      <c r="BI35" s="285"/>
      <c r="BJ35" s="285"/>
      <c r="BK35" s="285"/>
      <c r="BL35" s="285"/>
      <c r="BM35" s="285"/>
      <c r="BN35" s="285"/>
      <c r="BO35" s="285"/>
      <c r="BP35" s="285"/>
      <c r="BQ35" s="285"/>
      <c r="BR35" s="285"/>
      <c r="BS35" s="285"/>
      <c r="BT35" s="285"/>
      <c r="BU35" s="285"/>
      <c r="BV35" s="285"/>
      <c r="BW35" s="285"/>
      <c r="BX35" s="285"/>
      <c r="BY35" s="285"/>
      <c r="BZ35" s="285"/>
      <c r="CA35" s="285"/>
      <c r="CB35" s="285"/>
      <c r="CC35" s="285"/>
      <c r="CD35" s="285"/>
      <c r="CE35" s="285"/>
      <c r="CF35" s="285"/>
      <c r="CG35" s="285"/>
      <c r="CH35" s="285"/>
      <c r="CI35" s="285"/>
      <c r="CJ35" s="285"/>
      <c r="CK35" s="285"/>
      <c r="CL35" s="285"/>
      <c r="CM35" s="285"/>
      <c r="CN35" s="285"/>
      <c r="CO35" s="285"/>
      <c r="CP35" s="285"/>
      <c r="CQ35" s="285"/>
      <c r="CR35" s="285"/>
    </row>
    <row r="36" spans="1:96" ht="15.6">
      <c r="A36" s="303" t="s">
        <v>301</v>
      </c>
      <c r="B36" s="309"/>
      <c r="C36" s="748">
        <f ca="1">(+C33-C35)*'TAXES-ENA'!C26</f>
        <v>2248.1550308847673</v>
      </c>
      <c r="D36" s="752">
        <f ca="1">(+D33-D35)*'TAXES-ENA'!D26</f>
        <v>4454.0435900210923</v>
      </c>
      <c r="E36" s="752">
        <f ca="1">(+E33-E35)*'TAXES-ENA'!E26</f>
        <v>4100.5791148081962</v>
      </c>
      <c r="F36" s="752">
        <f ca="1">(+F33-F35)*'TAXES-ENA'!F26</f>
        <v>4546.112974370727</v>
      </c>
      <c r="G36" s="752">
        <f ca="1">(+G33-G35)*'TAXES-ENA'!G26</f>
        <v>4755.3562183605936</v>
      </c>
      <c r="H36" s="752">
        <f ca="1">(+H33-H35)*'TAXES-ENA'!H26</f>
        <v>2001.4047667311875</v>
      </c>
      <c r="I36" s="752">
        <f ca="1">(+I33-I35)*'TAXES-ENA'!I26</f>
        <v>4374.3456036760617</v>
      </c>
      <c r="J36" s="752">
        <f ca="1">(+J33-J35)*'TAXES-ENA'!J26</f>
        <v>7054.4916605393501</v>
      </c>
      <c r="K36" s="752">
        <f ca="1">(+K33-K35)*'TAXES-ENA'!K26</f>
        <v>7344.2808399389769</v>
      </c>
      <c r="L36" s="752">
        <f ca="1">(+L33-L35)*'TAXES-ENA'!L26</f>
        <v>6793.5079138563678</v>
      </c>
      <c r="M36" s="752">
        <f ca="1">(+M33-M35)*'TAXES-ENA'!M26</f>
        <v>7184.5590458004381</v>
      </c>
      <c r="N36" s="752">
        <f ca="1">(+N33-N35)*'TAXES-ENA'!N26</f>
        <v>6797.4800685647624</v>
      </c>
      <c r="O36" s="752">
        <f ca="1">(+O33-O35)*'TAXES-ENA'!O26</f>
        <v>6620.5880698551136</v>
      </c>
      <c r="P36" s="752">
        <f ca="1">(+P33-P35)*'TAXES-ENA'!P26</f>
        <v>5809.2839823535724</v>
      </c>
      <c r="Q36" s="752">
        <f ca="1">(+Q33-Q35)*'TAXES-ENA'!Q26</f>
        <v>7806.6037793303376</v>
      </c>
      <c r="R36" s="752">
        <f ca="1">(+R33-R35)*'TAXES-ENA'!R26</f>
        <v>9807.4031436166424</v>
      </c>
      <c r="S36" s="752">
        <f ca="1">(+S33-S35)*'TAXES-ENA'!S26</f>
        <v>11777.743154969679</v>
      </c>
      <c r="T36" s="752">
        <f ca="1">(+T33-T35)*'TAXES-ENA'!T26</f>
        <v>12211.3131446151</v>
      </c>
      <c r="U36" s="752">
        <f ca="1">(+U33-U35)*'TAXES-ENA'!U26</f>
        <v>13548.358855341517</v>
      </c>
      <c r="V36" s="752">
        <f ca="1">(+V33-V35)*'TAXES-ENA'!V26</f>
        <v>10860.301652288215</v>
      </c>
      <c r="W36" s="731"/>
      <c r="X36" s="285"/>
      <c r="Y36" s="285"/>
      <c r="Z36" s="285"/>
      <c r="AA36" s="285"/>
      <c r="AB36" s="285"/>
      <c r="AC36" s="285"/>
      <c r="AD36" s="285"/>
      <c r="AE36" s="285"/>
      <c r="AF36" s="285"/>
      <c r="AG36" s="285"/>
      <c r="AH36" s="285"/>
      <c r="AI36" s="285"/>
      <c r="AJ36" s="285"/>
      <c r="AK36" s="285"/>
      <c r="AL36" s="285"/>
      <c r="AM36" s="285"/>
      <c r="AN36" s="285"/>
      <c r="AO36" s="285"/>
      <c r="AP36" s="285"/>
      <c r="AQ36" s="285"/>
      <c r="AR36" s="285"/>
      <c r="AS36" s="285"/>
      <c r="AT36" s="285"/>
      <c r="AU36" s="285"/>
      <c r="AV36" s="285"/>
      <c r="AW36" s="285"/>
      <c r="AX36" s="285"/>
      <c r="AY36" s="285"/>
      <c r="AZ36" s="285"/>
      <c r="BA36" s="285"/>
      <c r="BB36" s="285"/>
      <c r="BC36" s="285"/>
      <c r="BD36" s="285"/>
      <c r="BE36" s="285"/>
      <c r="BF36" s="285"/>
      <c r="BG36" s="285"/>
      <c r="BH36" s="285"/>
      <c r="BI36" s="285"/>
      <c r="BJ36" s="285"/>
      <c r="BK36" s="285"/>
      <c r="BL36" s="285"/>
      <c r="BM36" s="285"/>
      <c r="BN36" s="285"/>
      <c r="BO36" s="285"/>
      <c r="BP36" s="285"/>
      <c r="BQ36" s="285"/>
      <c r="BR36" s="285"/>
      <c r="BS36" s="285"/>
      <c r="BT36" s="285"/>
      <c r="BU36" s="285"/>
      <c r="BV36" s="285"/>
      <c r="BW36" s="285"/>
      <c r="BX36" s="285"/>
      <c r="BY36" s="285"/>
      <c r="BZ36" s="285"/>
      <c r="CA36" s="285"/>
      <c r="CB36" s="285"/>
      <c r="CC36" s="285"/>
      <c r="CD36" s="285"/>
      <c r="CE36" s="285"/>
      <c r="CF36" s="285"/>
      <c r="CG36" s="285"/>
      <c r="CH36" s="285"/>
      <c r="CI36" s="285"/>
      <c r="CJ36" s="285"/>
      <c r="CK36" s="285"/>
      <c r="CL36" s="285"/>
      <c r="CM36" s="285"/>
      <c r="CN36" s="285"/>
      <c r="CO36" s="285"/>
      <c r="CP36" s="285"/>
      <c r="CQ36" s="285"/>
      <c r="CR36" s="285"/>
    </row>
    <row r="37" spans="1:96" ht="15.6">
      <c r="A37" s="303" t="s">
        <v>302</v>
      </c>
      <c r="B37" s="309"/>
      <c r="C37" s="735">
        <f t="shared" ref="C37:V37" ca="1" si="6">C36+C35</f>
        <v>2573.6682635371562</v>
      </c>
      <c r="D37" s="736">
        <f t="shared" ca="1" si="6"/>
        <v>4565.4127190561967</v>
      </c>
      <c r="E37" s="736">
        <f t="shared" ca="1" si="6"/>
        <v>4239.4140884558092</v>
      </c>
      <c r="F37" s="736">
        <f t="shared" ca="1" si="6"/>
        <v>4848.4512008636775</v>
      </c>
      <c r="G37" s="736">
        <f t="shared" ca="1" si="6"/>
        <v>5170.363925186115</v>
      </c>
      <c r="H37" s="736">
        <f t="shared" ca="1" si="6"/>
        <v>2125.414982705739</v>
      </c>
      <c r="I37" s="736">
        <f t="shared" ca="1" si="6"/>
        <v>4963.0436809996881</v>
      </c>
      <c r="J37" s="736">
        <f t="shared" ca="1" si="6"/>
        <v>8131.9701737650958</v>
      </c>
      <c r="K37" s="736">
        <f t="shared" ca="1" si="6"/>
        <v>8473.6407862534325</v>
      </c>
      <c r="L37" s="736">
        <f t="shared" ca="1" si="6"/>
        <v>7823.3906070183484</v>
      </c>
      <c r="M37" s="736">
        <f t="shared" ca="1" si="6"/>
        <v>8284.790397439172</v>
      </c>
      <c r="N37" s="736">
        <f t="shared" ca="1" si="6"/>
        <v>7828.0871668407362</v>
      </c>
      <c r="O37" s="736">
        <f t="shared" ca="1" si="6"/>
        <v>7617.9675717773744</v>
      </c>
      <c r="P37" s="736">
        <f t="shared" ca="1" si="6"/>
        <v>6659.6729494056199</v>
      </c>
      <c r="Q37" s="736">
        <f t="shared" ca="1" si="6"/>
        <v>9020.2779395155576</v>
      </c>
      <c r="R37" s="736">
        <f t="shared" ca="1" si="6"/>
        <v>11672.39131013549</v>
      </c>
      <c r="S37" s="736">
        <f t="shared" ca="1" si="6"/>
        <v>14287.522773251369</v>
      </c>
      <c r="T37" s="736">
        <f t="shared" ca="1" si="6"/>
        <v>14800.163277725742</v>
      </c>
      <c r="U37" s="736">
        <f t="shared" ca="1" si="6"/>
        <v>16381.047111988892</v>
      </c>
      <c r="V37" s="737">
        <f t="shared" ca="1" si="6"/>
        <v>13202.766710810367</v>
      </c>
      <c r="W37" s="731"/>
      <c r="X37" s="285"/>
      <c r="Y37" s="285"/>
      <c r="Z37" s="285"/>
      <c r="AA37" s="285"/>
      <c r="AB37" s="285"/>
      <c r="AC37" s="285"/>
      <c r="AD37" s="285"/>
      <c r="AE37" s="285"/>
      <c r="AF37" s="285"/>
      <c r="AG37" s="285"/>
      <c r="AH37" s="285"/>
      <c r="AI37" s="285"/>
      <c r="AJ37" s="285"/>
      <c r="AK37" s="285"/>
      <c r="AL37" s="285"/>
      <c r="AM37" s="285"/>
      <c r="AN37" s="285"/>
      <c r="AO37" s="285"/>
      <c r="AP37" s="285"/>
      <c r="AQ37" s="285"/>
      <c r="AR37" s="285"/>
      <c r="AS37" s="285"/>
      <c r="AT37" s="285"/>
      <c r="AU37" s="285"/>
      <c r="AV37" s="285"/>
      <c r="AW37" s="285"/>
      <c r="AX37" s="285"/>
      <c r="AY37" s="285"/>
      <c r="AZ37" s="285"/>
      <c r="BA37" s="285"/>
      <c r="BB37" s="285"/>
      <c r="BC37" s="285"/>
      <c r="BD37" s="285"/>
      <c r="BE37" s="285"/>
      <c r="BF37" s="285"/>
      <c r="BG37" s="285"/>
      <c r="BH37" s="285"/>
      <c r="BI37" s="285"/>
      <c r="BJ37" s="285"/>
      <c r="BK37" s="285"/>
      <c r="BL37" s="285"/>
      <c r="BM37" s="285"/>
      <c r="BN37" s="285"/>
      <c r="BO37" s="285"/>
      <c r="BP37" s="285"/>
      <c r="BQ37" s="285"/>
      <c r="BR37" s="285"/>
      <c r="BS37" s="285"/>
      <c r="BT37" s="285"/>
      <c r="BU37" s="285"/>
      <c r="BV37" s="285"/>
      <c r="BW37" s="285"/>
      <c r="BX37" s="285"/>
      <c r="BY37" s="285"/>
      <c r="BZ37" s="285"/>
      <c r="CA37" s="285"/>
      <c r="CB37" s="285"/>
      <c r="CC37" s="285"/>
      <c r="CD37" s="285"/>
      <c r="CE37" s="285"/>
      <c r="CF37" s="285"/>
      <c r="CG37" s="285"/>
      <c r="CH37" s="285"/>
      <c r="CI37" s="285"/>
      <c r="CJ37" s="285"/>
      <c r="CK37" s="285"/>
      <c r="CL37" s="285"/>
      <c r="CM37" s="285"/>
      <c r="CN37" s="285"/>
      <c r="CO37" s="285"/>
      <c r="CP37" s="285"/>
      <c r="CQ37" s="285"/>
      <c r="CR37" s="285"/>
    </row>
    <row r="38" spans="1:96" ht="15.6">
      <c r="A38" s="303"/>
      <c r="B38" s="309"/>
      <c r="C38" s="748"/>
      <c r="D38" s="752"/>
      <c r="E38" s="752"/>
      <c r="F38" s="752"/>
      <c r="G38" s="752"/>
      <c r="H38" s="752"/>
      <c r="I38" s="752"/>
      <c r="J38" s="752"/>
      <c r="K38" s="752"/>
      <c r="L38" s="752"/>
      <c r="M38" s="752"/>
      <c r="N38" s="752"/>
      <c r="O38" s="752"/>
      <c r="P38" s="752"/>
      <c r="Q38" s="752"/>
      <c r="R38" s="752"/>
      <c r="S38" s="752"/>
      <c r="T38" s="752"/>
      <c r="U38" s="752"/>
      <c r="V38" s="753"/>
      <c r="W38" s="731"/>
      <c r="X38" s="285"/>
      <c r="Y38" s="285"/>
      <c r="Z38" s="285"/>
      <c r="AA38" s="285"/>
      <c r="AB38" s="285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85"/>
      <c r="AO38" s="285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85"/>
      <c r="BB38" s="285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85"/>
      <c r="BO38" s="285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85"/>
      <c r="CB38" s="285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85"/>
      <c r="CO38" s="285"/>
      <c r="CP38" s="285"/>
      <c r="CQ38" s="285"/>
      <c r="CR38" s="285"/>
    </row>
    <row r="39" spans="1:96" ht="16.2" thickBot="1">
      <c r="A39" s="311" t="s">
        <v>303</v>
      </c>
      <c r="B39" s="285"/>
      <c r="C39" s="755">
        <f t="shared" ref="C39:V39" ca="1" si="7">C33-C37</f>
        <v>4175.1450573574248</v>
      </c>
      <c r="D39" s="756">
        <f t="shared" ca="1" si="7"/>
        <v>8271.7952386106008</v>
      </c>
      <c r="E39" s="756">
        <f t="shared" ca="1" si="7"/>
        <v>7615.361213215223</v>
      </c>
      <c r="F39" s="756">
        <f t="shared" ca="1" si="7"/>
        <v>8442.7812381170643</v>
      </c>
      <c r="G39" s="756">
        <f t="shared" ca="1" si="7"/>
        <v>8831.3758340982458</v>
      </c>
      <c r="H39" s="756">
        <f t="shared" ca="1" si="7"/>
        <v>3716.8945667864919</v>
      </c>
      <c r="I39" s="756">
        <f t="shared" ca="1" si="7"/>
        <v>8123.7846925412596</v>
      </c>
      <c r="J39" s="756">
        <f t="shared" ca="1" si="7"/>
        <v>13101.198798144507</v>
      </c>
      <c r="K39" s="756">
        <f t="shared" ca="1" si="7"/>
        <v>13639.378702743816</v>
      </c>
      <c r="L39" s="756">
        <f t="shared" ca="1" si="7"/>
        <v>12616.514697161827</v>
      </c>
      <c r="M39" s="756">
        <f t="shared" ca="1" si="7"/>
        <v>13342.752513629386</v>
      </c>
      <c r="N39" s="756">
        <f t="shared" ca="1" si="7"/>
        <v>12623.891555905988</v>
      </c>
      <c r="O39" s="756">
        <f t="shared" ca="1" si="7"/>
        <v>12295.377844016639</v>
      </c>
      <c r="P39" s="756">
        <f t="shared" ca="1" si="7"/>
        <v>10788.670252942349</v>
      </c>
      <c r="Q39" s="756">
        <f t="shared" ca="1" si="7"/>
        <v>14497.97844732777</v>
      </c>
      <c r="R39" s="756">
        <f t="shared" ca="1" si="7"/>
        <v>18213.74869528805</v>
      </c>
      <c r="S39" s="756">
        <f t="shared" ca="1" si="7"/>
        <v>21872.951573515122</v>
      </c>
      <c r="T39" s="756">
        <f t="shared" ca="1" si="7"/>
        <v>22678.152982856613</v>
      </c>
      <c r="U39" s="756">
        <f t="shared" ca="1" si="7"/>
        <v>25161.237874205675</v>
      </c>
      <c r="V39" s="757">
        <f t="shared" ca="1" si="7"/>
        <v>20169.131639963834</v>
      </c>
      <c r="W39" s="731"/>
      <c r="X39" s="285"/>
      <c r="Y39" s="285"/>
      <c r="Z39" s="285"/>
      <c r="AA39" s="285"/>
      <c r="AB39" s="285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85"/>
      <c r="AO39" s="285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85"/>
      <c r="BB39" s="285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85"/>
      <c r="BO39" s="285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85"/>
      <c r="CB39" s="285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85"/>
      <c r="CO39" s="285"/>
      <c r="CP39" s="285"/>
      <c r="CQ39" s="285"/>
      <c r="CR39" s="285"/>
    </row>
    <row r="40" spans="1:96" ht="16.2" thickTop="1">
      <c r="A40" s="312"/>
      <c r="B40" s="312"/>
      <c r="C40" s="731"/>
      <c r="D40" s="731"/>
      <c r="E40" s="731"/>
      <c r="F40" s="731"/>
      <c r="G40" s="731"/>
      <c r="H40" s="731"/>
      <c r="I40" s="731"/>
      <c r="J40" s="731"/>
      <c r="K40" s="731"/>
      <c r="L40" s="731"/>
      <c r="M40" s="731"/>
      <c r="N40" s="731"/>
      <c r="O40" s="731"/>
      <c r="P40" s="731"/>
      <c r="Q40" s="731"/>
      <c r="R40" s="731"/>
      <c r="S40" s="731"/>
      <c r="T40" s="731"/>
      <c r="U40" s="731"/>
      <c r="V40" s="731"/>
      <c r="W40" s="285"/>
      <c r="X40" s="285"/>
      <c r="Y40" s="285"/>
      <c r="Z40" s="285"/>
      <c r="AA40" s="285"/>
      <c r="AB40" s="285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85"/>
      <c r="AO40" s="285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85"/>
      <c r="BB40" s="285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85"/>
      <c r="BO40" s="285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85"/>
      <c r="CB40" s="285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85"/>
      <c r="CO40" s="285"/>
      <c r="CP40" s="285"/>
      <c r="CQ40" s="285"/>
      <c r="CR40" s="285"/>
    </row>
    <row r="41" spans="1:96" ht="15.6">
      <c r="A41" s="285"/>
      <c r="B41" s="285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99"/>
      <c r="X41" s="299"/>
      <c r="Y41" s="295"/>
      <c r="Z41" s="295"/>
      <c r="AA41" s="295"/>
      <c r="AB41" s="295"/>
      <c r="AC41" s="295"/>
      <c r="AD41" s="295"/>
      <c r="AE41" s="295"/>
      <c r="AF41" s="295"/>
      <c r="AG41" s="295"/>
      <c r="AH41" s="295"/>
      <c r="AI41" s="295"/>
      <c r="AJ41" s="295"/>
      <c r="AK41" s="295"/>
      <c r="AL41" s="295"/>
      <c r="AM41" s="295"/>
      <c r="AN41" s="295"/>
      <c r="AO41" s="295"/>
      <c r="AP41" s="295"/>
      <c r="AQ41" s="295"/>
      <c r="AR41" s="295"/>
      <c r="AS41" s="295"/>
      <c r="AT41" s="295"/>
      <c r="AU41" s="295"/>
      <c r="AV41" s="295"/>
      <c r="AW41" s="295"/>
      <c r="AX41" s="295"/>
      <c r="AY41" s="295"/>
      <c r="AZ41" s="295"/>
      <c r="BA41" s="295"/>
      <c r="BB41" s="295"/>
      <c r="BC41" s="295"/>
      <c r="BD41" s="295"/>
      <c r="BE41" s="295"/>
      <c r="BF41" s="295"/>
      <c r="BG41" s="295"/>
      <c r="BH41" s="295"/>
      <c r="BI41" s="295"/>
      <c r="BJ41" s="295"/>
      <c r="BK41" s="295"/>
      <c r="BL41" s="295"/>
      <c r="BM41" s="285"/>
      <c r="BN41" s="285"/>
      <c r="BO41" s="285"/>
      <c r="BP41" s="285"/>
      <c r="BQ41" s="285"/>
      <c r="BR41" s="285"/>
      <c r="BS41" s="285"/>
      <c r="BT41" s="285"/>
      <c r="BU41" s="285"/>
      <c r="BV41" s="285"/>
      <c r="BW41" s="285"/>
      <c r="BX41" s="285"/>
      <c r="BY41" s="285"/>
      <c r="BZ41" s="285"/>
      <c r="CA41" s="285"/>
      <c r="CB41" s="285"/>
      <c r="CC41" s="285"/>
      <c r="CD41" s="285"/>
      <c r="CE41" s="285"/>
      <c r="CF41" s="285"/>
      <c r="CG41" s="285"/>
      <c r="CH41" s="285"/>
      <c r="CI41" s="285"/>
      <c r="CJ41" s="285"/>
      <c r="CK41" s="285"/>
      <c r="CL41" s="285"/>
      <c r="CM41" s="285"/>
      <c r="CN41" s="285"/>
      <c r="CO41" s="285"/>
      <c r="CP41" s="285"/>
      <c r="CQ41" s="285"/>
      <c r="CR41" s="285"/>
    </row>
    <row r="42" spans="1:96" ht="15.6">
      <c r="A42" s="285"/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5"/>
      <c r="AB42" s="285"/>
      <c r="AC42" s="285"/>
      <c r="AD42" s="285"/>
      <c r="AE42" s="285"/>
      <c r="AF42" s="285"/>
      <c r="AG42" s="285"/>
      <c r="AH42" s="285"/>
      <c r="AI42" s="285"/>
      <c r="AJ42" s="285"/>
      <c r="AK42" s="285"/>
      <c r="AL42" s="285"/>
      <c r="AM42" s="285"/>
      <c r="AN42" s="285"/>
      <c r="AO42" s="285"/>
      <c r="AP42" s="285"/>
      <c r="AQ42" s="285"/>
      <c r="AR42" s="285"/>
      <c r="AS42" s="285"/>
      <c r="AT42" s="285"/>
      <c r="AU42" s="285"/>
      <c r="AV42" s="285"/>
      <c r="AW42" s="285"/>
      <c r="AX42" s="285"/>
      <c r="AY42" s="285"/>
      <c r="AZ42" s="285"/>
      <c r="BA42" s="285"/>
      <c r="BB42" s="285"/>
      <c r="BC42" s="285"/>
      <c r="BD42" s="285"/>
      <c r="BE42" s="285"/>
      <c r="BF42" s="285"/>
      <c r="BG42" s="285"/>
      <c r="BH42" s="285"/>
      <c r="BI42" s="285"/>
      <c r="BJ42" s="285"/>
      <c r="BK42" s="285"/>
      <c r="BL42" s="285"/>
      <c r="BM42" s="285"/>
      <c r="BN42" s="285"/>
      <c r="BO42" s="285"/>
      <c r="BP42" s="285"/>
      <c r="BQ42" s="285"/>
      <c r="BR42" s="285"/>
      <c r="BS42" s="285"/>
      <c r="BT42" s="285"/>
      <c r="BU42" s="285"/>
      <c r="BV42" s="285"/>
      <c r="BW42" s="285"/>
      <c r="BX42" s="285"/>
      <c r="BY42" s="285"/>
      <c r="BZ42" s="285"/>
      <c r="CA42" s="285"/>
      <c r="CB42" s="285"/>
      <c r="CC42" s="285"/>
      <c r="CD42" s="285"/>
      <c r="CE42" s="285"/>
      <c r="CF42" s="285"/>
      <c r="CG42" s="285"/>
      <c r="CH42" s="285"/>
      <c r="CI42" s="285"/>
      <c r="CJ42" s="285"/>
      <c r="CK42" s="285"/>
      <c r="CL42" s="285"/>
      <c r="CM42" s="285"/>
      <c r="CN42" s="285"/>
      <c r="CO42" s="285"/>
      <c r="CP42" s="285"/>
      <c r="CQ42" s="285"/>
      <c r="CR42" s="285"/>
    </row>
    <row r="43" spans="1:96" ht="15.6">
      <c r="A43" s="285"/>
      <c r="B43" s="285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95"/>
      <c r="X43" s="295"/>
      <c r="Y43" s="295"/>
      <c r="Z43" s="295"/>
      <c r="AA43" s="313"/>
      <c r="AB43" s="295"/>
      <c r="AC43" s="295"/>
      <c r="AD43" s="313"/>
      <c r="AE43" s="313"/>
      <c r="AF43" s="313"/>
      <c r="AG43" s="295"/>
      <c r="AH43" s="295"/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295"/>
      <c r="AW43" s="295"/>
      <c r="AX43" s="295"/>
      <c r="AY43" s="295"/>
      <c r="AZ43" s="295"/>
      <c r="BA43" s="295"/>
      <c r="BB43" s="295"/>
      <c r="BC43" s="295"/>
      <c r="BD43" s="295"/>
      <c r="BE43" s="295"/>
      <c r="BF43" s="313"/>
      <c r="BG43" s="313"/>
      <c r="BH43" s="295"/>
      <c r="BI43" s="295"/>
      <c r="BJ43" s="313"/>
      <c r="BK43" s="305"/>
      <c r="BL43" s="285"/>
      <c r="BM43" s="285"/>
      <c r="BN43" s="285"/>
      <c r="BO43" s="285"/>
      <c r="BP43" s="285"/>
      <c r="BQ43" s="285"/>
      <c r="BR43" s="285"/>
      <c r="BS43" s="285"/>
      <c r="BT43" s="285"/>
      <c r="BU43" s="285"/>
      <c r="BV43" s="285"/>
      <c r="BW43" s="285"/>
      <c r="BX43" s="285"/>
      <c r="BY43" s="285"/>
      <c r="BZ43" s="285"/>
      <c r="CA43" s="285"/>
      <c r="CB43" s="285"/>
      <c r="CC43" s="285"/>
      <c r="CD43" s="285"/>
      <c r="CE43" s="285"/>
      <c r="CF43" s="285"/>
      <c r="CG43" s="285"/>
      <c r="CH43" s="285"/>
      <c r="CI43" s="285"/>
      <c r="CJ43" s="285"/>
      <c r="CK43" s="285"/>
      <c r="CL43" s="285"/>
      <c r="CM43" s="285"/>
      <c r="CN43" s="285"/>
      <c r="CO43" s="285"/>
      <c r="CP43" s="285"/>
      <c r="CQ43" s="285"/>
      <c r="CR43" s="285"/>
    </row>
    <row r="44" spans="1:96" ht="15.6">
      <c r="A44" s="285"/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285"/>
      <c r="W44" s="295"/>
      <c r="X44" s="295"/>
      <c r="Y44" s="295"/>
      <c r="Z44" s="295"/>
      <c r="AA44" s="313"/>
      <c r="AB44" s="295"/>
      <c r="AC44" s="295"/>
      <c r="AD44" s="313"/>
      <c r="AE44" s="313"/>
      <c r="AF44" s="313"/>
      <c r="AG44" s="295"/>
      <c r="AH44" s="295"/>
      <c r="AI44" s="295"/>
      <c r="AJ44" s="295"/>
      <c r="AK44" s="295"/>
      <c r="AL44" s="295"/>
      <c r="AM44" s="295"/>
      <c r="AN44" s="295"/>
      <c r="AO44" s="295"/>
      <c r="AP44" s="295"/>
      <c r="AQ44" s="295"/>
      <c r="AR44" s="295"/>
      <c r="AS44" s="295"/>
      <c r="AT44" s="295"/>
      <c r="AU44" s="295"/>
      <c r="AV44" s="295"/>
      <c r="AW44" s="295"/>
      <c r="AX44" s="295"/>
      <c r="AY44" s="295"/>
      <c r="AZ44" s="295"/>
      <c r="BA44" s="295"/>
      <c r="BB44" s="295"/>
      <c r="BC44" s="295"/>
      <c r="BD44" s="295"/>
      <c r="BE44" s="295"/>
      <c r="BF44" s="313"/>
      <c r="BG44" s="313"/>
      <c r="BH44" s="295"/>
      <c r="BI44" s="295"/>
      <c r="BJ44" s="313"/>
      <c r="BK44" s="305"/>
      <c r="BL44" s="285"/>
      <c r="BM44" s="285"/>
      <c r="BN44" s="285"/>
      <c r="BO44" s="285"/>
      <c r="BP44" s="285"/>
      <c r="BQ44" s="285"/>
      <c r="BR44" s="285"/>
      <c r="BS44" s="285"/>
      <c r="BT44" s="285"/>
      <c r="BU44" s="285"/>
      <c r="BV44" s="285"/>
      <c r="BW44" s="285"/>
      <c r="BX44" s="285"/>
      <c r="BY44" s="285"/>
      <c r="BZ44" s="285"/>
      <c r="CA44" s="285"/>
      <c r="CB44" s="285"/>
      <c r="CC44" s="285"/>
      <c r="CD44" s="285"/>
      <c r="CE44" s="285"/>
      <c r="CF44" s="285"/>
      <c r="CG44" s="285"/>
      <c r="CH44" s="285"/>
      <c r="CI44" s="285"/>
      <c r="CJ44" s="285"/>
      <c r="CK44" s="285"/>
      <c r="CL44" s="285"/>
      <c r="CM44" s="285"/>
      <c r="CN44" s="285"/>
      <c r="CO44" s="285"/>
      <c r="CP44" s="285"/>
      <c r="CQ44" s="285"/>
      <c r="CR44" s="285"/>
    </row>
    <row r="45" spans="1:96" ht="15.6">
      <c r="A45" s="285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285"/>
      <c r="W45" s="295"/>
      <c r="X45" s="295"/>
      <c r="Y45" s="295"/>
      <c r="Z45" s="295"/>
      <c r="AA45" s="313"/>
      <c r="AB45" s="295"/>
      <c r="AC45" s="295"/>
      <c r="AD45" s="313"/>
      <c r="AE45" s="313"/>
      <c r="AF45" s="313"/>
      <c r="AG45" s="295"/>
      <c r="AH45" s="295"/>
      <c r="AI45" s="295"/>
      <c r="AJ45" s="295"/>
      <c r="AK45" s="295"/>
      <c r="AL45" s="295"/>
      <c r="AM45" s="295"/>
      <c r="AN45" s="295"/>
      <c r="AO45" s="295"/>
      <c r="AP45" s="295"/>
      <c r="AQ45" s="295"/>
      <c r="AR45" s="295"/>
      <c r="AS45" s="295"/>
      <c r="AT45" s="295"/>
      <c r="AU45" s="295"/>
      <c r="AV45" s="295"/>
      <c r="AW45" s="295"/>
      <c r="AX45" s="295"/>
      <c r="AY45" s="295"/>
      <c r="AZ45" s="295"/>
      <c r="BA45" s="295"/>
      <c r="BB45" s="295"/>
      <c r="BC45" s="295"/>
      <c r="BD45" s="295"/>
      <c r="BE45" s="295"/>
      <c r="BF45" s="313"/>
      <c r="BG45" s="313"/>
      <c r="BH45" s="295"/>
      <c r="BI45" s="295"/>
      <c r="BJ45" s="313"/>
      <c r="BK45" s="305"/>
      <c r="BL45" s="285"/>
      <c r="BM45" s="285"/>
      <c r="BN45" s="285"/>
      <c r="BO45" s="285"/>
      <c r="BP45" s="285"/>
      <c r="BQ45" s="285"/>
      <c r="BR45" s="285"/>
      <c r="BS45" s="285"/>
      <c r="BT45" s="285"/>
      <c r="BU45" s="285"/>
      <c r="BV45" s="285"/>
      <c r="BW45" s="285"/>
      <c r="BX45" s="285"/>
      <c r="BY45" s="285"/>
      <c r="BZ45" s="285"/>
      <c r="CA45" s="285"/>
      <c r="CB45" s="285"/>
      <c r="CC45" s="285"/>
      <c r="CD45" s="285"/>
      <c r="CE45" s="285"/>
      <c r="CF45" s="285"/>
      <c r="CG45" s="285"/>
      <c r="CH45" s="285"/>
      <c r="CI45" s="285"/>
      <c r="CJ45" s="285"/>
      <c r="CK45" s="285"/>
      <c r="CL45" s="285"/>
      <c r="CM45" s="285"/>
      <c r="CN45" s="285"/>
      <c r="CO45" s="285"/>
      <c r="CP45" s="285"/>
      <c r="CQ45" s="285"/>
      <c r="CR45" s="285"/>
    </row>
    <row r="46" spans="1:96" ht="15.6">
      <c r="A46" s="285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285"/>
      <c r="W46" s="285"/>
      <c r="X46" s="285"/>
      <c r="Y46" s="285"/>
      <c r="Z46" s="285"/>
      <c r="AA46" s="285"/>
      <c r="AB46" s="285"/>
      <c r="AC46" s="285"/>
      <c r="AD46" s="285"/>
      <c r="AE46" s="285"/>
      <c r="AF46" s="285"/>
      <c r="AG46" s="285"/>
      <c r="AH46" s="285"/>
      <c r="AI46" s="285"/>
      <c r="AJ46" s="285"/>
      <c r="AK46" s="285"/>
      <c r="AL46" s="285"/>
      <c r="AM46" s="285"/>
      <c r="AN46" s="285"/>
      <c r="AO46" s="285"/>
      <c r="AP46" s="285"/>
      <c r="AQ46" s="285"/>
      <c r="AR46" s="285"/>
      <c r="AS46" s="285"/>
      <c r="AT46" s="285"/>
      <c r="AU46" s="285"/>
      <c r="AV46" s="285"/>
      <c r="AW46" s="285"/>
      <c r="AX46" s="285"/>
      <c r="AY46" s="285"/>
      <c r="AZ46" s="285"/>
      <c r="BA46" s="285"/>
      <c r="BB46" s="285"/>
      <c r="BC46" s="285"/>
      <c r="BD46" s="285"/>
      <c r="BE46" s="285"/>
      <c r="BF46" s="285"/>
      <c r="BG46" s="285"/>
      <c r="BH46" s="285"/>
      <c r="BI46" s="285"/>
      <c r="BJ46" s="285"/>
      <c r="BK46" s="285"/>
      <c r="BL46" s="285"/>
      <c r="BM46" s="285"/>
      <c r="BN46" s="285"/>
      <c r="BO46" s="285"/>
      <c r="BP46" s="285"/>
      <c r="BQ46" s="285"/>
      <c r="BR46" s="285"/>
      <c r="BS46" s="285"/>
      <c r="BT46" s="285"/>
      <c r="BU46" s="285"/>
      <c r="BV46" s="285"/>
      <c r="BW46" s="285"/>
      <c r="BX46" s="285"/>
      <c r="BY46" s="285"/>
      <c r="BZ46" s="285"/>
      <c r="CA46" s="285"/>
      <c r="CB46" s="285"/>
      <c r="CC46" s="285"/>
      <c r="CD46" s="285"/>
      <c r="CE46" s="285"/>
      <c r="CF46" s="285"/>
      <c r="CG46" s="285"/>
      <c r="CH46" s="285"/>
      <c r="CI46" s="285"/>
      <c r="CJ46" s="285"/>
      <c r="CK46" s="285"/>
      <c r="CL46" s="285"/>
      <c r="CM46" s="285"/>
      <c r="CN46" s="285"/>
      <c r="CO46" s="285"/>
      <c r="CP46" s="285"/>
      <c r="CQ46" s="285"/>
      <c r="CR46" s="285"/>
    </row>
    <row r="47" spans="1:96" ht="15.6">
      <c r="A47" s="285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5"/>
      <c r="AF47" s="285"/>
      <c r="AG47" s="285"/>
      <c r="AH47" s="285"/>
      <c r="AI47" s="285"/>
      <c r="AJ47" s="285"/>
      <c r="AK47" s="285"/>
      <c r="AL47" s="285"/>
      <c r="AM47" s="285"/>
      <c r="AN47" s="285"/>
      <c r="AO47" s="285"/>
      <c r="AP47" s="285"/>
      <c r="AQ47" s="285"/>
      <c r="AR47" s="285"/>
      <c r="AS47" s="285"/>
      <c r="AT47" s="285"/>
      <c r="AU47" s="285"/>
      <c r="AV47" s="285"/>
      <c r="AW47" s="285"/>
      <c r="AX47" s="285"/>
      <c r="AY47" s="285"/>
      <c r="AZ47" s="285"/>
      <c r="BA47" s="285"/>
      <c r="BB47" s="285"/>
      <c r="BC47" s="285"/>
      <c r="BD47" s="285"/>
      <c r="BE47" s="285"/>
      <c r="BF47" s="285"/>
      <c r="BG47" s="285"/>
      <c r="BH47" s="285"/>
      <c r="BI47" s="285"/>
      <c r="BJ47" s="285"/>
      <c r="BK47" s="285"/>
      <c r="BL47" s="285"/>
      <c r="BM47" s="285"/>
      <c r="BN47" s="285"/>
      <c r="BO47" s="285"/>
      <c r="BP47" s="285"/>
      <c r="BQ47" s="285"/>
      <c r="BR47" s="285"/>
      <c r="BS47" s="285"/>
      <c r="BT47" s="285"/>
      <c r="BU47" s="285"/>
      <c r="BV47" s="285"/>
      <c r="BW47" s="285"/>
      <c r="BX47" s="285"/>
      <c r="BY47" s="285"/>
      <c r="BZ47" s="285"/>
      <c r="CA47" s="285"/>
      <c r="CB47" s="285"/>
      <c r="CC47" s="285"/>
      <c r="CD47" s="285"/>
      <c r="CE47" s="285"/>
      <c r="CF47" s="285"/>
      <c r="CG47" s="285"/>
      <c r="CH47" s="285"/>
      <c r="CI47" s="285"/>
      <c r="CJ47" s="285"/>
      <c r="CK47" s="285"/>
      <c r="CL47" s="285"/>
      <c r="CM47" s="285"/>
      <c r="CN47" s="285"/>
      <c r="CO47" s="285"/>
      <c r="CP47" s="285"/>
      <c r="CQ47" s="285"/>
      <c r="CR47" s="285"/>
    </row>
    <row r="48" spans="1:96" ht="15.6">
      <c r="A48" s="285"/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85"/>
      <c r="AB48" s="285"/>
      <c r="AC48" s="285"/>
      <c r="AD48" s="285"/>
      <c r="AE48" s="285"/>
      <c r="AF48" s="285"/>
      <c r="AG48" s="285"/>
      <c r="AH48" s="285"/>
      <c r="AI48" s="285"/>
      <c r="AJ48" s="285"/>
      <c r="AK48" s="285"/>
      <c r="AL48" s="285"/>
      <c r="AM48" s="285"/>
      <c r="AN48" s="285"/>
      <c r="AO48" s="285"/>
      <c r="AP48" s="285"/>
      <c r="AQ48" s="285"/>
      <c r="AR48" s="285"/>
      <c r="AS48" s="285"/>
      <c r="AT48" s="285"/>
      <c r="AU48" s="285"/>
      <c r="AV48" s="285"/>
      <c r="AW48" s="285"/>
      <c r="AX48" s="285"/>
      <c r="AY48" s="285"/>
      <c r="AZ48" s="285"/>
      <c r="BA48" s="285"/>
      <c r="BB48" s="285"/>
      <c r="BC48" s="285"/>
      <c r="BD48" s="285"/>
      <c r="BE48" s="285"/>
      <c r="BF48" s="285"/>
      <c r="BG48" s="285"/>
      <c r="BH48" s="285"/>
      <c r="BI48" s="285"/>
      <c r="BJ48" s="285"/>
      <c r="BK48" s="285"/>
      <c r="BL48" s="285"/>
      <c r="BM48" s="285"/>
      <c r="BN48" s="285"/>
      <c r="BO48" s="285"/>
      <c r="BP48" s="285"/>
      <c r="BQ48" s="285"/>
      <c r="BR48" s="285"/>
      <c r="BS48" s="285"/>
      <c r="BT48" s="285"/>
      <c r="BU48" s="285"/>
      <c r="BV48" s="285"/>
      <c r="BW48" s="285"/>
      <c r="BX48" s="285"/>
      <c r="BY48" s="285"/>
      <c r="BZ48" s="285"/>
      <c r="CA48" s="285"/>
      <c r="CB48" s="285"/>
      <c r="CC48" s="285"/>
      <c r="CD48" s="285"/>
      <c r="CE48" s="285"/>
      <c r="CF48" s="285"/>
      <c r="CG48" s="285"/>
      <c r="CH48" s="285"/>
      <c r="CI48" s="285"/>
      <c r="CJ48" s="285"/>
      <c r="CK48" s="285"/>
      <c r="CL48" s="285"/>
      <c r="CM48" s="285"/>
      <c r="CN48" s="285"/>
      <c r="CO48" s="285"/>
      <c r="CP48" s="285"/>
      <c r="CQ48" s="285"/>
      <c r="CR48" s="285"/>
    </row>
    <row r="49" spans="1:96" ht="15.6">
      <c r="A49" s="285"/>
      <c r="B49" s="285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5"/>
      <c r="U49" s="285"/>
      <c r="V49" s="285"/>
      <c r="W49" s="285"/>
      <c r="X49" s="285"/>
      <c r="Y49" s="285"/>
      <c r="Z49" s="285"/>
      <c r="AA49" s="285"/>
      <c r="AB49" s="285"/>
      <c r="AC49" s="285"/>
      <c r="AD49" s="285"/>
      <c r="AE49" s="285"/>
      <c r="AF49" s="285"/>
      <c r="AG49" s="285"/>
      <c r="AH49" s="285"/>
      <c r="AI49" s="285"/>
      <c r="AJ49" s="285"/>
      <c r="AK49" s="285"/>
      <c r="AL49" s="285"/>
      <c r="AM49" s="285"/>
      <c r="AN49" s="285"/>
      <c r="AO49" s="285"/>
      <c r="AP49" s="285"/>
      <c r="AQ49" s="285"/>
      <c r="AR49" s="285"/>
      <c r="AS49" s="285"/>
      <c r="AT49" s="285"/>
      <c r="AU49" s="285"/>
      <c r="AV49" s="285"/>
      <c r="AW49" s="285"/>
      <c r="AX49" s="285"/>
      <c r="AY49" s="285"/>
      <c r="AZ49" s="285"/>
      <c r="BA49" s="285"/>
      <c r="BB49" s="285"/>
      <c r="BC49" s="285"/>
      <c r="BD49" s="285"/>
      <c r="BE49" s="285"/>
      <c r="BF49" s="285"/>
      <c r="BG49" s="285"/>
      <c r="BH49" s="285"/>
      <c r="BI49" s="285"/>
      <c r="BJ49" s="285"/>
      <c r="BK49" s="285"/>
      <c r="BL49" s="285"/>
      <c r="BM49" s="285"/>
      <c r="BN49" s="285"/>
      <c r="BO49" s="285"/>
      <c r="BP49" s="285"/>
      <c r="BQ49" s="285"/>
      <c r="BR49" s="285"/>
      <c r="BS49" s="285"/>
      <c r="BT49" s="285"/>
      <c r="BU49" s="285"/>
      <c r="BV49" s="285"/>
      <c r="BW49" s="285"/>
      <c r="BX49" s="285"/>
      <c r="BY49" s="285"/>
      <c r="BZ49" s="285"/>
      <c r="CA49" s="285"/>
      <c r="CB49" s="285"/>
      <c r="CC49" s="285"/>
      <c r="CD49" s="285"/>
      <c r="CE49" s="285"/>
      <c r="CF49" s="285"/>
      <c r="CG49" s="285"/>
      <c r="CH49" s="285"/>
      <c r="CI49" s="285"/>
      <c r="CJ49" s="285"/>
      <c r="CK49" s="285"/>
      <c r="CL49" s="285"/>
      <c r="CM49" s="285"/>
      <c r="CN49" s="285"/>
      <c r="CO49" s="285"/>
      <c r="CP49" s="285"/>
      <c r="CQ49" s="285"/>
      <c r="CR49" s="285"/>
    </row>
    <row r="50" spans="1:96" ht="15.6">
      <c r="A50" s="285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285"/>
      <c r="W50" s="295"/>
      <c r="X50" s="295"/>
      <c r="Y50" s="295"/>
      <c r="Z50" s="295"/>
      <c r="AA50" s="313"/>
      <c r="AB50" s="295"/>
      <c r="AC50" s="295"/>
      <c r="AD50" s="313"/>
      <c r="AE50" s="313"/>
      <c r="AF50" s="313"/>
      <c r="AG50" s="295"/>
      <c r="AH50" s="295"/>
      <c r="AI50" s="295"/>
      <c r="AJ50" s="295"/>
      <c r="AK50" s="295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  <c r="AV50" s="295"/>
      <c r="AW50" s="295"/>
      <c r="AX50" s="295"/>
      <c r="AY50" s="295"/>
      <c r="AZ50" s="295"/>
      <c r="BA50" s="295"/>
      <c r="BB50" s="295"/>
      <c r="BC50" s="295"/>
      <c r="BD50" s="295"/>
      <c r="BE50" s="295"/>
      <c r="BF50" s="313"/>
      <c r="BG50" s="313"/>
      <c r="BH50" s="295"/>
      <c r="BI50" s="295"/>
      <c r="BJ50" s="313"/>
      <c r="BK50" s="305"/>
      <c r="BL50" s="285"/>
      <c r="BM50" s="285"/>
      <c r="BN50" s="285"/>
      <c r="BO50" s="285"/>
      <c r="BP50" s="285"/>
      <c r="BQ50" s="285"/>
      <c r="BR50" s="285"/>
      <c r="BS50" s="285"/>
      <c r="BT50" s="285"/>
      <c r="BU50" s="285"/>
      <c r="BV50" s="285"/>
      <c r="BW50" s="285"/>
      <c r="BX50" s="285"/>
      <c r="BY50" s="285"/>
      <c r="BZ50" s="285"/>
      <c r="CA50" s="285"/>
      <c r="CB50" s="285"/>
      <c r="CC50" s="285"/>
      <c r="CD50" s="285"/>
      <c r="CE50" s="285"/>
      <c r="CF50" s="285"/>
      <c r="CG50" s="285"/>
      <c r="CH50" s="285"/>
      <c r="CI50" s="285"/>
      <c r="CJ50" s="285"/>
      <c r="CK50" s="285"/>
      <c r="CL50" s="285"/>
      <c r="CM50" s="285"/>
      <c r="CN50" s="285"/>
      <c r="CO50" s="285"/>
      <c r="CP50" s="285"/>
      <c r="CQ50" s="285"/>
      <c r="CR50" s="285"/>
    </row>
    <row r="51" spans="1:96" ht="15.6">
      <c r="A51" s="285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95"/>
      <c r="X51" s="295"/>
      <c r="Y51" s="295"/>
      <c r="Z51" s="295"/>
      <c r="AA51" s="313"/>
      <c r="AB51" s="295"/>
      <c r="AC51" s="295"/>
      <c r="AD51" s="295"/>
      <c r="AE51" s="295"/>
      <c r="AF51" s="295"/>
      <c r="AG51" s="295"/>
      <c r="AH51" s="295"/>
      <c r="AI51" s="295"/>
      <c r="AJ51" s="295"/>
      <c r="AK51" s="295"/>
      <c r="AL51" s="295"/>
      <c r="AM51" s="295"/>
      <c r="AN51" s="295"/>
      <c r="AO51" s="295"/>
      <c r="AP51" s="295"/>
      <c r="AQ51" s="295"/>
      <c r="AR51" s="295"/>
      <c r="AS51" s="295"/>
      <c r="AT51" s="295"/>
      <c r="AU51" s="295"/>
      <c r="AV51" s="295"/>
      <c r="AW51" s="295"/>
      <c r="AX51" s="295"/>
      <c r="AY51" s="295"/>
      <c r="AZ51" s="295"/>
      <c r="BA51" s="295"/>
      <c r="BB51" s="295"/>
      <c r="BC51" s="295"/>
      <c r="BD51" s="295"/>
      <c r="BE51" s="295"/>
      <c r="BF51" s="313"/>
      <c r="BG51" s="313"/>
      <c r="BH51" s="295"/>
      <c r="BI51" s="295"/>
      <c r="BJ51" s="313"/>
      <c r="BK51" s="305"/>
      <c r="BL51" s="285"/>
      <c r="BM51" s="285"/>
      <c r="BN51" s="285"/>
      <c r="BO51" s="285"/>
      <c r="BP51" s="285"/>
      <c r="BQ51" s="285"/>
      <c r="BR51" s="285"/>
      <c r="BS51" s="285"/>
      <c r="BT51" s="285"/>
      <c r="BU51" s="285"/>
      <c r="BV51" s="285"/>
      <c r="BW51" s="285"/>
      <c r="BX51" s="285"/>
      <c r="BY51" s="285"/>
      <c r="BZ51" s="285"/>
      <c r="CA51" s="285"/>
      <c r="CB51" s="285"/>
      <c r="CC51" s="285"/>
      <c r="CD51" s="285"/>
      <c r="CE51" s="285"/>
      <c r="CF51" s="285"/>
      <c r="CG51" s="285"/>
      <c r="CH51" s="285"/>
      <c r="CI51" s="285"/>
      <c r="CJ51" s="285"/>
      <c r="CK51" s="285"/>
      <c r="CL51" s="285"/>
      <c r="CM51" s="285"/>
      <c r="CN51" s="285"/>
      <c r="CO51" s="285"/>
      <c r="CP51" s="285"/>
      <c r="CQ51" s="285"/>
      <c r="CR51" s="285"/>
    </row>
    <row r="52" spans="1:96" ht="15.6">
      <c r="A52" s="285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85"/>
      <c r="AB52" s="285"/>
      <c r="AC52" s="285"/>
      <c r="AD52" s="285"/>
      <c r="AE52" s="285"/>
      <c r="AF52" s="285"/>
      <c r="AG52" s="285"/>
      <c r="AH52" s="285"/>
      <c r="AI52" s="285"/>
      <c r="AJ52" s="285"/>
      <c r="AK52" s="285"/>
      <c r="AL52" s="285"/>
      <c r="AM52" s="285"/>
      <c r="AN52" s="285"/>
      <c r="AO52" s="285"/>
      <c r="AP52" s="285"/>
      <c r="AQ52" s="285"/>
      <c r="AR52" s="285"/>
      <c r="AS52" s="285"/>
      <c r="AT52" s="285"/>
      <c r="AU52" s="285"/>
      <c r="AV52" s="285"/>
      <c r="AW52" s="285"/>
      <c r="AX52" s="285"/>
      <c r="AY52" s="285"/>
      <c r="AZ52" s="285"/>
      <c r="BA52" s="285"/>
      <c r="BB52" s="285"/>
      <c r="BC52" s="285"/>
      <c r="BD52" s="285"/>
      <c r="BE52" s="285"/>
      <c r="BF52" s="285"/>
      <c r="BG52" s="285"/>
      <c r="BH52" s="285"/>
      <c r="BI52" s="285"/>
      <c r="BJ52" s="285"/>
      <c r="BK52" s="285"/>
      <c r="BL52" s="285"/>
      <c r="BM52" s="285"/>
      <c r="BN52" s="285"/>
      <c r="BO52" s="285"/>
      <c r="BP52" s="285"/>
      <c r="BQ52" s="285"/>
      <c r="BR52" s="285"/>
      <c r="BS52" s="285"/>
      <c r="BT52" s="285"/>
      <c r="BU52" s="285"/>
      <c r="BV52" s="285"/>
      <c r="BW52" s="285"/>
      <c r="BX52" s="285"/>
      <c r="BY52" s="285"/>
      <c r="BZ52" s="285"/>
      <c r="CA52" s="285"/>
      <c r="CB52" s="285"/>
      <c r="CC52" s="285"/>
      <c r="CD52" s="285"/>
      <c r="CE52" s="285"/>
      <c r="CF52" s="285"/>
      <c r="CG52" s="285"/>
      <c r="CH52" s="285"/>
      <c r="CI52" s="285"/>
      <c r="CJ52" s="285"/>
      <c r="CK52" s="285"/>
      <c r="CL52" s="285"/>
      <c r="CM52" s="285"/>
      <c r="CN52" s="285"/>
      <c r="CO52" s="285"/>
      <c r="CP52" s="285"/>
      <c r="CQ52" s="285"/>
      <c r="CR52" s="285"/>
    </row>
    <row r="53" spans="1:96" ht="15.6">
      <c r="A53" s="285"/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28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295"/>
      <c r="AW53" s="295"/>
      <c r="AX53" s="295"/>
      <c r="AY53" s="295"/>
      <c r="AZ53" s="295"/>
      <c r="BA53" s="295"/>
      <c r="BB53" s="295"/>
      <c r="BC53" s="295"/>
      <c r="BD53" s="295"/>
      <c r="BE53" s="295"/>
      <c r="BF53" s="313"/>
      <c r="BG53" s="313"/>
      <c r="BH53" s="295"/>
      <c r="BI53" s="295"/>
      <c r="BJ53" s="313"/>
      <c r="BK53" s="305"/>
      <c r="BL53" s="285"/>
      <c r="BM53" s="285"/>
      <c r="BN53" s="285"/>
      <c r="BO53" s="285"/>
      <c r="BP53" s="285"/>
      <c r="BQ53" s="285"/>
      <c r="BR53" s="285"/>
      <c r="BS53" s="285"/>
      <c r="BT53" s="285"/>
      <c r="BU53" s="285"/>
      <c r="BV53" s="285"/>
      <c r="BW53" s="285"/>
      <c r="BX53" s="285"/>
      <c r="BY53" s="285"/>
      <c r="BZ53" s="285"/>
      <c r="CA53" s="285"/>
      <c r="CB53" s="285"/>
      <c r="CC53" s="285"/>
      <c r="CD53" s="285"/>
      <c r="CE53" s="285"/>
      <c r="CF53" s="285"/>
      <c r="CG53" s="285"/>
      <c r="CH53" s="285"/>
      <c r="CI53" s="285"/>
      <c r="CJ53" s="285"/>
      <c r="CK53" s="285"/>
      <c r="CL53" s="285"/>
      <c r="CM53" s="285"/>
      <c r="CN53" s="285"/>
      <c r="CO53" s="285"/>
      <c r="CP53" s="285"/>
      <c r="CQ53" s="285"/>
      <c r="CR53" s="285"/>
    </row>
    <row r="54" spans="1:96" ht="15.6">
      <c r="A54" s="285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85"/>
      <c r="S54" s="285"/>
      <c r="T54" s="285"/>
      <c r="U54" s="285"/>
      <c r="V54" s="28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295"/>
      <c r="AJ54" s="295"/>
      <c r="AK54" s="295"/>
      <c r="AL54" s="295"/>
      <c r="AM54" s="295"/>
      <c r="AN54" s="295"/>
      <c r="AO54" s="295"/>
      <c r="AP54" s="295"/>
      <c r="AQ54" s="295"/>
      <c r="AR54" s="295"/>
      <c r="AS54" s="295"/>
      <c r="AT54" s="295"/>
      <c r="AU54" s="295"/>
      <c r="AV54" s="295"/>
      <c r="AW54" s="295"/>
      <c r="AX54" s="295"/>
      <c r="AY54" s="295"/>
      <c r="AZ54" s="295"/>
      <c r="BA54" s="295"/>
      <c r="BB54" s="295"/>
      <c r="BC54" s="295"/>
      <c r="BD54" s="295"/>
      <c r="BE54" s="295"/>
      <c r="BF54" s="313"/>
      <c r="BG54" s="313"/>
      <c r="BH54" s="295"/>
      <c r="BI54" s="295"/>
      <c r="BJ54" s="313"/>
      <c r="BK54" s="295"/>
      <c r="BL54" s="285"/>
      <c r="BM54" s="285"/>
      <c r="BN54" s="285"/>
      <c r="BO54" s="285"/>
      <c r="BP54" s="285"/>
      <c r="BQ54" s="285"/>
      <c r="BR54" s="285"/>
      <c r="BS54" s="285"/>
      <c r="BT54" s="285"/>
      <c r="BU54" s="285"/>
      <c r="BV54" s="285"/>
      <c r="BW54" s="285"/>
      <c r="BX54" s="285"/>
      <c r="BY54" s="285"/>
      <c r="BZ54" s="285"/>
      <c r="CA54" s="285"/>
      <c r="CB54" s="285"/>
      <c r="CC54" s="285"/>
      <c r="CD54" s="285"/>
      <c r="CE54" s="285"/>
      <c r="CF54" s="285"/>
      <c r="CG54" s="285"/>
      <c r="CH54" s="285"/>
      <c r="CI54" s="285"/>
      <c r="CJ54" s="285"/>
      <c r="CK54" s="285"/>
      <c r="CL54" s="285"/>
      <c r="CM54" s="285"/>
      <c r="CN54" s="285"/>
      <c r="CO54" s="285"/>
      <c r="CP54" s="285"/>
      <c r="CQ54" s="285"/>
      <c r="CR54" s="285"/>
    </row>
    <row r="55" spans="1:96" ht="15.6">
      <c r="A55" s="285"/>
      <c r="B55" s="285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285"/>
      <c r="AI55" s="285"/>
      <c r="AJ55" s="285"/>
      <c r="AK55" s="285"/>
      <c r="AL55" s="285"/>
      <c r="AM55" s="285"/>
      <c r="AN55" s="285"/>
      <c r="AO55" s="285"/>
      <c r="AP55" s="285"/>
      <c r="AQ55" s="285"/>
      <c r="AR55" s="285"/>
      <c r="AS55" s="285"/>
      <c r="AT55" s="285"/>
      <c r="AU55" s="285"/>
      <c r="AV55" s="285"/>
      <c r="AW55" s="285"/>
      <c r="AX55" s="285"/>
      <c r="AY55" s="285"/>
      <c r="AZ55" s="285"/>
      <c r="BA55" s="285"/>
      <c r="BB55" s="285"/>
      <c r="BC55" s="285"/>
      <c r="BD55" s="285"/>
      <c r="BE55" s="285"/>
      <c r="BF55" s="285"/>
      <c r="BG55" s="285"/>
      <c r="BH55" s="285"/>
      <c r="BI55" s="285"/>
      <c r="BJ55" s="285"/>
      <c r="BK55" s="285"/>
      <c r="BL55" s="285"/>
      <c r="BM55" s="285"/>
      <c r="BN55" s="285"/>
      <c r="BO55" s="285"/>
      <c r="BP55" s="285"/>
      <c r="BQ55" s="285"/>
      <c r="BR55" s="285"/>
      <c r="BS55" s="285"/>
      <c r="BT55" s="285"/>
      <c r="BU55" s="285"/>
      <c r="BV55" s="285"/>
      <c r="BW55" s="285"/>
      <c r="BX55" s="285"/>
      <c r="BY55" s="285"/>
      <c r="BZ55" s="285"/>
      <c r="CA55" s="285"/>
      <c r="CB55" s="285"/>
      <c r="CC55" s="285"/>
      <c r="CD55" s="285"/>
      <c r="CE55" s="285"/>
      <c r="CF55" s="285"/>
      <c r="CG55" s="285"/>
      <c r="CH55" s="285"/>
      <c r="CI55" s="285"/>
      <c r="CJ55" s="285"/>
      <c r="CK55" s="285"/>
      <c r="CL55" s="285"/>
      <c r="CM55" s="285"/>
      <c r="CN55" s="285"/>
      <c r="CO55" s="285"/>
      <c r="CP55" s="285"/>
      <c r="CQ55" s="285"/>
      <c r="CR55" s="285"/>
    </row>
    <row r="56" spans="1:96" ht="15.6">
      <c r="A56" s="285"/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99"/>
      <c r="X56" s="299"/>
      <c r="Y56" s="295"/>
      <c r="Z56" s="295"/>
      <c r="AA56" s="295"/>
      <c r="AB56" s="295"/>
      <c r="AC56" s="295"/>
      <c r="AD56" s="295"/>
      <c r="AE56" s="295"/>
      <c r="AF56" s="295"/>
      <c r="AG56" s="295"/>
      <c r="AH56" s="295"/>
      <c r="AI56" s="295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5"/>
      <c r="AZ56" s="295"/>
      <c r="BA56" s="295"/>
      <c r="BB56" s="295"/>
      <c r="BC56" s="295"/>
      <c r="BD56" s="295"/>
      <c r="BE56" s="295"/>
      <c r="BF56" s="313"/>
      <c r="BG56" s="313"/>
      <c r="BH56" s="295"/>
      <c r="BI56" s="295"/>
      <c r="BJ56" s="313"/>
      <c r="BK56" s="295"/>
      <c r="BL56" s="285"/>
      <c r="BM56" s="285"/>
      <c r="BN56" s="285"/>
      <c r="BO56" s="285"/>
      <c r="BP56" s="285"/>
      <c r="BQ56" s="285"/>
      <c r="BR56" s="285"/>
      <c r="BS56" s="285"/>
      <c r="BT56" s="285"/>
      <c r="BU56" s="285"/>
      <c r="BV56" s="285"/>
      <c r="BW56" s="285"/>
      <c r="BX56" s="285"/>
      <c r="BY56" s="285"/>
      <c r="BZ56" s="285"/>
      <c r="CA56" s="285"/>
      <c r="CB56" s="285"/>
      <c r="CC56" s="285"/>
      <c r="CD56" s="285"/>
      <c r="CE56" s="285"/>
      <c r="CF56" s="285"/>
      <c r="CG56" s="285"/>
      <c r="CH56" s="285"/>
      <c r="CI56" s="285"/>
      <c r="CJ56" s="285"/>
      <c r="CK56" s="285"/>
      <c r="CL56" s="285"/>
      <c r="CM56" s="285"/>
      <c r="CN56" s="285"/>
      <c r="CO56" s="285"/>
      <c r="CP56" s="285"/>
      <c r="CQ56" s="285"/>
      <c r="CR56" s="285"/>
    </row>
    <row r="57" spans="1:96" ht="15.6">
      <c r="A57" s="285"/>
      <c r="B57" s="285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5"/>
      <c r="N57" s="285"/>
      <c r="O57" s="285"/>
      <c r="P57" s="285"/>
      <c r="Q57" s="285"/>
      <c r="R57" s="285"/>
      <c r="S57" s="285"/>
      <c r="T57" s="285"/>
      <c r="U57" s="285"/>
      <c r="V57" s="285"/>
      <c r="W57" s="295"/>
      <c r="X57" s="295"/>
      <c r="Y57" s="295"/>
      <c r="Z57" s="295"/>
      <c r="AA57" s="295"/>
      <c r="AB57" s="295"/>
      <c r="AC57" s="295"/>
      <c r="AD57" s="295"/>
      <c r="AE57" s="295"/>
      <c r="AF57" s="295"/>
      <c r="AG57" s="295"/>
      <c r="AH57" s="295"/>
      <c r="AI57" s="295"/>
      <c r="AJ57" s="295"/>
      <c r="AK57" s="295"/>
      <c r="AL57" s="295"/>
      <c r="AM57" s="295"/>
      <c r="AN57" s="295"/>
      <c r="AO57" s="295"/>
      <c r="AP57" s="295"/>
      <c r="AQ57" s="295"/>
      <c r="AR57" s="295"/>
      <c r="AS57" s="295"/>
      <c r="AT57" s="295"/>
      <c r="AU57" s="295"/>
      <c r="AV57" s="295"/>
      <c r="AW57" s="295"/>
      <c r="AX57" s="295"/>
      <c r="AY57" s="295"/>
      <c r="AZ57" s="295"/>
      <c r="BA57" s="295"/>
      <c r="BB57" s="295"/>
      <c r="BC57" s="295"/>
      <c r="BD57" s="295"/>
      <c r="BE57" s="295"/>
      <c r="BF57" s="295"/>
      <c r="BG57" s="295"/>
      <c r="BH57" s="295"/>
      <c r="BI57" s="295"/>
      <c r="BJ57" s="295"/>
      <c r="BK57" s="295"/>
      <c r="BL57" s="285"/>
      <c r="BM57" s="285"/>
      <c r="BN57" s="285"/>
      <c r="BO57" s="285"/>
      <c r="BP57" s="285"/>
      <c r="BQ57" s="285"/>
      <c r="BR57" s="285"/>
      <c r="BS57" s="285"/>
      <c r="BT57" s="285"/>
      <c r="BU57" s="285"/>
      <c r="BV57" s="285"/>
      <c r="BW57" s="285"/>
      <c r="BX57" s="285"/>
      <c r="BY57" s="285"/>
      <c r="BZ57" s="285"/>
      <c r="CA57" s="285"/>
      <c r="CB57" s="285"/>
      <c r="CC57" s="285"/>
      <c r="CD57" s="285"/>
      <c r="CE57" s="285"/>
      <c r="CF57" s="285"/>
      <c r="CG57" s="285"/>
      <c r="CH57" s="285"/>
      <c r="CI57" s="285"/>
      <c r="CJ57" s="285"/>
      <c r="CK57" s="285"/>
      <c r="CL57" s="285"/>
      <c r="CM57" s="285"/>
      <c r="CN57" s="285"/>
      <c r="CO57" s="285"/>
      <c r="CP57" s="285"/>
      <c r="CQ57" s="285"/>
      <c r="CR57" s="285"/>
    </row>
    <row r="58" spans="1:96" ht="15.6">
      <c r="A58" s="285"/>
      <c r="B58" s="285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5"/>
      <c r="N58" s="285"/>
      <c r="O58" s="285"/>
      <c r="P58" s="285"/>
      <c r="Q58" s="285"/>
      <c r="R58" s="285"/>
      <c r="S58" s="285"/>
      <c r="T58" s="285"/>
      <c r="U58" s="285"/>
      <c r="V58" s="285"/>
      <c r="W58" s="285"/>
      <c r="X58" s="285"/>
      <c r="Y58" s="285"/>
      <c r="Z58" s="285"/>
      <c r="AA58" s="285"/>
      <c r="AB58" s="285"/>
      <c r="AC58" s="285"/>
      <c r="AD58" s="285"/>
      <c r="AE58" s="285"/>
      <c r="AF58" s="285"/>
      <c r="AG58" s="285"/>
      <c r="AH58" s="285"/>
      <c r="AI58" s="285"/>
      <c r="AJ58" s="285"/>
      <c r="AK58" s="285"/>
      <c r="AL58" s="285"/>
      <c r="AM58" s="285"/>
      <c r="AN58" s="285"/>
      <c r="AO58" s="285"/>
      <c r="AP58" s="285"/>
      <c r="AQ58" s="285"/>
      <c r="AR58" s="285"/>
      <c r="AS58" s="285"/>
      <c r="AT58" s="285"/>
      <c r="AU58" s="285"/>
      <c r="AV58" s="285"/>
      <c r="AW58" s="285"/>
      <c r="AX58" s="285"/>
      <c r="AY58" s="285"/>
      <c r="AZ58" s="285"/>
      <c r="BA58" s="285"/>
      <c r="BB58" s="285"/>
      <c r="BC58" s="285"/>
      <c r="BD58" s="285"/>
      <c r="BE58" s="285"/>
      <c r="BF58" s="285"/>
      <c r="BG58" s="285"/>
      <c r="BH58" s="285"/>
      <c r="BI58" s="285"/>
      <c r="BJ58" s="285"/>
      <c r="BK58" s="285"/>
      <c r="BL58" s="285"/>
      <c r="BM58" s="285"/>
      <c r="BN58" s="285"/>
      <c r="BO58" s="285"/>
      <c r="BP58" s="285"/>
      <c r="BQ58" s="285"/>
      <c r="BR58" s="285"/>
      <c r="BS58" s="285"/>
      <c r="BT58" s="285"/>
      <c r="BU58" s="285"/>
      <c r="BV58" s="285"/>
      <c r="BW58" s="285"/>
      <c r="BX58" s="285"/>
      <c r="BY58" s="285"/>
      <c r="BZ58" s="285"/>
      <c r="CA58" s="285"/>
      <c r="CB58" s="285"/>
      <c r="CC58" s="285"/>
      <c r="CD58" s="285"/>
      <c r="CE58" s="285"/>
      <c r="CF58" s="285"/>
      <c r="CG58" s="285"/>
      <c r="CH58" s="285"/>
      <c r="CI58" s="285"/>
      <c r="CJ58" s="285"/>
      <c r="CK58" s="285"/>
      <c r="CL58" s="285"/>
      <c r="CM58" s="285"/>
      <c r="CN58" s="285"/>
      <c r="CO58" s="285"/>
      <c r="CP58" s="285"/>
      <c r="CQ58" s="285"/>
      <c r="CR58" s="285"/>
    </row>
    <row r="59" spans="1:96" ht="15.6">
      <c r="A59" s="285"/>
      <c r="B59" s="285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5"/>
      <c r="N59" s="285"/>
      <c r="O59" s="285"/>
      <c r="P59" s="285"/>
      <c r="Q59" s="285"/>
      <c r="R59" s="285"/>
      <c r="S59" s="285"/>
      <c r="T59" s="285"/>
      <c r="U59" s="285"/>
      <c r="V59" s="28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295"/>
      <c r="AJ59" s="295"/>
      <c r="AK59" s="295"/>
      <c r="AL59" s="295"/>
      <c r="AM59" s="295"/>
      <c r="AN59" s="295"/>
      <c r="AO59" s="295"/>
      <c r="AP59" s="295"/>
      <c r="AQ59" s="295"/>
      <c r="AR59" s="295"/>
      <c r="AS59" s="295"/>
      <c r="AT59" s="295"/>
      <c r="AU59" s="295"/>
      <c r="AV59" s="295"/>
      <c r="AW59" s="295"/>
      <c r="AX59" s="295"/>
      <c r="AY59" s="295"/>
      <c r="AZ59" s="295"/>
      <c r="BA59" s="295"/>
      <c r="BB59" s="295"/>
      <c r="BC59" s="295"/>
      <c r="BD59" s="295"/>
      <c r="BE59" s="295"/>
      <c r="BF59" s="295"/>
      <c r="BG59" s="295"/>
      <c r="BH59" s="295"/>
      <c r="BI59" s="295"/>
      <c r="BJ59" s="295"/>
      <c r="BK59" s="295"/>
      <c r="BL59" s="285"/>
      <c r="BM59" s="285"/>
      <c r="BN59" s="285"/>
      <c r="BO59" s="285"/>
      <c r="BP59" s="285"/>
      <c r="BQ59" s="285"/>
      <c r="BR59" s="285"/>
      <c r="BS59" s="285"/>
      <c r="BT59" s="285"/>
      <c r="BU59" s="285"/>
      <c r="BV59" s="285"/>
      <c r="BW59" s="285"/>
      <c r="BX59" s="285"/>
      <c r="BY59" s="285"/>
      <c r="BZ59" s="285"/>
      <c r="CA59" s="285"/>
      <c r="CB59" s="285"/>
      <c r="CC59" s="285"/>
      <c r="CD59" s="285"/>
      <c r="CE59" s="285"/>
      <c r="CF59" s="285"/>
      <c r="CG59" s="285"/>
      <c r="CH59" s="285"/>
      <c r="CI59" s="285"/>
      <c r="CJ59" s="285"/>
      <c r="CK59" s="285"/>
      <c r="CL59" s="285"/>
      <c r="CM59" s="285"/>
      <c r="CN59" s="285"/>
      <c r="CO59" s="285"/>
      <c r="CP59" s="285"/>
      <c r="CQ59" s="285"/>
      <c r="CR59" s="285"/>
    </row>
    <row r="60" spans="1:96" ht="15.6">
      <c r="A60" s="285"/>
      <c r="B60" s="285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5"/>
      <c r="N60" s="285"/>
      <c r="O60" s="285"/>
      <c r="P60" s="285"/>
      <c r="Q60" s="285"/>
      <c r="R60" s="285"/>
      <c r="S60" s="285"/>
      <c r="T60" s="285"/>
      <c r="U60" s="285"/>
      <c r="V60" s="285"/>
      <c r="W60" s="285"/>
      <c r="X60" s="285"/>
      <c r="Y60" s="285"/>
      <c r="Z60" s="285"/>
      <c r="AA60" s="285"/>
      <c r="AB60" s="285"/>
      <c r="AC60" s="285"/>
      <c r="AD60" s="285"/>
      <c r="AE60" s="285"/>
      <c r="AF60" s="285"/>
      <c r="AG60" s="285"/>
      <c r="AH60" s="285"/>
      <c r="AI60" s="285"/>
      <c r="AJ60" s="285"/>
      <c r="AK60" s="285"/>
      <c r="AL60" s="285"/>
      <c r="AM60" s="285"/>
      <c r="AN60" s="285"/>
      <c r="AO60" s="285"/>
      <c r="AP60" s="285"/>
      <c r="AQ60" s="285"/>
      <c r="AR60" s="285"/>
      <c r="AS60" s="285"/>
      <c r="AT60" s="285"/>
      <c r="AU60" s="285"/>
      <c r="AV60" s="285"/>
      <c r="AW60" s="285"/>
      <c r="AX60" s="285"/>
      <c r="AY60" s="285"/>
      <c r="AZ60" s="285"/>
      <c r="BA60" s="285"/>
      <c r="BB60" s="285"/>
      <c r="BC60" s="285"/>
      <c r="BD60" s="285"/>
      <c r="BE60" s="285"/>
      <c r="BF60" s="285"/>
      <c r="BG60" s="285"/>
      <c r="BH60" s="285"/>
      <c r="BI60" s="285"/>
      <c r="BJ60" s="285"/>
      <c r="BK60" s="285"/>
      <c r="BL60" s="285"/>
      <c r="BM60" s="285"/>
      <c r="BN60" s="285"/>
      <c r="BO60" s="285"/>
      <c r="BP60" s="285"/>
      <c r="BQ60" s="285"/>
      <c r="BR60" s="285"/>
      <c r="BS60" s="285"/>
      <c r="BT60" s="285"/>
      <c r="BU60" s="285"/>
      <c r="BV60" s="285"/>
      <c r="BW60" s="285"/>
      <c r="BX60" s="285"/>
      <c r="BY60" s="285"/>
      <c r="BZ60" s="285"/>
      <c r="CA60" s="285"/>
      <c r="CB60" s="285"/>
      <c r="CC60" s="285"/>
      <c r="CD60" s="285"/>
      <c r="CE60" s="285"/>
      <c r="CF60" s="285"/>
      <c r="CG60" s="285"/>
      <c r="CH60" s="285"/>
      <c r="CI60" s="285"/>
      <c r="CJ60" s="285"/>
      <c r="CK60" s="285"/>
      <c r="CL60" s="285"/>
      <c r="CM60" s="285"/>
      <c r="CN60" s="285"/>
      <c r="CO60" s="285"/>
      <c r="CP60" s="285"/>
      <c r="CQ60" s="285"/>
      <c r="CR60" s="285"/>
    </row>
    <row r="61" spans="1:96" ht="15.6">
      <c r="A61" s="285"/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95"/>
      <c r="X61" s="295"/>
      <c r="Y61" s="295"/>
      <c r="Z61" s="295"/>
      <c r="AA61" s="313"/>
      <c r="AB61" s="313"/>
      <c r="AC61" s="295"/>
      <c r="AD61" s="313"/>
      <c r="AE61" s="305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295"/>
      <c r="AW61" s="295"/>
      <c r="AX61" s="295"/>
      <c r="AY61" s="295"/>
      <c r="AZ61" s="295"/>
      <c r="BA61" s="295"/>
      <c r="BB61" s="295"/>
      <c r="BC61" s="295"/>
      <c r="BD61" s="295"/>
      <c r="BE61" s="295"/>
      <c r="BF61" s="295"/>
      <c r="BG61" s="295"/>
      <c r="BH61" s="295"/>
      <c r="BI61" s="295"/>
      <c r="BJ61" s="295"/>
      <c r="BK61" s="295"/>
      <c r="BL61" s="285"/>
      <c r="BM61" s="285"/>
      <c r="BN61" s="285"/>
      <c r="BO61" s="285"/>
      <c r="BP61" s="285"/>
      <c r="BQ61" s="285"/>
      <c r="BR61" s="285"/>
      <c r="BS61" s="285"/>
      <c r="BT61" s="285"/>
      <c r="BU61" s="285"/>
      <c r="BV61" s="285"/>
      <c r="BW61" s="285"/>
      <c r="BX61" s="285"/>
      <c r="BY61" s="285"/>
      <c r="BZ61" s="285"/>
      <c r="CA61" s="285"/>
      <c r="CB61" s="285"/>
      <c r="CC61" s="285"/>
      <c r="CD61" s="285"/>
      <c r="CE61" s="285"/>
      <c r="CF61" s="285"/>
      <c r="CG61" s="285"/>
      <c r="CH61" s="285"/>
      <c r="CI61" s="285"/>
      <c r="CJ61" s="285"/>
      <c r="CK61" s="285"/>
      <c r="CL61" s="285"/>
      <c r="CM61" s="285"/>
      <c r="CN61" s="285"/>
      <c r="CO61" s="285"/>
      <c r="CP61" s="285"/>
      <c r="CQ61" s="285"/>
      <c r="CR61" s="285"/>
    </row>
    <row r="62" spans="1:96" ht="15.6">
      <c r="A62" s="285"/>
      <c r="B62" s="285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  <c r="AJ62" s="285"/>
      <c r="AK62" s="285"/>
      <c r="AL62" s="285"/>
      <c r="AM62" s="285"/>
      <c r="AN62" s="285"/>
      <c r="AO62" s="285"/>
      <c r="AP62" s="285"/>
      <c r="AQ62" s="285"/>
      <c r="AR62" s="285"/>
      <c r="AS62" s="285"/>
      <c r="AT62" s="285"/>
      <c r="AU62" s="285"/>
      <c r="AV62" s="285"/>
      <c r="AW62" s="285"/>
      <c r="AX62" s="285"/>
      <c r="AY62" s="285"/>
      <c r="AZ62" s="285"/>
      <c r="BA62" s="285"/>
      <c r="BB62" s="285"/>
      <c r="BC62" s="285"/>
      <c r="BD62" s="285"/>
      <c r="BE62" s="285"/>
      <c r="BF62" s="285"/>
      <c r="BG62" s="285"/>
      <c r="BH62" s="285"/>
      <c r="BI62" s="285"/>
      <c r="BJ62" s="285"/>
      <c r="BK62" s="285"/>
      <c r="BL62" s="285"/>
      <c r="BM62" s="285"/>
      <c r="BN62" s="285"/>
      <c r="BO62" s="285"/>
      <c r="BP62" s="285"/>
      <c r="BQ62" s="285"/>
      <c r="BR62" s="285"/>
      <c r="BS62" s="285"/>
      <c r="BT62" s="285"/>
      <c r="BU62" s="285"/>
      <c r="BV62" s="285"/>
      <c r="BW62" s="285"/>
      <c r="BX62" s="285"/>
      <c r="BY62" s="285"/>
      <c r="BZ62" s="285"/>
      <c r="CA62" s="285"/>
      <c r="CB62" s="285"/>
      <c r="CC62" s="285"/>
      <c r="CD62" s="285"/>
      <c r="CE62" s="285"/>
      <c r="CF62" s="285"/>
      <c r="CG62" s="285"/>
      <c r="CH62" s="285"/>
      <c r="CI62" s="285"/>
      <c r="CJ62" s="285"/>
      <c r="CK62" s="285"/>
      <c r="CL62" s="285"/>
      <c r="CM62" s="285"/>
      <c r="CN62" s="285"/>
      <c r="CO62" s="285"/>
      <c r="CP62" s="285"/>
      <c r="CQ62" s="285"/>
      <c r="CR62" s="285"/>
    </row>
    <row r="63" spans="1:96" ht="15.6">
      <c r="A63" s="285"/>
      <c r="B63" s="285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5"/>
      <c r="N63" s="285"/>
      <c r="O63" s="285"/>
      <c r="P63" s="285"/>
      <c r="Q63" s="285"/>
      <c r="R63" s="285"/>
      <c r="S63" s="285"/>
      <c r="T63" s="285"/>
      <c r="U63" s="285"/>
      <c r="V63" s="285"/>
      <c r="W63" s="285"/>
      <c r="X63" s="285"/>
      <c r="Y63" s="285"/>
      <c r="Z63" s="285"/>
      <c r="AA63" s="285"/>
      <c r="AB63" s="285"/>
      <c r="AC63" s="285"/>
      <c r="AD63" s="285"/>
      <c r="AE63" s="285"/>
      <c r="AF63" s="285"/>
      <c r="AG63" s="285"/>
      <c r="AH63" s="285"/>
      <c r="AI63" s="285"/>
      <c r="AJ63" s="285"/>
      <c r="AK63" s="285"/>
      <c r="AL63" s="285"/>
      <c r="AM63" s="285"/>
      <c r="AN63" s="285"/>
      <c r="AO63" s="285"/>
      <c r="AP63" s="285"/>
      <c r="AQ63" s="285"/>
      <c r="AR63" s="285"/>
      <c r="AS63" s="285"/>
      <c r="AT63" s="285"/>
      <c r="AU63" s="285"/>
      <c r="AV63" s="285"/>
      <c r="AW63" s="285"/>
      <c r="AX63" s="285"/>
      <c r="AY63" s="285"/>
      <c r="AZ63" s="285"/>
      <c r="BA63" s="285"/>
      <c r="BB63" s="285"/>
      <c r="BC63" s="285"/>
      <c r="BD63" s="285"/>
      <c r="BE63" s="285"/>
      <c r="BF63" s="285"/>
      <c r="BG63" s="285"/>
      <c r="BH63" s="285"/>
      <c r="BI63" s="285"/>
      <c r="BJ63" s="285"/>
      <c r="BK63" s="285"/>
      <c r="BL63" s="285"/>
      <c r="BM63" s="285"/>
      <c r="BN63" s="285"/>
      <c r="BO63" s="285"/>
      <c r="BP63" s="285"/>
      <c r="BQ63" s="285"/>
      <c r="BR63" s="285"/>
      <c r="BS63" s="285"/>
      <c r="BT63" s="285"/>
      <c r="BU63" s="285"/>
      <c r="BV63" s="285"/>
      <c r="BW63" s="285"/>
      <c r="BX63" s="285"/>
      <c r="BY63" s="285"/>
      <c r="BZ63" s="285"/>
      <c r="CA63" s="285"/>
      <c r="CB63" s="285"/>
      <c r="CC63" s="285"/>
      <c r="CD63" s="285"/>
      <c r="CE63" s="285"/>
      <c r="CF63" s="285"/>
      <c r="CG63" s="285"/>
      <c r="CH63" s="285"/>
      <c r="CI63" s="285"/>
      <c r="CJ63" s="285"/>
      <c r="CK63" s="285"/>
      <c r="CL63" s="285"/>
      <c r="CM63" s="285"/>
      <c r="CN63" s="285"/>
      <c r="CO63" s="285"/>
      <c r="CP63" s="285"/>
      <c r="CQ63" s="285"/>
      <c r="CR63" s="285"/>
    </row>
    <row r="64" spans="1:96" ht="15.6">
      <c r="A64" s="285"/>
      <c r="B64" s="285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5"/>
      <c r="N64" s="285"/>
      <c r="O64" s="285"/>
      <c r="P64" s="285"/>
      <c r="Q64" s="285"/>
      <c r="R64" s="285"/>
      <c r="S64" s="285"/>
      <c r="T64" s="285"/>
      <c r="U64" s="285"/>
      <c r="V64" s="28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95"/>
      <c r="AN64" s="295"/>
      <c r="AO64" s="295"/>
      <c r="AP64" s="295"/>
      <c r="AQ64" s="295"/>
      <c r="AR64" s="295"/>
      <c r="AS64" s="295"/>
      <c r="AT64" s="295"/>
      <c r="AU64" s="295"/>
      <c r="AV64" s="295"/>
      <c r="AW64" s="295"/>
      <c r="AX64" s="295"/>
      <c r="AY64" s="295"/>
      <c r="AZ64" s="295"/>
      <c r="BA64" s="295"/>
      <c r="BB64" s="295"/>
      <c r="BC64" s="295"/>
      <c r="BD64" s="295"/>
      <c r="BE64" s="295"/>
      <c r="BF64" s="295"/>
      <c r="BG64" s="295"/>
      <c r="BH64" s="295"/>
      <c r="BI64" s="295"/>
      <c r="BJ64" s="295"/>
      <c r="BK64" s="295"/>
      <c r="BL64" s="285"/>
      <c r="BM64" s="285"/>
      <c r="BN64" s="285"/>
      <c r="BO64" s="285"/>
      <c r="BP64" s="285"/>
      <c r="BQ64" s="285"/>
      <c r="BR64" s="285"/>
      <c r="BS64" s="285"/>
      <c r="BT64" s="285"/>
      <c r="BU64" s="285"/>
      <c r="BV64" s="285"/>
      <c r="BW64" s="285"/>
      <c r="BX64" s="285"/>
      <c r="BY64" s="285"/>
      <c r="BZ64" s="285"/>
      <c r="CA64" s="285"/>
      <c r="CB64" s="285"/>
      <c r="CC64" s="285"/>
      <c r="CD64" s="285"/>
      <c r="CE64" s="285"/>
      <c r="CF64" s="285"/>
      <c r="CG64" s="285"/>
      <c r="CH64" s="285"/>
      <c r="CI64" s="285"/>
      <c r="CJ64" s="285"/>
      <c r="CK64" s="285"/>
      <c r="CL64" s="285"/>
      <c r="CM64" s="285"/>
      <c r="CN64" s="285"/>
      <c r="CO64" s="285"/>
      <c r="CP64" s="285"/>
      <c r="CQ64" s="285"/>
      <c r="CR64" s="285"/>
    </row>
    <row r="65" spans="1:96" ht="15.6">
      <c r="A65" s="285"/>
      <c r="B65" s="285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5"/>
      <c r="N65" s="285"/>
      <c r="O65" s="285"/>
      <c r="P65" s="285"/>
      <c r="Q65" s="285"/>
      <c r="R65" s="285"/>
      <c r="S65" s="285"/>
      <c r="T65" s="285"/>
      <c r="U65" s="285"/>
      <c r="V65" s="28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295"/>
      <c r="AX65" s="295"/>
      <c r="AY65" s="295"/>
      <c r="AZ65" s="295"/>
      <c r="BA65" s="295"/>
      <c r="BB65" s="295"/>
      <c r="BC65" s="295"/>
      <c r="BD65" s="295"/>
      <c r="BE65" s="295"/>
      <c r="BF65" s="295"/>
      <c r="BG65" s="295"/>
      <c r="BH65" s="295"/>
      <c r="BI65" s="295"/>
      <c r="BJ65" s="295"/>
      <c r="BK65" s="295"/>
      <c r="BL65" s="285"/>
      <c r="BM65" s="285"/>
      <c r="BN65" s="285"/>
      <c r="BO65" s="285"/>
      <c r="BP65" s="285"/>
      <c r="BQ65" s="285"/>
      <c r="BR65" s="285"/>
      <c r="BS65" s="285"/>
      <c r="BT65" s="285"/>
      <c r="BU65" s="285"/>
      <c r="BV65" s="285"/>
      <c r="BW65" s="285"/>
      <c r="BX65" s="285"/>
      <c r="BY65" s="285"/>
      <c r="BZ65" s="285"/>
      <c r="CA65" s="285"/>
      <c r="CB65" s="285"/>
      <c r="CC65" s="285"/>
      <c r="CD65" s="285"/>
      <c r="CE65" s="285"/>
      <c r="CF65" s="285"/>
      <c r="CG65" s="285"/>
      <c r="CH65" s="285"/>
      <c r="CI65" s="285"/>
      <c r="CJ65" s="285"/>
      <c r="CK65" s="285"/>
      <c r="CL65" s="285"/>
      <c r="CM65" s="285"/>
      <c r="CN65" s="285"/>
      <c r="CO65" s="285"/>
      <c r="CP65" s="285"/>
      <c r="CQ65" s="285"/>
      <c r="CR65" s="285"/>
    </row>
    <row r="66" spans="1:96" ht="15.6">
      <c r="A66" s="285"/>
      <c r="B66" s="285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5"/>
      <c r="N66" s="285"/>
      <c r="O66" s="285"/>
      <c r="P66" s="285"/>
      <c r="Q66" s="285"/>
      <c r="R66" s="285"/>
      <c r="S66" s="285"/>
      <c r="T66" s="285"/>
      <c r="U66" s="285"/>
      <c r="V66" s="285"/>
      <c r="W66" s="295"/>
      <c r="X66" s="295"/>
      <c r="Y66" s="295"/>
      <c r="Z66" s="295"/>
      <c r="AA66" s="313"/>
      <c r="AB66" s="313"/>
      <c r="AC66" s="295"/>
      <c r="AD66" s="313"/>
      <c r="AE66" s="30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295"/>
      <c r="AW66" s="295"/>
      <c r="AX66" s="295"/>
      <c r="AY66" s="295"/>
      <c r="AZ66" s="295"/>
      <c r="BA66" s="295"/>
      <c r="BB66" s="295"/>
      <c r="BC66" s="295"/>
      <c r="BD66" s="295"/>
      <c r="BE66" s="295"/>
      <c r="BF66" s="295"/>
      <c r="BG66" s="295"/>
      <c r="BH66" s="295"/>
      <c r="BI66" s="295"/>
      <c r="BJ66" s="295"/>
      <c r="BK66" s="295"/>
      <c r="BL66" s="285"/>
      <c r="BM66" s="285"/>
      <c r="BN66" s="285"/>
      <c r="BO66" s="285"/>
      <c r="BP66" s="285"/>
      <c r="BQ66" s="285"/>
      <c r="BR66" s="285"/>
      <c r="BS66" s="285"/>
      <c r="BT66" s="285"/>
      <c r="BU66" s="285"/>
      <c r="BV66" s="285"/>
      <c r="BW66" s="285"/>
      <c r="BX66" s="285"/>
      <c r="BY66" s="285"/>
      <c r="BZ66" s="285"/>
      <c r="CA66" s="285"/>
      <c r="CB66" s="285"/>
      <c r="CC66" s="285"/>
      <c r="CD66" s="285"/>
      <c r="CE66" s="285"/>
      <c r="CF66" s="285"/>
      <c r="CG66" s="285"/>
      <c r="CH66" s="285"/>
      <c r="CI66" s="285"/>
      <c r="CJ66" s="285"/>
      <c r="CK66" s="285"/>
      <c r="CL66" s="285"/>
      <c r="CM66" s="285"/>
      <c r="CN66" s="285"/>
      <c r="CO66" s="285"/>
      <c r="CP66" s="285"/>
      <c r="CQ66" s="285"/>
      <c r="CR66" s="285"/>
    </row>
    <row r="67" spans="1:96" ht="15.6">
      <c r="A67" s="285"/>
      <c r="B67" s="285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5"/>
      <c r="AA67" s="285"/>
      <c r="AB67" s="285"/>
      <c r="AC67" s="285"/>
      <c r="AD67" s="285"/>
      <c r="AE67" s="285"/>
      <c r="AF67" s="285"/>
      <c r="AG67" s="285"/>
      <c r="AH67" s="285"/>
      <c r="AI67" s="285"/>
      <c r="AJ67" s="285"/>
      <c r="AK67" s="285"/>
      <c r="AL67" s="285"/>
      <c r="AM67" s="285"/>
      <c r="AN67" s="285"/>
      <c r="AO67" s="285"/>
      <c r="AP67" s="285"/>
      <c r="AQ67" s="285"/>
      <c r="AR67" s="285"/>
      <c r="AS67" s="285"/>
      <c r="AT67" s="285"/>
      <c r="AU67" s="285"/>
      <c r="AV67" s="285"/>
      <c r="AW67" s="285"/>
      <c r="AX67" s="285"/>
      <c r="AY67" s="285"/>
      <c r="AZ67" s="285"/>
      <c r="BA67" s="285"/>
      <c r="BB67" s="285"/>
      <c r="BC67" s="285"/>
      <c r="BD67" s="285"/>
      <c r="BE67" s="285"/>
      <c r="BF67" s="285"/>
      <c r="BG67" s="285"/>
      <c r="BH67" s="285"/>
      <c r="BI67" s="285"/>
      <c r="BJ67" s="285"/>
      <c r="BK67" s="285"/>
      <c r="BL67" s="285"/>
      <c r="BM67" s="285"/>
      <c r="BN67" s="285"/>
      <c r="BO67" s="285"/>
      <c r="BP67" s="285"/>
      <c r="BQ67" s="285"/>
      <c r="BR67" s="285"/>
      <c r="BS67" s="285"/>
      <c r="BT67" s="285"/>
      <c r="BU67" s="285"/>
      <c r="BV67" s="285"/>
      <c r="BW67" s="285"/>
      <c r="BX67" s="285"/>
      <c r="BY67" s="285"/>
      <c r="BZ67" s="285"/>
      <c r="CA67" s="285"/>
      <c r="CB67" s="285"/>
      <c r="CC67" s="285"/>
      <c r="CD67" s="285"/>
      <c r="CE67" s="285"/>
      <c r="CF67" s="285"/>
      <c r="CG67" s="285"/>
      <c r="CH67" s="285"/>
      <c r="CI67" s="285"/>
      <c r="CJ67" s="285"/>
      <c r="CK67" s="285"/>
      <c r="CL67" s="285"/>
      <c r="CM67" s="285"/>
      <c r="CN67" s="285"/>
      <c r="CO67" s="285"/>
      <c r="CP67" s="285"/>
      <c r="CQ67" s="285"/>
      <c r="CR67" s="285"/>
    </row>
    <row r="68" spans="1:96" ht="15.6">
      <c r="A68" s="285"/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B68" s="285"/>
      <c r="AC68" s="285"/>
      <c r="AD68" s="285"/>
      <c r="AE68" s="285"/>
      <c r="AF68" s="285"/>
      <c r="AG68" s="285"/>
      <c r="AH68" s="285"/>
      <c r="AI68" s="285"/>
      <c r="AJ68" s="285"/>
      <c r="AK68" s="285"/>
      <c r="AL68" s="285"/>
      <c r="AM68" s="285"/>
      <c r="AN68" s="285"/>
      <c r="AO68" s="285"/>
      <c r="AP68" s="285"/>
      <c r="AQ68" s="285"/>
      <c r="AR68" s="285"/>
      <c r="AS68" s="285"/>
      <c r="AT68" s="285"/>
      <c r="AU68" s="285"/>
      <c r="AV68" s="285"/>
      <c r="AW68" s="285"/>
      <c r="AX68" s="285"/>
      <c r="AY68" s="285"/>
      <c r="AZ68" s="285"/>
      <c r="BA68" s="285"/>
      <c r="BB68" s="285"/>
      <c r="BC68" s="285"/>
      <c r="BD68" s="285"/>
      <c r="BE68" s="285"/>
      <c r="BF68" s="285"/>
      <c r="BG68" s="285"/>
      <c r="BH68" s="285"/>
      <c r="BI68" s="285"/>
      <c r="BJ68" s="285"/>
      <c r="BK68" s="285"/>
      <c r="BL68" s="285"/>
      <c r="BM68" s="285"/>
      <c r="BN68" s="285"/>
      <c r="BO68" s="285"/>
      <c r="BP68" s="285"/>
      <c r="BQ68" s="285"/>
      <c r="BR68" s="285"/>
      <c r="BS68" s="285"/>
      <c r="BT68" s="285"/>
      <c r="BU68" s="285"/>
      <c r="BV68" s="285"/>
      <c r="BW68" s="285"/>
      <c r="BX68" s="285"/>
      <c r="BY68" s="285"/>
      <c r="BZ68" s="285"/>
      <c r="CA68" s="285"/>
      <c r="CB68" s="285"/>
      <c r="CC68" s="285"/>
      <c r="CD68" s="285"/>
      <c r="CE68" s="285"/>
      <c r="CF68" s="285"/>
      <c r="CG68" s="285"/>
      <c r="CH68" s="285"/>
      <c r="CI68" s="285"/>
      <c r="CJ68" s="285"/>
      <c r="CK68" s="285"/>
      <c r="CL68" s="285"/>
      <c r="CM68" s="285"/>
      <c r="CN68" s="285"/>
      <c r="CO68" s="285"/>
      <c r="CP68" s="285"/>
      <c r="CQ68" s="285"/>
      <c r="CR68" s="285"/>
    </row>
    <row r="69" spans="1:96" ht="15.6">
      <c r="A69" s="285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B69" s="285"/>
      <c r="AC69" s="285"/>
      <c r="AD69" s="285"/>
      <c r="AE69" s="285"/>
      <c r="AF69" s="285"/>
      <c r="AG69" s="285"/>
      <c r="AH69" s="285"/>
      <c r="AI69" s="285"/>
      <c r="AJ69" s="285"/>
      <c r="AK69" s="285"/>
      <c r="AL69" s="285"/>
      <c r="AM69" s="285"/>
      <c r="AN69" s="285"/>
      <c r="AO69" s="285"/>
      <c r="AP69" s="285"/>
      <c r="AQ69" s="285"/>
      <c r="AR69" s="285"/>
      <c r="AS69" s="285"/>
      <c r="AT69" s="285"/>
      <c r="AU69" s="285"/>
      <c r="AV69" s="285"/>
      <c r="AW69" s="285"/>
      <c r="AX69" s="285"/>
      <c r="AY69" s="285"/>
      <c r="AZ69" s="285"/>
      <c r="BA69" s="285"/>
      <c r="BB69" s="285"/>
      <c r="BC69" s="285"/>
      <c r="BD69" s="285"/>
      <c r="BE69" s="285"/>
      <c r="BF69" s="285"/>
      <c r="BG69" s="285"/>
      <c r="BH69" s="285"/>
      <c r="BI69" s="285"/>
      <c r="BJ69" s="285"/>
      <c r="BK69" s="285"/>
      <c r="BL69" s="285"/>
      <c r="BM69" s="285"/>
      <c r="BN69" s="285"/>
      <c r="BO69" s="285"/>
      <c r="BP69" s="285"/>
      <c r="BQ69" s="285"/>
      <c r="BR69" s="285"/>
      <c r="BS69" s="285"/>
      <c r="BT69" s="285"/>
      <c r="BU69" s="285"/>
      <c r="BV69" s="285"/>
      <c r="BW69" s="285"/>
      <c r="BX69" s="285"/>
      <c r="BY69" s="285"/>
      <c r="BZ69" s="285"/>
      <c r="CA69" s="285"/>
      <c r="CB69" s="285"/>
      <c r="CC69" s="285"/>
      <c r="CD69" s="285"/>
      <c r="CE69" s="285"/>
      <c r="CF69" s="285"/>
      <c r="CG69" s="285"/>
      <c r="CH69" s="285"/>
      <c r="CI69" s="285"/>
      <c r="CJ69" s="285"/>
      <c r="CK69" s="285"/>
      <c r="CL69" s="285"/>
      <c r="CM69" s="285"/>
      <c r="CN69" s="285"/>
      <c r="CO69" s="285"/>
      <c r="CP69" s="285"/>
      <c r="CQ69" s="285"/>
      <c r="CR69" s="285"/>
    </row>
    <row r="70" spans="1:96" ht="15.6">
      <c r="A70" s="285"/>
      <c r="B70" s="285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5"/>
      <c r="N70" s="285"/>
      <c r="O70" s="285"/>
      <c r="P70" s="285"/>
      <c r="Q70" s="285"/>
      <c r="R70" s="285"/>
      <c r="S70" s="285"/>
      <c r="T70" s="285"/>
      <c r="U70" s="285"/>
      <c r="V70" s="285"/>
      <c r="W70" s="285"/>
      <c r="X70" s="285"/>
      <c r="Y70" s="285"/>
      <c r="Z70" s="285"/>
      <c r="AA70" s="285"/>
      <c r="AB70" s="285"/>
      <c r="AC70" s="285"/>
      <c r="AD70" s="285"/>
      <c r="AE70" s="285"/>
      <c r="AF70" s="285"/>
      <c r="AG70" s="285"/>
      <c r="AH70" s="285"/>
      <c r="AI70" s="285"/>
      <c r="AJ70" s="285"/>
      <c r="AK70" s="285"/>
      <c r="AL70" s="285"/>
      <c r="AM70" s="285"/>
      <c r="AN70" s="285"/>
      <c r="AO70" s="285"/>
      <c r="AP70" s="285"/>
      <c r="AQ70" s="285"/>
      <c r="AR70" s="285"/>
      <c r="AS70" s="285"/>
      <c r="AT70" s="285"/>
      <c r="AU70" s="285"/>
      <c r="AV70" s="285"/>
      <c r="AW70" s="285"/>
      <c r="AX70" s="285"/>
      <c r="AY70" s="285"/>
      <c r="AZ70" s="285"/>
      <c r="BA70" s="285"/>
      <c r="BB70" s="285"/>
      <c r="BC70" s="285"/>
      <c r="BD70" s="285"/>
      <c r="BE70" s="285"/>
      <c r="BF70" s="285"/>
      <c r="BG70" s="285"/>
      <c r="BH70" s="285"/>
      <c r="BI70" s="285"/>
      <c r="BJ70" s="285"/>
      <c r="BK70" s="285"/>
      <c r="BL70" s="285"/>
      <c r="BM70" s="285"/>
      <c r="BN70" s="285"/>
      <c r="BO70" s="285"/>
      <c r="BP70" s="285"/>
      <c r="BQ70" s="285"/>
      <c r="BR70" s="285"/>
      <c r="BS70" s="285"/>
      <c r="BT70" s="285"/>
      <c r="BU70" s="285"/>
      <c r="BV70" s="285"/>
      <c r="BW70" s="285"/>
      <c r="BX70" s="285"/>
      <c r="BY70" s="285"/>
      <c r="BZ70" s="285"/>
      <c r="CA70" s="285"/>
      <c r="CB70" s="285"/>
      <c r="CC70" s="285"/>
      <c r="CD70" s="285"/>
      <c r="CE70" s="285"/>
      <c r="CF70" s="285"/>
      <c r="CG70" s="285"/>
      <c r="CH70" s="285"/>
      <c r="CI70" s="285"/>
      <c r="CJ70" s="285"/>
      <c r="CK70" s="285"/>
      <c r="CL70" s="285"/>
      <c r="CM70" s="285"/>
      <c r="CN70" s="285"/>
      <c r="CO70" s="285"/>
      <c r="CP70" s="285"/>
      <c r="CQ70" s="285"/>
      <c r="CR70" s="285"/>
    </row>
    <row r="71" spans="1:96" ht="15.6">
      <c r="A71" s="285"/>
      <c r="B71" s="285"/>
      <c r="C71" s="285"/>
      <c r="D71" s="285"/>
      <c r="E71" s="285"/>
      <c r="F71" s="285"/>
      <c r="G71" s="285"/>
      <c r="H71" s="285"/>
      <c r="I71" s="285"/>
      <c r="J71" s="285"/>
      <c r="K71" s="285"/>
      <c r="L71" s="285"/>
      <c r="M71" s="285"/>
      <c r="N71" s="285"/>
      <c r="O71" s="285"/>
      <c r="P71" s="285"/>
      <c r="Q71" s="285"/>
      <c r="R71" s="285"/>
      <c r="S71" s="285"/>
      <c r="T71" s="285"/>
      <c r="U71" s="285"/>
      <c r="V71" s="285"/>
      <c r="W71" s="285"/>
      <c r="X71" s="285"/>
      <c r="Y71" s="285"/>
      <c r="Z71" s="285"/>
      <c r="AA71" s="285"/>
      <c r="AB71" s="285"/>
      <c r="AC71" s="285"/>
      <c r="AD71" s="285"/>
      <c r="AE71" s="285"/>
      <c r="AF71" s="285"/>
      <c r="AG71" s="285"/>
      <c r="AH71" s="285"/>
      <c r="AI71" s="285"/>
      <c r="AJ71" s="285"/>
      <c r="AK71" s="285"/>
      <c r="AL71" s="285"/>
      <c r="AM71" s="285"/>
      <c r="AN71" s="285"/>
      <c r="AO71" s="285"/>
      <c r="AP71" s="285"/>
      <c r="AQ71" s="285"/>
      <c r="AR71" s="285"/>
      <c r="AS71" s="285"/>
      <c r="AT71" s="285"/>
      <c r="AU71" s="285"/>
      <c r="AV71" s="285"/>
      <c r="AW71" s="285"/>
      <c r="AX71" s="285"/>
      <c r="AY71" s="285"/>
      <c r="AZ71" s="285"/>
      <c r="BA71" s="285"/>
      <c r="BB71" s="285"/>
      <c r="BC71" s="285"/>
      <c r="BD71" s="285"/>
      <c r="BE71" s="285"/>
      <c r="BF71" s="285"/>
      <c r="BG71" s="285"/>
      <c r="BH71" s="285"/>
      <c r="BI71" s="285"/>
      <c r="BJ71" s="285"/>
      <c r="BK71" s="285"/>
      <c r="BL71" s="285"/>
      <c r="BM71" s="285"/>
      <c r="BN71" s="285"/>
      <c r="BO71" s="285"/>
      <c r="BP71" s="285"/>
      <c r="BQ71" s="285"/>
      <c r="BR71" s="285"/>
      <c r="BS71" s="285"/>
      <c r="BT71" s="285"/>
      <c r="BU71" s="285"/>
      <c r="BV71" s="285"/>
      <c r="BW71" s="285"/>
      <c r="BX71" s="285"/>
      <c r="BY71" s="285"/>
      <c r="BZ71" s="285"/>
      <c r="CA71" s="285"/>
      <c r="CB71" s="285"/>
      <c r="CC71" s="285"/>
      <c r="CD71" s="285"/>
      <c r="CE71" s="285"/>
      <c r="CF71" s="285"/>
      <c r="CG71" s="285"/>
      <c r="CH71" s="285"/>
      <c r="CI71" s="285"/>
      <c r="CJ71" s="285"/>
      <c r="CK71" s="285"/>
      <c r="CL71" s="285"/>
      <c r="CM71" s="285"/>
      <c r="CN71" s="285"/>
      <c r="CO71" s="285"/>
      <c r="CP71" s="285"/>
      <c r="CQ71" s="285"/>
      <c r="CR71" s="285"/>
    </row>
    <row r="72" spans="1:96" ht="15.6">
      <c r="A72" s="285"/>
      <c r="B72" s="285"/>
      <c r="C72" s="285"/>
      <c r="D72" s="285"/>
      <c r="E72" s="285"/>
      <c r="F72" s="285"/>
      <c r="G72" s="285"/>
      <c r="H72" s="285"/>
      <c r="I72" s="285"/>
      <c r="J72" s="285"/>
      <c r="K72" s="285"/>
      <c r="L72" s="285"/>
      <c r="M72" s="285"/>
      <c r="N72" s="285"/>
      <c r="O72" s="285"/>
      <c r="P72" s="285"/>
      <c r="Q72" s="285"/>
      <c r="R72" s="285"/>
      <c r="S72" s="285"/>
      <c r="T72" s="285"/>
      <c r="U72" s="285"/>
      <c r="V72" s="285"/>
      <c r="W72" s="285"/>
      <c r="X72" s="285"/>
      <c r="Y72" s="285"/>
      <c r="Z72" s="285"/>
      <c r="AA72" s="285"/>
      <c r="AB72" s="285"/>
      <c r="AC72" s="285"/>
      <c r="AD72" s="285"/>
      <c r="AE72" s="285"/>
      <c r="AF72" s="285"/>
      <c r="AG72" s="285"/>
      <c r="AH72" s="285"/>
      <c r="AI72" s="285"/>
      <c r="AJ72" s="285"/>
      <c r="AK72" s="285"/>
      <c r="AL72" s="285"/>
      <c r="AM72" s="285"/>
      <c r="AN72" s="285"/>
      <c r="AO72" s="285"/>
      <c r="AP72" s="285"/>
      <c r="AQ72" s="285"/>
      <c r="AR72" s="285"/>
      <c r="AS72" s="285"/>
      <c r="AT72" s="285"/>
      <c r="AU72" s="285"/>
      <c r="AV72" s="285"/>
      <c r="AW72" s="285"/>
      <c r="AX72" s="285"/>
      <c r="AY72" s="285"/>
      <c r="AZ72" s="285"/>
      <c r="BA72" s="285"/>
      <c r="BB72" s="285"/>
      <c r="BC72" s="285"/>
      <c r="BD72" s="285"/>
      <c r="BE72" s="285"/>
      <c r="BF72" s="285"/>
      <c r="BG72" s="285"/>
      <c r="BH72" s="285"/>
      <c r="BI72" s="285"/>
      <c r="BJ72" s="285"/>
      <c r="BK72" s="285"/>
      <c r="BL72" s="285"/>
      <c r="BM72" s="285"/>
      <c r="BN72" s="285"/>
      <c r="BO72" s="285"/>
      <c r="BP72" s="285"/>
      <c r="BQ72" s="285"/>
      <c r="BR72" s="285"/>
      <c r="BS72" s="285"/>
      <c r="BT72" s="285"/>
      <c r="BU72" s="285"/>
      <c r="BV72" s="285"/>
      <c r="BW72" s="285"/>
      <c r="BX72" s="285"/>
      <c r="BY72" s="285"/>
      <c r="BZ72" s="285"/>
      <c r="CA72" s="285"/>
      <c r="CB72" s="285"/>
      <c r="CC72" s="285"/>
      <c r="CD72" s="285"/>
      <c r="CE72" s="285"/>
      <c r="CF72" s="285"/>
      <c r="CG72" s="285"/>
      <c r="CH72" s="285"/>
      <c r="CI72" s="285"/>
      <c r="CJ72" s="285"/>
      <c r="CK72" s="285"/>
      <c r="CL72" s="285"/>
      <c r="CM72" s="285"/>
      <c r="CN72" s="285"/>
      <c r="CO72" s="285"/>
      <c r="CP72" s="285"/>
      <c r="CQ72" s="285"/>
      <c r="CR72" s="285"/>
    </row>
    <row r="73" spans="1:96" ht="15.6">
      <c r="A73" s="285"/>
      <c r="B73" s="285"/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  <c r="V73" s="285"/>
      <c r="W73" s="285"/>
      <c r="X73" s="285"/>
      <c r="Y73" s="285"/>
      <c r="Z73" s="285"/>
      <c r="AA73" s="285"/>
      <c r="AB73" s="285"/>
      <c r="AC73" s="285"/>
      <c r="AD73" s="285"/>
      <c r="AE73" s="285"/>
      <c r="AF73" s="285"/>
      <c r="AG73" s="285"/>
      <c r="AH73" s="285"/>
      <c r="AI73" s="285"/>
      <c r="AJ73" s="285"/>
      <c r="AK73" s="285"/>
      <c r="AL73" s="285"/>
      <c r="AM73" s="285"/>
      <c r="AN73" s="285"/>
      <c r="AO73" s="285"/>
      <c r="AP73" s="285"/>
      <c r="AQ73" s="285"/>
      <c r="AR73" s="285"/>
      <c r="AS73" s="285"/>
      <c r="AT73" s="285"/>
      <c r="AU73" s="285"/>
      <c r="AV73" s="285"/>
      <c r="AW73" s="285"/>
      <c r="AX73" s="285"/>
      <c r="AY73" s="285"/>
      <c r="AZ73" s="285"/>
      <c r="BA73" s="285"/>
      <c r="BB73" s="285"/>
      <c r="BC73" s="285"/>
      <c r="BD73" s="285"/>
      <c r="BE73" s="285"/>
      <c r="BF73" s="285"/>
      <c r="BG73" s="285"/>
      <c r="BH73" s="285"/>
      <c r="BI73" s="285"/>
      <c r="BJ73" s="285"/>
      <c r="BK73" s="285"/>
      <c r="BL73" s="285"/>
      <c r="BM73" s="285"/>
      <c r="BN73" s="285"/>
      <c r="BO73" s="285"/>
      <c r="BP73" s="285"/>
      <c r="BQ73" s="285"/>
      <c r="BR73" s="285"/>
      <c r="BS73" s="285"/>
      <c r="BT73" s="285"/>
      <c r="BU73" s="285"/>
      <c r="BV73" s="285"/>
      <c r="BW73" s="285"/>
      <c r="BX73" s="285"/>
      <c r="BY73" s="285"/>
      <c r="BZ73" s="285"/>
      <c r="CA73" s="285"/>
      <c r="CB73" s="285"/>
      <c r="CC73" s="285"/>
      <c r="CD73" s="285"/>
      <c r="CE73" s="285"/>
      <c r="CF73" s="285"/>
      <c r="CG73" s="285"/>
      <c r="CH73" s="285"/>
      <c r="CI73" s="285"/>
      <c r="CJ73" s="285"/>
      <c r="CK73" s="285"/>
      <c r="CL73" s="285"/>
      <c r="CM73" s="285"/>
      <c r="CN73" s="285"/>
      <c r="CO73" s="285"/>
      <c r="CP73" s="285"/>
      <c r="CQ73" s="285"/>
      <c r="CR73" s="285"/>
    </row>
    <row r="74" spans="1:96" ht="15.6">
      <c r="A74" s="285"/>
      <c r="B74" s="285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  <c r="N74" s="285"/>
      <c r="O74" s="285"/>
      <c r="P74" s="285"/>
      <c r="Q74" s="285"/>
      <c r="R74" s="285"/>
      <c r="S74" s="285"/>
      <c r="T74" s="285"/>
      <c r="U74" s="285"/>
      <c r="V74" s="285"/>
      <c r="W74" s="285"/>
      <c r="X74" s="285"/>
      <c r="Y74" s="285"/>
      <c r="Z74" s="285"/>
      <c r="AA74" s="285"/>
      <c r="AB74" s="285"/>
      <c r="AC74" s="285"/>
      <c r="AD74" s="285"/>
      <c r="AE74" s="285"/>
      <c r="AF74" s="285"/>
      <c r="AG74" s="285"/>
      <c r="AH74" s="285"/>
      <c r="AI74" s="285"/>
      <c r="AJ74" s="285"/>
      <c r="AK74" s="285"/>
      <c r="AL74" s="285"/>
      <c r="AM74" s="285"/>
      <c r="AN74" s="285"/>
      <c r="AO74" s="285"/>
      <c r="AP74" s="285"/>
      <c r="AQ74" s="285"/>
      <c r="AR74" s="285"/>
      <c r="AS74" s="285"/>
      <c r="AT74" s="285"/>
      <c r="AU74" s="285"/>
      <c r="AV74" s="285"/>
      <c r="AW74" s="285"/>
      <c r="AX74" s="285"/>
      <c r="AY74" s="285"/>
      <c r="AZ74" s="285"/>
      <c r="BA74" s="285"/>
      <c r="BB74" s="285"/>
      <c r="BC74" s="285"/>
      <c r="BD74" s="285"/>
      <c r="BE74" s="285"/>
      <c r="BF74" s="285"/>
      <c r="BG74" s="285"/>
      <c r="BH74" s="285"/>
      <c r="BI74" s="285"/>
      <c r="BJ74" s="285"/>
      <c r="BK74" s="285"/>
      <c r="BL74" s="285"/>
      <c r="BM74" s="285"/>
      <c r="BN74" s="285"/>
      <c r="BO74" s="285"/>
      <c r="BP74" s="285"/>
      <c r="BQ74" s="285"/>
      <c r="BR74" s="285"/>
      <c r="BS74" s="285"/>
      <c r="BT74" s="285"/>
      <c r="BU74" s="285"/>
      <c r="BV74" s="285"/>
      <c r="BW74" s="285"/>
      <c r="BX74" s="285"/>
      <c r="BY74" s="285"/>
      <c r="BZ74" s="285"/>
      <c r="CA74" s="285"/>
      <c r="CB74" s="285"/>
      <c r="CC74" s="285"/>
      <c r="CD74" s="285"/>
      <c r="CE74" s="285"/>
      <c r="CF74" s="285"/>
      <c r="CG74" s="285"/>
      <c r="CH74" s="285"/>
      <c r="CI74" s="285"/>
      <c r="CJ74" s="285"/>
      <c r="CK74" s="285"/>
      <c r="CL74" s="285"/>
      <c r="CM74" s="285"/>
      <c r="CN74" s="285"/>
      <c r="CO74" s="285"/>
      <c r="CP74" s="285"/>
      <c r="CQ74" s="285"/>
      <c r="CR74" s="285"/>
    </row>
    <row r="75" spans="1:96" ht="15.6">
      <c r="A75" s="285"/>
      <c r="B75" s="285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  <c r="N75" s="285"/>
      <c r="O75" s="285"/>
      <c r="P75" s="285"/>
      <c r="Q75" s="285"/>
      <c r="R75" s="285"/>
      <c r="S75" s="285"/>
      <c r="T75" s="285"/>
      <c r="U75" s="285"/>
      <c r="V75" s="285"/>
      <c r="W75" s="285"/>
      <c r="X75" s="285"/>
      <c r="Y75" s="285"/>
      <c r="Z75" s="285"/>
      <c r="AA75" s="285"/>
      <c r="AB75" s="285"/>
      <c r="AC75" s="285"/>
      <c r="AD75" s="285"/>
      <c r="AE75" s="285"/>
      <c r="AF75" s="285"/>
      <c r="AG75" s="285"/>
      <c r="AH75" s="285"/>
      <c r="AI75" s="285"/>
      <c r="AJ75" s="285"/>
      <c r="AK75" s="285"/>
      <c r="AL75" s="285"/>
      <c r="AM75" s="285"/>
      <c r="AN75" s="285"/>
      <c r="AO75" s="285"/>
      <c r="AP75" s="285"/>
      <c r="AQ75" s="285"/>
      <c r="AR75" s="285"/>
      <c r="AS75" s="285"/>
      <c r="AT75" s="285"/>
      <c r="AU75" s="285"/>
      <c r="AV75" s="285"/>
      <c r="AW75" s="285"/>
      <c r="AX75" s="285"/>
      <c r="AY75" s="285"/>
      <c r="AZ75" s="285"/>
      <c r="BA75" s="285"/>
      <c r="BB75" s="285"/>
      <c r="BC75" s="285"/>
      <c r="BD75" s="285"/>
      <c r="BE75" s="285"/>
      <c r="BF75" s="285"/>
      <c r="BG75" s="285"/>
      <c r="BH75" s="285"/>
      <c r="BI75" s="285"/>
      <c r="BJ75" s="285"/>
      <c r="BK75" s="285"/>
      <c r="BL75" s="285"/>
      <c r="BM75" s="285"/>
      <c r="BN75" s="285"/>
      <c r="BO75" s="285"/>
      <c r="BP75" s="285"/>
      <c r="BQ75" s="285"/>
      <c r="BR75" s="285"/>
      <c r="BS75" s="285"/>
      <c r="BT75" s="285"/>
      <c r="BU75" s="285"/>
      <c r="BV75" s="285"/>
      <c r="BW75" s="285"/>
      <c r="BX75" s="285"/>
      <c r="BY75" s="285"/>
      <c r="BZ75" s="285"/>
      <c r="CA75" s="285"/>
      <c r="CB75" s="285"/>
      <c r="CC75" s="285"/>
      <c r="CD75" s="285"/>
      <c r="CE75" s="285"/>
      <c r="CF75" s="285"/>
      <c r="CG75" s="285"/>
      <c r="CH75" s="285"/>
      <c r="CI75" s="285"/>
      <c r="CJ75" s="285"/>
      <c r="CK75" s="285"/>
      <c r="CL75" s="285"/>
      <c r="CM75" s="285"/>
      <c r="CN75" s="285"/>
      <c r="CO75" s="285"/>
      <c r="CP75" s="285"/>
      <c r="CQ75" s="285"/>
      <c r="CR75" s="285"/>
    </row>
    <row r="76" spans="1:96" ht="15.6">
      <c r="A76" s="285"/>
      <c r="B76" s="285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  <c r="N76" s="285"/>
      <c r="O76" s="285"/>
      <c r="P76" s="285"/>
      <c r="Q76" s="285"/>
      <c r="R76" s="285"/>
      <c r="S76" s="285"/>
      <c r="T76" s="285"/>
      <c r="U76" s="285"/>
      <c r="V76" s="285"/>
      <c r="W76" s="285"/>
      <c r="X76" s="285"/>
      <c r="Y76" s="285"/>
      <c r="Z76" s="285"/>
      <c r="AA76" s="285"/>
      <c r="AB76" s="285"/>
      <c r="AC76" s="285"/>
      <c r="AD76" s="285"/>
      <c r="AE76" s="285"/>
      <c r="AF76" s="285"/>
      <c r="AG76" s="285"/>
      <c r="AH76" s="285"/>
      <c r="AI76" s="285"/>
      <c r="AJ76" s="285"/>
      <c r="AK76" s="285"/>
      <c r="AL76" s="285"/>
      <c r="AM76" s="285"/>
      <c r="AN76" s="285"/>
      <c r="AO76" s="285"/>
      <c r="AP76" s="285"/>
      <c r="AQ76" s="285"/>
      <c r="AR76" s="285"/>
      <c r="AS76" s="285"/>
      <c r="AT76" s="285"/>
      <c r="AU76" s="285"/>
      <c r="AV76" s="285"/>
      <c r="AW76" s="285"/>
      <c r="AX76" s="285"/>
      <c r="AY76" s="285"/>
      <c r="AZ76" s="285"/>
      <c r="BA76" s="285"/>
      <c r="BB76" s="285"/>
      <c r="BC76" s="285"/>
      <c r="BD76" s="285"/>
      <c r="BE76" s="285"/>
      <c r="BF76" s="285"/>
      <c r="BG76" s="285"/>
      <c r="BH76" s="285"/>
      <c r="BI76" s="285"/>
      <c r="BJ76" s="285"/>
      <c r="BK76" s="285"/>
      <c r="BL76" s="285"/>
      <c r="BM76" s="285"/>
      <c r="BN76" s="285"/>
      <c r="BO76" s="285"/>
      <c r="BP76" s="285"/>
      <c r="BQ76" s="285"/>
      <c r="BR76" s="285"/>
      <c r="BS76" s="285"/>
      <c r="BT76" s="285"/>
      <c r="BU76" s="285"/>
      <c r="BV76" s="285"/>
      <c r="BW76" s="285"/>
      <c r="BX76" s="285"/>
      <c r="BY76" s="285"/>
      <c r="BZ76" s="285"/>
      <c r="CA76" s="285"/>
      <c r="CB76" s="285"/>
      <c r="CC76" s="285"/>
      <c r="CD76" s="285"/>
      <c r="CE76" s="285"/>
      <c r="CF76" s="285"/>
      <c r="CG76" s="285"/>
      <c r="CH76" s="285"/>
      <c r="CI76" s="285"/>
      <c r="CJ76" s="285"/>
      <c r="CK76" s="285"/>
      <c r="CL76" s="285"/>
      <c r="CM76" s="285"/>
      <c r="CN76" s="285"/>
      <c r="CO76" s="285"/>
      <c r="CP76" s="285"/>
      <c r="CQ76" s="285"/>
      <c r="CR76" s="285"/>
    </row>
    <row r="77" spans="1:96" ht="15.6">
      <c r="A77" s="285"/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85"/>
      <c r="X77" s="285"/>
      <c r="Y77" s="285"/>
      <c r="Z77" s="285"/>
      <c r="AA77" s="285"/>
      <c r="AB77" s="285"/>
      <c r="AC77" s="285"/>
      <c r="AD77" s="285"/>
      <c r="AE77" s="285"/>
      <c r="AF77" s="285"/>
      <c r="AG77" s="285"/>
      <c r="AH77" s="285"/>
      <c r="AI77" s="285"/>
      <c r="AJ77" s="285"/>
      <c r="AK77" s="285"/>
      <c r="AL77" s="285"/>
      <c r="AM77" s="285"/>
      <c r="AN77" s="285"/>
      <c r="AO77" s="285"/>
      <c r="AP77" s="285"/>
      <c r="AQ77" s="285"/>
      <c r="AR77" s="285"/>
      <c r="AS77" s="285"/>
      <c r="AT77" s="285"/>
      <c r="AU77" s="285"/>
      <c r="AV77" s="285"/>
      <c r="AW77" s="285"/>
      <c r="AX77" s="285"/>
      <c r="AY77" s="285"/>
      <c r="AZ77" s="285"/>
      <c r="BA77" s="285"/>
      <c r="BB77" s="285"/>
      <c r="BC77" s="285"/>
      <c r="BD77" s="285"/>
      <c r="BE77" s="285"/>
      <c r="BF77" s="285"/>
      <c r="BG77" s="285"/>
      <c r="BH77" s="285"/>
      <c r="BI77" s="285"/>
      <c r="BJ77" s="285"/>
      <c r="BK77" s="285"/>
      <c r="BL77" s="285"/>
      <c r="BM77" s="285"/>
      <c r="BN77" s="285"/>
      <c r="BO77" s="285"/>
      <c r="BP77" s="285"/>
      <c r="BQ77" s="285"/>
      <c r="BR77" s="285"/>
      <c r="BS77" s="285"/>
      <c r="BT77" s="285"/>
      <c r="BU77" s="285"/>
      <c r="BV77" s="285"/>
      <c r="BW77" s="285"/>
      <c r="BX77" s="285"/>
      <c r="BY77" s="285"/>
      <c r="BZ77" s="285"/>
      <c r="CA77" s="285"/>
      <c r="CB77" s="285"/>
      <c r="CC77" s="285"/>
      <c r="CD77" s="285"/>
      <c r="CE77" s="285"/>
      <c r="CF77" s="285"/>
      <c r="CG77" s="285"/>
      <c r="CH77" s="285"/>
      <c r="CI77" s="285"/>
      <c r="CJ77" s="285"/>
      <c r="CK77" s="285"/>
      <c r="CL77" s="285"/>
      <c r="CM77" s="285"/>
      <c r="CN77" s="285"/>
      <c r="CO77" s="285"/>
      <c r="CP77" s="285"/>
      <c r="CQ77" s="285"/>
      <c r="CR77" s="285"/>
    </row>
    <row r="78" spans="1:96" ht="15.6">
      <c r="A78" s="285"/>
      <c r="B78" s="285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  <c r="N78" s="285"/>
      <c r="O78" s="285"/>
      <c r="P78" s="285"/>
      <c r="Q78" s="285"/>
      <c r="R78" s="285"/>
      <c r="S78" s="285"/>
      <c r="T78" s="285"/>
      <c r="U78" s="285"/>
      <c r="V78" s="285"/>
      <c r="W78" s="285"/>
      <c r="X78" s="285"/>
      <c r="Y78" s="285"/>
      <c r="Z78" s="285"/>
      <c r="AA78" s="285"/>
      <c r="AB78" s="285"/>
      <c r="AC78" s="285"/>
      <c r="AD78" s="285"/>
      <c r="AE78" s="285"/>
      <c r="AF78" s="285"/>
      <c r="AG78" s="285"/>
      <c r="AH78" s="285"/>
      <c r="AI78" s="285"/>
      <c r="AJ78" s="285"/>
      <c r="AK78" s="285"/>
      <c r="AL78" s="285"/>
      <c r="AM78" s="285"/>
      <c r="AN78" s="285"/>
      <c r="AO78" s="285"/>
      <c r="AP78" s="285"/>
      <c r="AQ78" s="285"/>
      <c r="AR78" s="285"/>
      <c r="AS78" s="285"/>
      <c r="AT78" s="285"/>
      <c r="AU78" s="285"/>
      <c r="AV78" s="285"/>
      <c r="AW78" s="285"/>
      <c r="AX78" s="285"/>
      <c r="AY78" s="285"/>
      <c r="AZ78" s="285"/>
      <c r="BA78" s="285"/>
      <c r="BB78" s="285"/>
      <c r="BC78" s="285"/>
      <c r="BD78" s="285"/>
      <c r="BE78" s="285"/>
      <c r="BF78" s="285"/>
      <c r="BG78" s="285"/>
      <c r="BH78" s="285"/>
      <c r="BI78" s="285"/>
      <c r="BJ78" s="285"/>
      <c r="BK78" s="285"/>
      <c r="BL78" s="285"/>
      <c r="BM78" s="285"/>
      <c r="BN78" s="285"/>
      <c r="BO78" s="285"/>
      <c r="BP78" s="285"/>
      <c r="BQ78" s="285"/>
      <c r="BR78" s="285"/>
      <c r="BS78" s="285"/>
      <c r="BT78" s="285"/>
      <c r="BU78" s="285"/>
      <c r="BV78" s="285"/>
      <c r="BW78" s="285"/>
      <c r="BX78" s="285"/>
      <c r="BY78" s="285"/>
      <c r="BZ78" s="285"/>
      <c r="CA78" s="285"/>
      <c r="CB78" s="285"/>
      <c r="CC78" s="285"/>
      <c r="CD78" s="285"/>
      <c r="CE78" s="285"/>
      <c r="CF78" s="285"/>
      <c r="CG78" s="285"/>
      <c r="CH78" s="285"/>
      <c r="CI78" s="285"/>
      <c r="CJ78" s="285"/>
      <c r="CK78" s="285"/>
      <c r="CL78" s="285"/>
      <c r="CM78" s="285"/>
      <c r="CN78" s="285"/>
      <c r="CO78" s="285"/>
      <c r="CP78" s="285"/>
      <c r="CQ78" s="285"/>
      <c r="CR78" s="285"/>
    </row>
    <row r="79" spans="1:96" ht="15.6">
      <c r="A79" s="285"/>
      <c r="B79" s="285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  <c r="N79" s="285"/>
      <c r="O79" s="285"/>
      <c r="P79" s="285"/>
      <c r="Q79" s="285"/>
      <c r="R79" s="285"/>
      <c r="S79" s="285"/>
      <c r="T79" s="285"/>
      <c r="U79" s="285"/>
      <c r="V79" s="285"/>
      <c r="W79" s="285"/>
      <c r="X79" s="285"/>
      <c r="Y79" s="285"/>
      <c r="Z79" s="285"/>
      <c r="AA79" s="285"/>
      <c r="AB79" s="285"/>
      <c r="AC79" s="285"/>
      <c r="AD79" s="285"/>
      <c r="AE79" s="285"/>
      <c r="AF79" s="285"/>
      <c r="AG79" s="285"/>
      <c r="AH79" s="285"/>
      <c r="AI79" s="285"/>
      <c r="AJ79" s="285"/>
      <c r="AK79" s="285"/>
      <c r="AL79" s="285"/>
      <c r="AM79" s="285"/>
      <c r="AN79" s="285"/>
      <c r="AO79" s="285"/>
      <c r="AP79" s="285"/>
      <c r="AQ79" s="285"/>
      <c r="AR79" s="285"/>
      <c r="AS79" s="285"/>
      <c r="AT79" s="285"/>
      <c r="AU79" s="285"/>
      <c r="AV79" s="285"/>
      <c r="AW79" s="285"/>
      <c r="AX79" s="285"/>
      <c r="AY79" s="285"/>
      <c r="AZ79" s="285"/>
      <c r="BA79" s="285"/>
      <c r="BB79" s="285"/>
      <c r="BC79" s="285"/>
      <c r="BD79" s="285"/>
      <c r="BE79" s="285"/>
      <c r="BF79" s="285"/>
      <c r="BG79" s="285"/>
      <c r="BH79" s="285"/>
      <c r="BI79" s="285"/>
      <c r="BJ79" s="285"/>
      <c r="BK79" s="285"/>
      <c r="BL79" s="285"/>
      <c r="BM79" s="285"/>
      <c r="BN79" s="285"/>
      <c r="BO79" s="285"/>
      <c r="BP79" s="285"/>
      <c r="BQ79" s="285"/>
      <c r="BR79" s="285"/>
      <c r="BS79" s="285"/>
      <c r="BT79" s="285"/>
      <c r="BU79" s="285"/>
      <c r="BV79" s="285"/>
      <c r="BW79" s="285"/>
      <c r="BX79" s="285"/>
      <c r="BY79" s="285"/>
      <c r="BZ79" s="285"/>
      <c r="CA79" s="285"/>
      <c r="CB79" s="285"/>
      <c r="CC79" s="285"/>
      <c r="CD79" s="285"/>
      <c r="CE79" s="285"/>
      <c r="CF79" s="285"/>
      <c r="CG79" s="285"/>
      <c r="CH79" s="285"/>
      <c r="CI79" s="285"/>
      <c r="CJ79" s="285"/>
      <c r="CK79" s="285"/>
      <c r="CL79" s="285"/>
      <c r="CM79" s="285"/>
      <c r="CN79" s="285"/>
      <c r="CO79" s="285"/>
      <c r="CP79" s="285"/>
      <c r="CQ79" s="285"/>
      <c r="CR79" s="285"/>
    </row>
    <row r="80" spans="1:96" ht="15.6">
      <c r="A80" s="285"/>
      <c r="B80" s="285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  <c r="N80" s="285"/>
      <c r="O80" s="285"/>
      <c r="P80" s="285"/>
      <c r="Q80" s="285"/>
      <c r="R80" s="285"/>
      <c r="S80" s="285"/>
      <c r="T80" s="285"/>
      <c r="U80" s="285"/>
      <c r="V80" s="285"/>
      <c r="W80" s="285"/>
      <c r="X80" s="285"/>
      <c r="Y80" s="285"/>
      <c r="Z80" s="285"/>
      <c r="AA80" s="285"/>
      <c r="AB80" s="285"/>
      <c r="AC80" s="285"/>
      <c r="AD80" s="285"/>
      <c r="AE80" s="285"/>
      <c r="AF80" s="285"/>
      <c r="AG80" s="285"/>
      <c r="AH80" s="285"/>
      <c r="AI80" s="285"/>
      <c r="AJ80" s="285"/>
      <c r="AK80" s="285"/>
      <c r="AL80" s="285"/>
      <c r="AM80" s="285"/>
      <c r="AN80" s="285"/>
      <c r="AO80" s="285"/>
      <c r="AP80" s="285"/>
      <c r="AQ80" s="285"/>
      <c r="AR80" s="285"/>
      <c r="AS80" s="285"/>
      <c r="AT80" s="285"/>
      <c r="AU80" s="285"/>
      <c r="AV80" s="285"/>
      <c r="AW80" s="285"/>
      <c r="AX80" s="285"/>
      <c r="AY80" s="285"/>
      <c r="AZ80" s="285"/>
      <c r="BA80" s="285"/>
      <c r="BB80" s="285"/>
      <c r="BC80" s="285"/>
      <c r="BD80" s="285"/>
      <c r="BE80" s="285"/>
      <c r="BF80" s="285"/>
      <c r="BG80" s="285"/>
      <c r="BH80" s="285"/>
      <c r="BI80" s="285"/>
      <c r="BJ80" s="285"/>
      <c r="BK80" s="285"/>
      <c r="BL80" s="285"/>
      <c r="BM80" s="285"/>
      <c r="BN80" s="285"/>
      <c r="BO80" s="285"/>
      <c r="BP80" s="285"/>
      <c r="BQ80" s="285"/>
      <c r="BR80" s="285"/>
      <c r="BS80" s="285"/>
      <c r="BT80" s="285"/>
      <c r="BU80" s="285"/>
      <c r="BV80" s="285"/>
      <c r="BW80" s="285"/>
      <c r="BX80" s="285"/>
      <c r="BY80" s="285"/>
      <c r="BZ80" s="285"/>
      <c r="CA80" s="285"/>
      <c r="CB80" s="285"/>
      <c r="CC80" s="285"/>
      <c r="CD80" s="285"/>
      <c r="CE80" s="285"/>
      <c r="CF80" s="285"/>
      <c r="CG80" s="285"/>
      <c r="CH80" s="285"/>
      <c r="CI80" s="285"/>
      <c r="CJ80" s="285"/>
      <c r="CK80" s="285"/>
      <c r="CL80" s="285"/>
      <c r="CM80" s="285"/>
      <c r="CN80" s="285"/>
      <c r="CO80" s="285"/>
      <c r="CP80" s="285"/>
      <c r="CQ80" s="285"/>
      <c r="CR80" s="285"/>
    </row>
    <row r="81" spans="1:96" ht="15.6">
      <c r="A81" s="285"/>
      <c r="B81" s="285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  <c r="N81" s="285"/>
      <c r="O81" s="285"/>
      <c r="P81" s="285"/>
      <c r="Q81" s="285"/>
      <c r="R81" s="285"/>
      <c r="S81" s="285"/>
      <c r="T81" s="285"/>
      <c r="U81" s="285"/>
      <c r="V81" s="285"/>
      <c r="W81" s="285"/>
      <c r="X81" s="285"/>
      <c r="Y81" s="285"/>
      <c r="Z81" s="285"/>
      <c r="AA81" s="285"/>
      <c r="AB81" s="285"/>
      <c r="AC81" s="285"/>
      <c r="AD81" s="285"/>
      <c r="AE81" s="285"/>
      <c r="AF81" s="285"/>
      <c r="AG81" s="285"/>
      <c r="AH81" s="285"/>
      <c r="AI81" s="285"/>
      <c r="AJ81" s="285"/>
      <c r="AK81" s="285"/>
      <c r="AL81" s="285"/>
      <c r="AM81" s="285"/>
      <c r="AN81" s="285"/>
      <c r="AO81" s="285"/>
      <c r="AP81" s="285"/>
      <c r="AQ81" s="285"/>
      <c r="AR81" s="285"/>
      <c r="AS81" s="285"/>
      <c r="AT81" s="285"/>
      <c r="AU81" s="285"/>
      <c r="AV81" s="285"/>
      <c r="AW81" s="285"/>
      <c r="AX81" s="285"/>
      <c r="AY81" s="285"/>
      <c r="AZ81" s="285"/>
      <c r="BA81" s="285"/>
      <c r="BB81" s="285"/>
      <c r="BC81" s="285"/>
      <c r="BD81" s="285"/>
      <c r="BE81" s="285"/>
      <c r="BF81" s="285"/>
      <c r="BG81" s="285"/>
      <c r="BH81" s="285"/>
      <c r="BI81" s="285"/>
      <c r="BJ81" s="285"/>
      <c r="BK81" s="285"/>
      <c r="BL81" s="285"/>
      <c r="BM81" s="285"/>
      <c r="BN81" s="285"/>
      <c r="BO81" s="285"/>
      <c r="BP81" s="285"/>
      <c r="BQ81" s="285"/>
      <c r="BR81" s="285"/>
      <c r="BS81" s="285"/>
      <c r="BT81" s="285"/>
      <c r="BU81" s="285"/>
      <c r="BV81" s="285"/>
      <c r="BW81" s="285"/>
      <c r="BX81" s="285"/>
      <c r="BY81" s="285"/>
      <c r="BZ81" s="285"/>
      <c r="CA81" s="285"/>
      <c r="CB81" s="285"/>
      <c r="CC81" s="285"/>
      <c r="CD81" s="285"/>
      <c r="CE81" s="285"/>
      <c r="CF81" s="285"/>
      <c r="CG81" s="285"/>
      <c r="CH81" s="285"/>
      <c r="CI81" s="285"/>
      <c r="CJ81" s="285"/>
      <c r="CK81" s="285"/>
      <c r="CL81" s="285"/>
      <c r="CM81" s="285"/>
      <c r="CN81" s="285"/>
      <c r="CO81" s="285"/>
      <c r="CP81" s="285"/>
      <c r="CQ81" s="285"/>
      <c r="CR81" s="285"/>
    </row>
    <row r="82" spans="1:96" ht="15.6">
      <c r="A82" s="285"/>
      <c r="B82" s="30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85"/>
      <c r="X82" s="285"/>
      <c r="Y82" s="285"/>
      <c r="Z82" s="285"/>
      <c r="AA82" s="285"/>
      <c r="AB82" s="285"/>
      <c r="AC82" s="285"/>
      <c r="AD82" s="285"/>
      <c r="AE82" s="285"/>
      <c r="AF82" s="285"/>
      <c r="AG82" s="285"/>
      <c r="AH82" s="285"/>
      <c r="AI82" s="285"/>
      <c r="AJ82" s="285"/>
      <c r="AK82" s="285"/>
      <c r="AL82" s="285"/>
      <c r="AM82" s="285"/>
      <c r="AN82" s="285"/>
      <c r="AO82" s="285"/>
      <c r="AP82" s="285"/>
      <c r="AQ82" s="285"/>
      <c r="AR82" s="285"/>
      <c r="AS82" s="285"/>
      <c r="AT82" s="285"/>
      <c r="AU82" s="285"/>
      <c r="AV82" s="285"/>
      <c r="AW82" s="285"/>
      <c r="AX82" s="285"/>
      <c r="AY82" s="285"/>
      <c r="AZ82" s="285"/>
      <c r="BA82" s="285"/>
      <c r="BB82" s="285"/>
      <c r="BC82" s="285"/>
      <c r="BD82" s="285"/>
      <c r="BE82" s="285"/>
      <c r="BF82" s="285"/>
      <c r="BG82" s="285"/>
      <c r="BH82" s="285"/>
      <c r="BI82" s="285"/>
      <c r="BJ82" s="285"/>
      <c r="BK82" s="285"/>
      <c r="BL82" s="285"/>
      <c r="BM82" s="285"/>
      <c r="BN82" s="285"/>
      <c r="BO82" s="285"/>
      <c r="BP82" s="285"/>
      <c r="BQ82" s="285"/>
      <c r="BR82" s="285"/>
      <c r="BS82" s="285"/>
      <c r="BT82" s="285"/>
      <c r="BU82" s="285"/>
      <c r="BV82" s="285"/>
      <c r="BW82" s="285"/>
      <c r="BX82" s="285"/>
      <c r="BY82" s="285"/>
      <c r="BZ82" s="285"/>
      <c r="CA82" s="285"/>
      <c r="CB82" s="285"/>
      <c r="CC82" s="285"/>
      <c r="CD82" s="285"/>
      <c r="CE82" s="285"/>
      <c r="CF82" s="285"/>
      <c r="CG82" s="285"/>
      <c r="CH82" s="285"/>
      <c r="CI82" s="285"/>
      <c r="CJ82" s="285"/>
      <c r="CK82" s="285"/>
      <c r="CL82" s="285"/>
      <c r="CM82" s="285"/>
      <c r="CN82" s="285"/>
      <c r="CO82" s="285"/>
      <c r="CP82" s="285"/>
      <c r="CQ82" s="285"/>
      <c r="CR82" s="285"/>
    </row>
    <row r="83" spans="1:96" ht="15.6">
      <c r="A83" s="285"/>
      <c r="B83" s="295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85"/>
      <c r="X83" s="285"/>
      <c r="Y83" s="285"/>
      <c r="Z83" s="285"/>
      <c r="AA83" s="285"/>
      <c r="AB83" s="285"/>
      <c r="AC83" s="285"/>
      <c r="AD83" s="285"/>
      <c r="AE83" s="285"/>
      <c r="AF83" s="285"/>
      <c r="AG83" s="285"/>
      <c r="AH83" s="285"/>
      <c r="AI83" s="285"/>
      <c r="AJ83" s="285"/>
      <c r="AK83" s="285"/>
      <c r="AL83" s="285"/>
      <c r="AM83" s="285"/>
      <c r="AN83" s="285"/>
      <c r="AO83" s="285"/>
      <c r="AP83" s="285"/>
      <c r="AQ83" s="285"/>
      <c r="AR83" s="285"/>
      <c r="AS83" s="285"/>
      <c r="AT83" s="285"/>
      <c r="AU83" s="285"/>
      <c r="AV83" s="285"/>
      <c r="AW83" s="285"/>
      <c r="AX83" s="285"/>
      <c r="AY83" s="285"/>
      <c r="AZ83" s="285"/>
      <c r="BA83" s="285"/>
      <c r="BB83" s="285"/>
      <c r="BC83" s="285"/>
      <c r="BD83" s="285"/>
      <c r="BE83" s="285"/>
      <c r="BF83" s="285"/>
      <c r="BG83" s="285"/>
      <c r="BH83" s="285"/>
      <c r="BI83" s="285"/>
      <c r="BJ83" s="285"/>
      <c r="BK83" s="285"/>
      <c r="BL83" s="285"/>
      <c r="BM83" s="285"/>
      <c r="BN83" s="285"/>
      <c r="BO83" s="285"/>
      <c r="BP83" s="285"/>
      <c r="BQ83" s="285"/>
      <c r="BR83" s="285"/>
      <c r="BS83" s="285"/>
      <c r="BT83" s="285"/>
      <c r="BU83" s="285"/>
      <c r="BV83" s="285"/>
      <c r="BW83" s="285"/>
      <c r="BX83" s="285"/>
      <c r="BY83" s="285"/>
      <c r="BZ83" s="285"/>
      <c r="CA83" s="285"/>
      <c r="CB83" s="285"/>
      <c r="CC83" s="285"/>
      <c r="CD83" s="285"/>
      <c r="CE83" s="285"/>
      <c r="CF83" s="285"/>
      <c r="CG83" s="285"/>
      <c r="CH83" s="285"/>
      <c r="CI83" s="285"/>
      <c r="CJ83" s="285"/>
      <c r="CK83" s="285"/>
      <c r="CL83" s="285"/>
      <c r="CM83" s="285"/>
      <c r="CN83" s="285"/>
      <c r="CO83" s="285"/>
      <c r="CP83" s="285"/>
      <c r="CQ83" s="285"/>
      <c r="CR83" s="285"/>
    </row>
    <row r="84" spans="1:96" ht="15.6">
      <c r="A84" s="285"/>
      <c r="B84" s="295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85"/>
      <c r="X84" s="285"/>
      <c r="Y84" s="285"/>
      <c r="Z84" s="285"/>
      <c r="AA84" s="285"/>
      <c r="AB84" s="285"/>
      <c r="AC84" s="285"/>
      <c r="AD84" s="285"/>
      <c r="AE84" s="285"/>
      <c r="AF84" s="285"/>
      <c r="AG84" s="285"/>
      <c r="AH84" s="285"/>
      <c r="AI84" s="285"/>
      <c r="AJ84" s="285"/>
      <c r="AK84" s="285"/>
      <c r="AL84" s="285"/>
      <c r="AM84" s="285"/>
      <c r="AN84" s="285"/>
      <c r="AO84" s="285"/>
      <c r="AP84" s="285"/>
      <c r="AQ84" s="285"/>
      <c r="AR84" s="285"/>
      <c r="AS84" s="285"/>
      <c r="AT84" s="285"/>
      <c r="AU84" s="285"/>
      <c r="AV84" s="285"/>
      <c r="AW84" s="285"/>
      <c r="AX84" s="285"/>
      <c r="AY84" s="285"/>
      <c r="AZ84" s="285"/>
      <c r="BA84" s="285"/>
      <c r="BB84" s="285"/>
      <c r="BC84" s="285"/>
      <c r="BD84" s="285"/>
      <c r="BE84" s="285"/>
      <c r="BF84" s="285"/>
      <c r="BG84" s="285"/>
      <c r="BH84" s="285"/>
      <c r="BI84" s="285"/>
      <c r="BJ84" s="285"/>
      <c r="BK84" s="285"/>
      <c r="BL84" s="285"/>
      <c r="BM84" s="285"/>
      <c r="BN84" s="285"/>
      <c r="BO84" s="285"/>
      <c r="BP84" s="285"/>
      <c r="BQ84" s="285"/>
      <c r="BR84" s="285"/>
      <c r="BS84" s="285"/>
      <c r="BT84" s="285"/>
      <c r="BU84" s="285"/>
      <c r="BV84" s="285"/>
      <c r="BW84" s="285"/>
      <c r="BX84" s="285"/>
      <c r="BY84" s="285"/>
      <c r="BZ84" s="285"/>
      <c r="CA84" s="285"/>
      <c r="CB84" s="285"/>
      <c r="CC84" s="285"/>
      <c r="CD84" s="285"/>
      <c r="CE84" s="285"/>
      <c r="CF84" s="285"/>
      <c r="CG84" s="285"/>
      <c r="CH84" s="285"/>
      <c r="CI84" s="285"/>
      <c r="CJ84" s="285"/>
      <c r="CK84" s="285"/>
      <c r="CL84" s="285"/>
      <c r="CM84" s="285"/>
      <c r="CN84" s="285"/>
      <c r="CO84" s="285"/>
      <c r="CP84" s="285"/>
      <c r="CQ84" s="285"/>
      <c r="CR84" s="285"/>
    </row>
    <row r="85" spans="1:96" ht="15.6">
      <c r="A85" s="295"/>
      <c r="B85" s="305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285"/>
      <c r="X85" s="285"/>
      <c r="Y85" s="285"/>
      <c r="Z85" s="285"/>
      <c r="AA85" s="285"/>
      <c r="AB85" s="285"/>
      <c r="AC85" s="285"/>
      <c r="AD85" s="285"/>
      <c r="AE85" s="285"/>
      <c r="AF85" s="285"/>
      <c r="AG85" s="285"/>
      <c r="AH85" s="285"/>
      <c r="AI85" s="285"/>
      <c r="AJ85" s="285"/>
      <c r="AK85" s="285"/>
      <c r="AL85" s="285"/>
      <c r="AM85" s="285"/>
      <c r="AN85" s="285"/>
      <c r="AO85" s="285"/>
      <c r="AP85" s="285"/>
      <c r="AQ85" s="285"/>
      <c r="AR85" s="285"/>
      <c r="AS85" s="285"/>
      <c r="AT85" s="285"/>
      <c r="AU85" s="285"/>
      <c r="AV85" s="285"/>
      <c r="AW85" s="285"/>
      <c r="AX85" s="285"/>
      <c r="AY85" s="285"/>
      <c r="AZ85" s="285"/>
      <c r="BA85" s="285"/>
      <c r="BB85" s="285"/>
      <c r="BC85" s="285"/>
      <c r="BD85" s="285"/>
      <c r="BE85" s="285"/>
      <c r="BF85" s="285"/>
      <c r="BG85" s="285"/>
      <c r="BH85" s="285"/>
      <c r="BI85" s="285"/>
      <c r="BJ85" s="285"/>
      <c r="BK85" s="285"/>
      <c r="BL85" s="285"/>
      <c r="BM85" s="285"/>
      <c r="BN85" s="285"/>
      <c r="BO85" s="285"/>
      <c r="BP85" s="285"/>
      <c r="BQ85" s="285"/>
      <c r="BR85" s="285"/>
      <c r="BS85" s="285"/>
      <c r="BT85" s="285"/>
      <c r="BU85" s="285"/>
      <c r="BV85" s="285"/>
      <c r="BW85" s="285"/>
      <c r="BX85" s="285"/>
      <c r="BY85" s="285"/>
      <c r="BZ85" s="285"/>
      <c r="CA85" s="285"/>
      <c r="CB85" s="285"/>
      <c r="CC85" s="285"/>
      <c r="CD85" s="285"/>
      <c r="CE85" s="285"/>
      <c r="CF85" s="285"/>
      <c r="CG85" s="285"/>
      <c r="CH85" s="285"/>
      <c r="CI85" s="285"/>
      <c r="CJ85" s="285"/>
      <c r="CK85" s="285"/>
      <c r="CL85" s="285"/>
      <c r="CM85" s="285"/>
      <c r="CN85" s="285"/>
      <c r="CO85" s="285"/>
      <c r="CP85" s="285"/>
      <c r="CQ85" s="285"/>
      <c r="CR85" s="285"/>
    </row>
    <row r="86" spans="1:96" ht="15.6">
      <c r="A86" s="285"/>
      <c r="B86" s="285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  <c r="N86" s="285"/>
      <c r="O86" s="285"/>
      <c r="P86" s="285"/>
      <c r="Q86" s="285"/>
      <c r="R86" s="285"/>
      <c r="S86" s="285"/>
      <c r="T86" s="285"/>
      <c r="U86" s="285"/>
      <c r="V86" s="285"/>
      <c r="W86" s="285"/>
      <c r="X86" s="285"/>
      <c r="Y86" s="285"/>
      <c r="Z86" s="285"/>
      <c r="AA86" s="285"/>
      <c r="AB86" s="285"/>
      <c r="AC86" s="285"/>
      <c r="AD86" s="285"/>
      <c r="AE86" s="285"/>
      <c r="AF86" s="285"/>
      <c r="AG86" s="285"/>
      <c r="AH86" s="285"/>
      <c r="AI86" s="285"/>
      <c r="AJ86" s="285"/>
      <c r="AK86" s="285"/>
      <c r="AL86" s="285"/>
      <c r="AM86" s="285"/>
      <c r="AN86" s="285"/>
      <c r="AO86" s="285"/>
      <c r="AP86" s="285"/>
      <c r="AQ86" s="285"/>
      <c r="AR86" s="285"/>
      <c r="AS86" s="285"/>
      <c r="AT86" s="285"/>
      <c r="AU86" s="285"/>
      <c r="AV86" s="285"/>
      <c r="AW86" s="285"/>
      <c r="AX86" s="285"/>
      <c r="AY86" s="285"/>
      <c r="AZ86" s="285"/>
      <c r="BA86" s="285"/>
      <c r="BB86" s="285"/>
      <c r="BC86" s="285"/>
      <c r="BD86" s="285"/>
      <c r="BE86" s="285"/>
      <c r="BF86" s="285"/>
      <c r="BG86" s="285"/>
      <c r="BH86" s="285"/>
      <c r="BI86" s="285"/>
      <c r="BJ86" s="285"/>
      <c r="BK86" s="285"/>
      <c r="BL86" s="285"/>
      <c r="BM86" s="285"/>
      <c r="BN86" s="285"/>
      <c r="BO86" s="285"/>
      <c r="BP86" s="285"/>
      <c r="BQ86" s="285"/>
      <c r="BR86" s="285"/>
      <c r="BS86" s="285"/>
      <c r="BT86" s="285"/>
      <c r="BU86" s="285"/>
      <c r="BV86" s="285"/>
      <c r="BW86" s="285"/>
      <c r="BX86" s="285"/>
      <c r="BY86" s="285"/>
      <c r="BZ86" s="285"/>
      <c r="CA86" s="285"/>
      <c r="CB86" s="285"/>
      <c r="CC86" s="285"/>
      <c r="CD86" s="285"/>
      <c r="CE86" s="285"/>
      <c r="CF86" s="285"/>
      <c r="CG86" s="285"/>
      <c r="CH86" s="285"/>
      <c r="CI86" s="285"/>
      <c r="CJ86" s="285"/>
      <c r="CK86" s="285"/>
      <c r="CL86" s="285"/>
      <c r="CM86" s="285"/>
      <c r="CN86" s="285"/>
      <c r="CO86" s="285"/>
      <c r="CP86" s="285"/>
      <c r="CQ86" s="285"/>
      <c r="CR86" s="285"/>
    </row>
    <row r="87" spans="1:96" ht="15.6">
      <c r="A87" s="295"/>
      <c r="B87" s="305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5"/>
      <c r="P87" s="295"/>
      <c r="Q87" s="295"/>
      <c r="R87" s="295"/>
      <c r="S87" s="295"/>
      <c r="T87" s="295"/>
      <c r="U87" s="295"/>
      <c r="V87" s="295"/>
      <c r="W87" s="285"/>
      <c r="X87" s="285"/>
      <c r="Y87" s="285"/>
      <c r="Z87" s="285"/>
      <c r="AA87" s="285"/>
      <c r="AB87" s="285"/>
      <c r="AC87" s="285"/>
      <c r="AD87" s="285"/>
      <c r="AE87" s="285"/>
      <c r="AF87" s="285"/>
      <c r="AG87" s="285"/>
      <c r="AH87" s="285"/>
      <c r="AI87" s="285"/>
      <c r="AJ87" s="285"/>
      <c r="AK87" s="285"/>
      <c r="AL87" s="285"/>
      <c r="AM87" s="285"/>
      <c r="AN87" s="285"/>
      <c r="AO87" s="285"/>
      <c r="AP87" s="285"/>
      <c r="AQ87" s="285"/>
      <c r="AR87" s="285"/>
      <c r="AS87" s="285"/>
      <c r="AT87" s="285"/>
      <c r="AU87" s="285"/>
      <c r="AV87" s="285"/>
      <c r="AW87" s="285"/>
      <c r="AX87" s="285"/>
      <c r="AY87" s="285"/>
      <c r="AZ87" s="285"/>
      <c r="BA87" s="285"/>
      <c r="BB87" s="285"/>
      <c r="BC87" s="285"/>
      <c r="BD87" s="285"/>
      <c r="BE87" s="285"/>
      <c r="BF87" s="285"/>
      <c r="BG87" s="285"/>
      <c r="BH87" s="285"/>
      <c r="BI87" s="285"/>
      <c r="BJ87" s="285"/>
      <c r="BK87" s="285"/>
      <c r="BL87" s="285"/>
      <c r="BM87" s="285"/>
      <c r="BN87" s="285"/>
      <c r="BO87" s="285"/>
      <c r="BP87" s="285"/>
      <c r="BQ87" s="285"/>
      <c r="BR87" s="285"/>
      <c r="BS87" s="285"/>
      <c r="BT87" s="285"/>
      <c r="BU87" s="285"/>
      <c r="BV87" s="285"/>
      <c r="BW87" s="285"/>
      <c r="BX87" s="285"/>
      <c r="BY87" s="285"/>
      <c r="BZ87" s="285"/>
      <c r="CA87" s="285"/>
      <c r="CB87" s="285"/>
      <c r="CC87" s="285"/>
      <c r="CD87" s="285"/>
      <c r="CE87" s="285"/>
      <c r="CF87" s="285"/>
      <c r="CG87" s="285"/>
      <c r="CH87" s="285"/>
      <c r="CI87" s="285"/>
      <c r="CJ87" s="285"/>
      <c r="CK87" s="285"/>
      <c r="CL87" s="285"/>
      <c r="CM87" s="285"/>
      <c r="CN87" s="285"/>
      <c r="CO87" s="285"/>
      <c r="CP87" s="285"/>
      <c r="CQ87" s="285"/>
      <c r="CR87" s="285"/>
    </row>
    <row r="88" spans="1:96" ht="15.6">
      <c r="A88" s="295"/>
      <c r="B88" s="305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85"/>
      <c r="X88" s="285"/>
      <c r="Y88" s="285"/>
      <c r="Z88" s="285"/>
      <c r="AA88" s="285"/>
      <c r="AB88" s="285"/>
      <c r="AC88" s="285"/>
      <c r="AD88" s="285"/>
      <c r="AE88" s="285"/>
      <c r="AF88" s="285"/>
      <c r="AG88" s="285"/>
      <c r="AH88" s="285"/>
      <c r="AI88" s="285"/>
      <c r="AJ88" s="285"/>
      <c r="AK88" s="285"/>
      <c r="AL88" s="285"/>
      <c r="AM88" s="285"/>
      <c r="AN88" s="285"/>
      <c r="AO88" s="285"/>
      <c r="AP88" s="285"/>
      <c r="AQ88" s="285"/>
      <c r="AR88" s="285"/>
      <c r="AS88" s="285"/>
      <c r="AT88" s="285"/>
      <c r="AU88" s="285"/>
      <c r="AV88" s="285"/>
      <c r="AW88" s="285"/>
      <c r="AX88" s="285"/>
      <c r="AY88" s="285"/>
      <c r="AZ88" s="285"/>
      <c r="BA88" s="285"/>
      <c r="BB88" s="285"/>
      <c r="BC88" s="285"/>
      <c r="BD88" s="285"/>
      <c r="BE88" s="285"/>
      <c r="BF88" s="285"/>
      <c r="BG88" s="285"/>
      <c r="BH88" s="285"/>
      <c r="BI88" s="285"/>
      <c r="BJ88" s="285"/>
      <c r="BK88" s="285"/>
      <c r="BL88" s="285"/>
      <c r="BM88" s="285"/>
      <c r="BN88" s="285"/>
      <c r="BO88" s="285"/>
      <c r="BP88" s="285"/>
      <c r="BQ88" s="285"/>
      <c r="BR88" s="285"/>
      <c r="BS88" s="285"/>
      <c r="BT88" s="285"/>
      <c r="BU88" s="285"/>
      <c r="BV88" s="285"/>
      <c r="BW88" s="285"/>
      <c r="BX88" s="285"/>
      <c r="BY88" s="285"/>
      <c r="BZ88" s="285"/>
      <c r="CA88" s="285"/>
      <c r="CB88" s="285"/>
      <c r="CC88" s="285"/>
      <c r="CD88" s="285"/>
      <c r="CE88" s="285"/>
      <c r="CF88" s="285"/>
      <c r="CG88" s="285"/>
      <c r="CH88" s="285"/>
      <c r="CI88" s="285"/>
      <c r="CJ88" s="285"/>
      <c r="CK88" s="285"/>
      <c r="CL88" s="285"/>
      <c r="CM88" s="285"/>
      <c r="CN88" s="285"/>
      <c r="CO88" s="285"/>
      <c r="CP88" s="285"/>
      <c r="CQ88" s="285"/>
      <c r="CR88" s="285"/>
    </row>
    <row r="89" spans="1:96" ht="15.6">
      <c r="A89" s="295"/>
      <c r="B89" s="314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85"/>
      <c r="X89" s="285"/>
      <c r="Y89" s="285"/>
      <c r="Z89" s="285"/>
      <c r="AA89" s="285"/>
      <c r="AB89" s="285"/>
      <c r="AC89" s="285"/>
      <c r="AD89" s="285"/>
      <c r="AE89" s="285"/>
      <c r="AF89" s="285"/>
      <c r="AG89" s="285"/>
      <c r="AH89" s="285"/>
      <c r="AI89" s="285"/>
      <c r="AJ89" s="285"/>
      <c r="AK89" s="285"/>
      <c r="AL89" s="285"/>
      <c r="AM89" s="285"/>
      <c r="AN89" s="285"/>
      <c r="AO89" s="285"/>
      <c r="AP89" s="285"/>
      <c r="AQ89" s="285"/>
      <c r="AR89" s="285"/>
      <c r="AS89" s="285"/>
      <c r="AT89" s="285"/>
      <c r="AU89" s="285"/>
      <c r="AV89" s="285"/>
      <c r="AW89" s="285"/>
      <c r="AX89" s="285"/>
      <c r="AY89" s="285"/>
      <c r="AZ89" s="285"/>
      <c r="BA89" s="285"/>
      <c r="BB89" s="285"/>
      <c r="BC89" s="285"/>
      <c r="BD89" s="285"/>
      <c r="BE89" s="285"/>
      <c r="BF89" s="285"/>
      <c r="BG89" s="285"/>
      <c r="BH89" s="285"/>
      <c r="BI89" s="285"/>
      <c r="BJ89" s="285"/>
      <c r="BK89" s="285"/>
      <c r="BL89" s="285"/>
      <c r="BM89" s="285"/>
      <c r="BN89" s="285"/>
      <c r="BO89" s="285"/>
      <c r="BP89" s="285"/>
      <c r="BQ89" s="285"/>
      <c r="BR89" s="285"/>
      <c r="BS89" s="285"/>
      <c r="BT89" s="285"/>
      <c r="BU89" s="285"/>
      <c r="BV89" s="285"/>
      <c r="BW89" s="285"/>
      <c r="BX89" s="285"/>
      <c r="BY89" s="285"/>
      <c r="BZ89" s="285"/>
      <c r="CA89" s="285"/>
      <c r="CB89" s="285"/>
      <c r="CC89" s="285"/>
      <c r="CD89" s="285"/>
      <c r="CE89" s="285"/>
      <c r="CF89" s="285"/>
      <c r="CG89" s="285"/>
      <c r="CH89" s="285"/>
      <c r="CI89" s="285"/>
      <c r="CJ89" s="285"/>
      <c r="CK89" s="285"/>
      <c r="CL89" s="285"/>
      <c r="CM89" s="285"/>
      <c r="CN89" s="285"/>
      <c r="CO89" s="285"/>
      <c r="CP89" s="285"/>
      <c r="CQ89" s="285"/>
      <c r="CR89" s="285"/>
    </row>
    <row r="90" spans="1:96" ht="15.6">
      <c r="A90" s="295"/>
      <c r="B90" s="315"/>
      <c r="C90" s="315" t="e">
        <f>#REF!/0.75</f>
        <v>#REF!</v>
      </c>
      <c r="D90" s="315" t="e">
        <f>#REF!</f>
        <v>#REF!</v>
      </c>
      <c r="E90" s="315" t="e">
        <f>#REF!</f>
        <v>#REF!</v>
      </c>
      <c r="F90" s="315" t="e">
        <f>#REF!</f>
        <v>#REF!</v>
      </c>
      <c r="G90" s="315" t="e">
        <f>#REF!</f>
        <v>#REF!</v>
      </c>
      <c r="H90" s="315" t="e">
        <f>#REF!</f>
        <v>#REF!</v>
      </c>
      <c r="I90" s="315" t="e">
        <f>#REF!</f>
        <v>#REF!</v>
      </c>
      <c r="J90" s="315" t="e">
        <f>#REF!</f>
        <v>#REF!</v>
      </c>
      <c r="K90" s="315" t="e">
        <f>#REF!</f>
        <v>#REF!</v>
      </c>
      <c r="L90" s="315" t="e">
        <f>#REF!</f>
        <v>#REF!</v>
      </c>
      <c r="M90" s="315" t="e">
        <f>#REF!</f>
        <v>#REF!</v>
      </c>
      <c r="N90" s="315" t="e">
        <f>#REF!</f>
        <v>#REF!</v>
      </c>
      <c r="O90" s="315" t="e">
        <f>#REF!</f>
        <v>#REF!</v>
      </c>
      <c r="P90" s="315" t="e">
        <f>#REF!</f>
        <v>#REF!</v>
      </c>
      <c r="Q90" s="315" t="e">
        <f>#REF!</f>
        <v>#REF!</v>
      </c>
      <c r="R90" s="315" t="e">
        <f>#REF!</f>
        <v>#REF!</v>
      </c>
      <c r="S90" s="315" t="e">
        <f>#REF!</f>
        <v>#REF!</v>
      </c>
      <c r="T90" s="315" t="e">
        <f>#REF!</f>
        <v>#REF!</v>
      </c>
      <c r="U90" s="315" t="e">
        <f>#REF!</f>
        <v>#REF!</v>
      </c>
      <c r="V90" s="315" t="e">
        <f>#REF!</f>
        <v>#REF!</v>
      </c>
      <c r="W90" s="285"/>
      <c r="X90" s="285"/>
      <c r="Y90" s="285"/>
      <c r="Z90" s="285"/>
      <c r="AA90" s="285"/>
      <c r="AB90" s="285"/>
      <c r="AC90" s="285"/>
      <c r="AD90" s="285"/>
      <c r="AE90" s="285"/>
      <c r="AF90" s="285"/>
      <c r="AG90" s="285"/>
      <c r="AH90" s="285"/>
      <c r="AI90" s="285"/>
      <c r="AJ90" s="285"/>
      <c r="AK90" s="285"/>
      <c r="AL90" s="285"/>
      <c r="AM90" s="285"/>
      <c r="AN90" s="285"/>
      <c r="AO90" s="285"/>
      <c r="AP90" s="285"/>
      <c r="AQ90" s="285"/>
      <c r="AR90" s="285"/>
      <c r="AS90" s="285"/>
      <c r="AT90" s="285"/>
      <c r="AU90" s="285"/>
      <c r="AV90" s="285"/>
      <c r="AW90" s="285"/>
      <c r="AX90" s="285"/>
      <c r="AY90" s="285"/>
      <c r="AZ90" s="285"/>
      <c r="BA90" s="285"/>
      <c r="BB90" s="285"/>
      <c r="BC90" s="285"/>
      <c r="BD90" s="285"/>
      <c r="BE90" s="285"/>
      <c r="BF90" s="285"/>
      <c r="BG90" s="285"/>
      <c r="BH90" s="285"/>
      <c r="BI90" s="285"/>
      <c r="BJ90" s="285"/>
      <c r="BK90" s="285"/>
      <c r="BL90" s="285"/>
      <c r="BM90" s="285"/>
      <c r="BN90" s="285"/>
      <c r="BO90" s="285"/>
      <c r="BP90" s="285"/>
      <c r="BQ90" s="285"/>
      <c r="BR90" s="285"/>
      <c r="BS90" s="285"/>
      <c r="BT90" s="285"/>
      <c r="BU90" s="285"/>
      <c r="BV90" s="285"/>
      <c r="BW90" s="285"/>
      <c r="BX90" s="285"/>
      <c r="BY90" s="285"/>
      <c r="BZ90" s="285"/>
      <c r="CA90" s="285"/>
      <c r="CB90" s="285"/>
      <c r="CC90" s="285"/>
      <c r="CD90" s="285"/>
      <c r="CE90" s="285"/>
      <c r="CF90" s="285"/>
      <c r="CG90" s="285"/>
      <c r="CH90" s="285"/>
      <c r="CI90" s="285"/>
      <c r="CJ90" s="285"/>
      <c r="CK90" s="285"/>
      <c r="CL90" s="285"/>
      <c r="CM90" s="285"/>
      <c r="CN90" s="285"/>
      <c r="CO90" s="285"/>
      <c r="CP90" s="285"/>
      <c r="CQ90" s="285"/>
      <c r="CR90" s="285"/>
    </row>
    <row r="91" spans="1:96" ht="15.6">
      <c r="A91" s="283"/>
      <c r="B91" s="283"/>
      <c r="C91" s="283"/>
      <c r="D91" s="283"/>
      <c r="E91" s="283"/>
      <c r="F91" s="283"/>
      <c r="G91" s="283"/>
      <c r="H91" s="283"/>
      <c r="I91" s="283"/>
      <c r="J91" s="283"/>
      <c r="K91" s="283"/>
      <c r="L91" s="283"/>
      <c r="M91" s="283"/>
      <c r="N91" s="283"/>
      <c r="O91" s="283"/>
      <c r="P91" s="283"/>
      <c r="Q91" s="283"/>
      <c r="R91" s="283"/>
      <c r="S91" s="283"/>
      <c r="T91" s="283"/>
      <c r="U91" s="283"/>
      <c r="V91" s="283"/>
      <c r="W91" s="285"/>
      <c r="X91" s="285"/>
      <c r="Y91" s="285"/>
      <c r="Z91" s="285"/>
      <c r="AA91" s="285"/>
      <c r="AB91" s="285"/>
      <c r="AC91" s="285"/>
      <c r="AD91" s="285"/>
      <c r="AE91" s="285"/>
      <c r="AF91" s="285"/>
      <c r="AG91" s="285"/>
      <c r="AH91" s="285"/>
      <c r="AI91" s="285"/>
      <c r="AJ91" s="285"/>
      <c r="AK91" s="285"/>
      <c r="AL91" s="285"/>
      <c r="AM91" s="285"/>
      <c r="AN91" s="285"/>
      <c r="AO91" s="285"/>
      <c r="AP91" s="285"/>
      <c r="AQ91" s="285"/>
      <c r="AR91" s="285"/>
      <c r="AS91" s="285"/>
      <c r="AT91" s="285"/>
      <c r="AU91" s="285"/>
      <c r="AV91" s="285"/>
      <c r="AW91" s="285"/>
      <c r="AX91" s="285"/>
      <c r="AY91" s="285"/>
      <c r="AZ91" s="285"/>
      <c r="BA91" s="285"/>
      <c r="BB91" s="285"/>
      <c r="BC91" s="285"/>
      <c r="BD91" s="285"/>
      <c r="BE91" s="285"/>
      <c r="BF91" s="285"/>
      <c r="BG91" s="285"/>
      <c r="BH91" s="285"/>
      <c r="BI91" s="285"/>
      <c r="BJ91" s="285"/>
      <c r="BK91" s="285"/>
      <c r="BL91" s="285"/>
      <c r="BM91" s="285"/>
      <c r="BN91" s="285"/>
      <c r="BO91" s="285"/>
      <c r="BP91" s="285"/>
      <c r="BQ91" s="285"/>
      <c r="BR91" s="285"/>
      <c r="BS91" s="285"/>
      <c r="BT91" s="285"/>
      <c r="BU91" s="285"/>
      <c r="BV91" s="285"/>
      <c r="BW91" s="285"/>
      <c r="BX91" s="285"/>
      <c r="BY91" s="285"/>
      <c r="BZ91" s="285"/>
      <c r="CA91" s="285"/>
      <c r="CB91" s="285"/>
      <c r="CC91" s="285"/>
      <c r="CD91" s="285"/>
      <c r="CE91" s="285"/>
      <c r="CF91" s="285"/>
      <c r="CG91" s="285"/>
      <c r="CH91" s="285"/>
      <c r="CI91" s="285"/>
      <c r="CJ91" s="285"/>
      <c r="CK91" s="285"/>
      <c r="CL91" s="285"/>
      <c r="CM91" s="285"/>
      <c r="CN91" s="285"/>
      <c r="CO91" s="285"/>
      <c r="CP91" s="285"/>
      <c r="CQ91" s="285"/>
      <c r="CR91" s="285"/>
    </row>
    <row r="92" spans="1:96" ht="15.6">
      <c r="A92" s="283"/>
      <c r="B92" s="283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5"/>
      <c r="X92" s="285"/>
      <c r="Y92" s="285"/>
      <c r="Z92" s="285"/>
      <c r="AA92" s="285"/>
      <c r="AB92" s="285"/>
      <c r="AC92" s="285"/>
      <c r="AD92" s="285"/>
      <c r="AE92" s="285"/>
      <c r="AF92" s="285"/>
      <c r="AG92" s="285"/>
      <c r="AH92" s="285"/>
      <c r="AI92" s="285"/>
      <c r="AJ92" s="285"/>
      <c r="AK92" s="285"/>
      <c r="AL92" s="285"/>
      <c r="AM92" s="285"/>
      <c r="AN92" s="285"/>
      <c r="AO92" s="285"/>
      <c r="AP92" s="285"/>
      <c r="AQ92" s="285"/>
      <c r="AR92" s="285"/>
      <c r="AS92" s="285"/>
      <c r="AT92" s="285"/>
      <c r="AU92" s="285"/>
      <c r="AV92" s="285"/>
      <c r="AW92" s="285"/>
      <c r="AX92" s="285"/>
      <c r="AY92" s="285"/>
      <c r="AZ92" s="285"/>
      <c r="BA92" s="285"/>
      <c r="BB92" s="285"/>
      <c r="BC92" s="285"/>
      <c r="BD92" s="285"/>
      <c r="BE92" s="285"/>
      <c r="BF92" s="285"/>
      <c r="BG92" s="285"/>
      <c r="BH92" s="285"/>
      <c r="BI92" s="285"/>
      <c r="BJ92" s="285"/>
      <c r="BK92" s="285"/>
      <c r="BL92" s="285"/>
      <c r="BM92" s="285"/>
      <c r="BN92" s="285"/>
      <c r="BO92" s="285"/>
      <c r="BP92" s="285"/>
      <c r="BQ92" s="285"/>
      <c r="BR92" s="285"/>
      <c r="BS92" s="285"/>
      <c r="BT92" s="285"/>
      <c r="BU92" s="285"/>
      <c r="BV92" s="285"/>
      <c r="BW92" s="285"/>
      <c r="BX92" s="285"/>
      <c r="BY92" s="285"/>
      <c r="BZ92" s="285"/>
      <c r="CA92" s="285"/>
      <c r="CB92" s="285"/>
      <c r="CC92" s="285"/>
      <c r="CD92" s="285"/>
      <c r="CE92" s="285"/>
      <c r="CF92" s="285"/>
      <c r="CG92" s="285"/>
      <c r="CH92" s="285"/>
      <c r="CI92" s="285"/>
      <c r="CJ92" s="285"/>
      <c r="CK92" s="285"/>
      <c r="CL92" s="285"/>
      <c r="CM92" s="285"/>
      <c r="CN92" s="285"/>
      <c r="CO92" s="285"/>
      <c r="CP92" s="285"/>
      <c r="CQ92" s="285"/>
      <c r="CR92" s="285"/>
    </row>
    <row r="93" spans="1:96" ht="15.6">
      <c r="A93" s="283"/>
      <c r="B93" s="283"/>
      <c r="C93" s="283"/>
      <c r="D93" s="283"/>
      <c r="E93" s="283"/>
      <c r="F93" s="283"/>
      <c r="G93" s="283"/>
      <c r="H93" s="283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83"/>
      <c r="W93" s="285"/>
      <c r="X93" s="285"/>
      <c r="Y93" s="285"/>
      <c r="Z93" s="285"/>
      <c r="AA93" s="285"/>
      <c r="AB93" s="285"/>
      <c r="AC93" s="285"/>
      <c r="AD93" s="285"/>
      <c r="AE93" s="285"/>
      <c r="AF93" s="285"/>
      <c r="AG93" s="285"/>
      <c r="AH93" s="285"/>
      <c r="AI93" s="285"/>
      <c r="AJ93" s="285"/>
      <c r="AK93" s="285"/>
      <c r="AL93" s="285"/>
      <c r="AM93" s="285"/>
      <c r="AN93" s="285"/>
      <c r="AO93" s="285"/>
      <c r="AP93" s="285"/>
      <c r="AQ93" s="285"/>
      <c r="AR93" s="285"/>
      <c r="AS93" s="285"/>
      <c r="AT93" s="285"/>
      <c r="AU93" s="285"/>
      <c r="AV93" s="285"/>
      <c r="AW93" s="285"/>
      <c r="AX93" s="285"/>
      <c r="AY93" s="285"/>
      <c r="AZ93" s="285"/>
      <c r="BA93" s="285"/>
      <c r="BB93" s="285"/>
      <c r="BC93" s="285"/>
      <c r="BD93" s="285"/>
      <c r="BE93" s="285"/>
      <c r="BF93" s="285"/>
      <c r="BG93" s="285"/>
      <c r="BH93" s="285"/>
      <c r="BI93" s="285"/>
      <c r="BJ93" s="285"/>
      <c r="BK93" s="285"/>
      <c r="BL93" s="285"/>
      <c r="BM93" s="285"/>
      <c r="BN93" s="285"/>
      <c r="BO93" s="285"/>
      <c r="BP93" s="285"/>
      <c r="BQ93" s="285"/>
      <c r="BR93" s="285"/>
      <c r="BS93" s="285"/>
      <c r="BT93" s="285"/>
      <c r="BU93" s="285"/>
      <c r="BV93" s="285"/>
      <c r="BW93" s="285"/>
      <c r="BX93" s="285"/>
      <c r="BY93" s="285"/>
      <c r="BZ93" s="285"/>
      <c r="CA93" s="285"/>
      <c r="CB93" s="285"/>
      <c r="CC93" s="285"/>
      <c r="CD93" s="285"/>
      <c r="CE93" s="285"/>
      <c r="CF93" s="285"/>
      <c r="CG93" s="285"/>
      <c r="CH93" s="285"/>
      <c r="CI93" s="285"/>
      <c r="CJ93" s="285"/>
      <c r="CK93" s="285"/>
      <c r="CL93" s="285"/>
      <c r="CM93" s="285"/>
      <c r="CN93" s="285"/>
      <c r="CO93" s="285"/>
      <c r="CP93" s="285"/>
      <c r="CQ93" s="285"/>
      <c r="CR93" s="285"/>
    </row>
    <row r="94" spans="1:96" ht="15.6">
      <c r="A94" s="283"/>
      <c r="B94" s="283"/>
      <c r="C94" s="283"/>
      <c r="D94" s="283"/>
      <c r="E94" s="283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5"/>
      <c r="X94" s="285"/>
      <c r="Y94" s="285"/>
      <c r="Z94" s="285"/>
      <c r="AA94" s="285"/>
      <c r="AB94" s="285"/>
      <c r="AC94" s="285"/>
      <c r="AD94" s="285"/>
      <c r="AE94" s="285"/>
      <c r="AF94" s="285"/>
      <c r="AG94" s="285"/>
      <c r="AH94" s="285"/>
      <c r="AI94" s="285"/>
      <c r="AJ94" s="285"/>
      <c r="AK94" s="285"/>
      <c r="AL94" s="285"/>
      <c r="AM94" s="285"/>
      <c r="AN94" s="285"/>
      <c r="AO94" s="285"/>
      <c r="AP94" s="285"/>
      <c r="AQ94" s="285"/>
      <c r="AR94" s="285"/>
      <c r="AS94" s="285"/>
      <c r="AT94" s="285"/>
      <c r="AU94" s="285"/>
      <c r="AV94" s="285"/>
      <c r="AW94" s="285"/>
      <c r="AX94" s="285"/>
      <c r="AY94" s="285"/>
      <c r="AZ94" s="285"/>
      <c r="BA94" s="285"/>
      <c r="BB94" s="285"/>
      <c r="BC94" s="285"/>
      <c r="BD94" s="285"/>
      <c r="BE94" s="285"/>
      <c r="BF94" s="285"/>
      <c r="BG94" s="285"/>
      <c r="BH94" s="285"/>
      <c r="BI94" s="285"/>
      <c r="BJ94" s="285"/>
      <c r="BK94" s="285"/>
      <c r="BL94" s="285"/>
      <c r="BM94" s="285"/>
      <c r="BN94" s="285"/>
      <c r="BO94" s="285"/>
      <c r="BP94" s="285"/>
      <c r="BQ94" s="285"/>
      <c r="BR94" s="285"/>
      <c r="BS94" s="285"/>
      <c r="BT94" s="285"/>
      <c r="BU94" s="285"/>
      <c r="BV94" s="285"/>
      <c r="BW94" s="285"/>
      <c r="BX94" s="285"/>
      <c r="BY94" s="285"/>
      <c r="BZ94" s="285"/>
      <c r="CA94" s="285"/>
      <c r="CB94" s="285"/>
      <c r="CC94" s="285"/>
      <c r="CD94" s="285"/>
      <c r="CE94" s="285"/>
      <c r="CF94" s="285"/>
      <c r="CG94" s="285"/>
      <c r="CH94" s="285"/>
      <c r="CI94" s="285"/>
      <c r="CJ94" s="285"/>
      <c r="CK94" s="285"/>
      <c r="CL94" s="285"/>
      <c r="CM94" s="285"/>
      <c r="CN94" s="285"/>
      <c r="CO94" s="285"/>
      <c r="CP94" s="285"/>
      <c r="CQ94" s="285"/>
      <c r="CR94" s="285"/>
    </row>
    <row r="95" spans="1:96" ht="15.6">
      <c r="A95" s="283"/>
      <c r="B95" s="283"/>
      <c r="C95" s="283"/>
      <c r="D95" s="283"/>
      <c r="E95" s="283"/>
      <c r="F95" s="283"/>
      <c r="G95" s="283"/>
      <c r="H95" s="283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5"/>
      <c r="X95" s="285"/>
      <c r="Y95" s="285"/>
      <c r="Z95" s="285"/>
      <c r="AA95" s="285"/>
      <c r="AB95" s="285"/>
      <c r="AC95" s="285"/>
      <c r="AD95" s="285"/>
      <c r="AE95" s="285"/>
      <c r="AF95" s="285"/>
      <c r="AG95" s="285"/>
      <c r="AH95" s="285"/>
      <c r="AI95" s="285"/>
      <c r="AJ95" s="285"/>
      <c r="AK95" s="285"/>
      <c r="AL95" s="285"/>
      <c r="AM95" s="285"/>
      <c r="AN95" s="285"/>
      <c r="AO95" s="285"/>
      <c r="AP95" s="285"/>
      <c r="AQ95" s="285"/>
      <c r="AR95" s="285"/>
      <c r="AS95" s="285"/>
      <c r="AT95" s="285"/>
      <c r="AU95" s="285"/>
      <c r="AV95" s="285"/>
      <c r="AW95" s="285"/>
      <c r="AX95" s="285"/>
      <c r="AY95" s="285"/>
      <c r="AZ95" s="285"/>
      <c r="BA95" s="285"/>
      <c r="BB95" s="285"/>
      <c r="BC95" s="285"/>
      <c r="BD95" s="285"/>
      <c r="BE95" s="285"/>
      <c r="BF95" s="285"/>
      <c r="BG95" s="285"/>
      <c r="BH95" s="285"/>
      <c r="BI95" s="285"/>
      <c r="BJ95" s="285"/>
      <c r="BK95" s="285"/>
      <c r="BL95" s="285"/>
      <c r="BM95" s="285"/>
      <c r="BN95" s="285"/>
      <c r="BO95" s="285"/>
      <c r="BP95" s="285"/>
      <c r="BQ95" s="285"/>
      <c r="BR95" s="285"/>
      <c r="BS95" s="285"/>
      <c r="BT95" s="285"/>
      <c r="BU95" s="285"/>
      <c r="BV95" s="285"/>
      <c r="BW95" s="285"/>
      <c r="BX95" s="285"/>
      <c r="BY95" s="285"/>
      <c r="BZ95" s="285"/>
      <c r="CA95" s="285"/>
      <c r="CB95" s="285"/>
      <c r="CC95" s="285"/>
      <c r="CD95" s="285"/>
      <c r="CE95" s="285"/>
      <c r="CF95" s="285"/>
      <c r="CG95" s="285"/>
      <c r="CH95" s="285"/>
      <c r="CI95" s="285"/>
      <c r="CJ95" s="285"/>
      <c r="CK95" s="285"/>
      <c r="CL95" s="285"/>
      <c r="CM95" s="285"/>
      <c r="CN95" s="285"/>
      <c r="CO95" s="285"/>
      <c r="CP95" s="285"/>
      <c r="CQ95" s="285"/>
      <c r="CR95" s="285"/>
    </row>
    <row r="96" spans="1:96" ht="15.6">
      <c r="A96" s="283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3"/>
      <c r="P96" s="283"/>
      <c r="Q96" s="283"/>
      <c r="R96" s="283"/>
      <c r="S96" s="283"/>
      <c r="T96" s="283"/>
      <c r="U96" s="283"/>
      <c r="V96" s="283"/>
      <c r="W96" s="285"/>
      <c r="X96" s="285"/>
      <c r="Y96" s="285"/>
      <c r="Z96" s="285"/>
      <c r="AA96" s="285"/>
      <c r="AB96" s="285"/>
      <c r="AC96" s="285"/>
      <c r="AD96" s="285"/>
      <c r="AE96" s="285"/>
      <c r="AF96" s="285"/>
      <c r="AG96" s="285"/>
      <c r="AH96" s="285"/>
      <c r="AI96" s="285"/>
      <c r="AJ96" s="285"/>
      <c r="AK96" s="285"/>
      <c r="AL96" s="285"/>
      <c r="AM96" s="285"/>
      <c r="AN96" s="285"/>
      <c r="AO96" s="285"/>
      <c r="AP96" s="285"/>
      <c r="AQ96" s="285"/>
      <c r="AR96" s="285"/>
      <c r="AS96" s="285"/>
      <c r="AT96" s="285"/>
      <c r="AU96" s="285"/>
      <c r="AV96" s="285"/>
      <c r="AW96" s="285"/>
      <c r="AX96" s="285"/>
      <c r="AY96" s="285"/>
      <c r="AZ96" s="285"/>
      <c r="BA96" s="285"/>
      <c r="BB96" s="285"/>
      <c r="BC96" s="285"/>
      <c r="BD96" s="285"/>
      <c r="BE96" s="285"/>
      <c r="BF96" s="285"/>
      <c r="BG96" s="285"/>
      <c r="BH96" s="285"/>
      <c r="BI96" s="285"/>
      <c r="BJ96" s="285"/>
      <c r="BK96" s="285"/>
      <c r="BL96" s="285"/>
      <c r="BM96" s="285"/>
      <c r="BN96" s="285"/>
      <c r="BO96" s="285"/>
      <c r="BP96" s="285"/>
      <c r="BQ96" s="285"/>
      <c r="BR96" s="285"/>
      <c r="BS96" s="285"/>
      <c r="BT96" s="285"/>
      <c r="BU96" s="285"/>
      <c r="BV96" s="285"/>
      <c r="BW96" s="285"/>
      <c r="BX96" s="285"/>
      <c r="BY96" s="285"/>
      <c r="BZ96" s="285"/>
      <c r="CA96" s="285"/>
      <c r="CB96" s="285"/>
      <c r="CC96" s="285"/>
      <c r="CD96" s="285"/>
      <c r="CE96" s="285"/>
      <c r="CF96" s="285"/>
      <c r="CG96" s="285"/>
      <c r="CH96" s="285"/>
      <c r="CI96" s="285"/>
      <c r="CJ96" s="285"/>
      <c r="CK96" s="285"/>
      <c r="CL96" s="285"/>
      <c r="CM96" s="285"/>
      <c r="CN96" s="285"/>
      <c r="CO96" s="285"/>
      <c r="CP96" s="285"/>
      <c r="CQ96" s="285"/>
      <c r="CR96" s="285"/>
    </row>
    <row r="97" spans="1:96" ht="15.6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3"/>
      <c r="P97" s="283"/>
      <c r="Q97" s="283"/>
      <c r="R97" s="283"/>
      <c r="S97" s="283"/>
      <c r="T97" s="283"/>
      <c r="U97" s="283"/>
      <c r="V97" s="283"/>
      <c r="W97" s="285"/>
      <c r="X97" s="285"/>
      <c r="Y97" s="285"/>
      <c r="Z97" s="285"/>
      <c r="AA97" s="285"/>
      <c r="AB97" s="285"/>
      <c r="AC97" s="285"/>
      <c r="AD97" s="285"/>
      <c r="AE97" s="285"/>
      <c r="AF97" s="285"/>
      <c r="AG97" s="285"/>
      <c r="AH97" s="285"/>
      <c r="AI97" s="285"/>
      <c r="AJ97" s="285"/>
      <c r="AK97" s="285"/>
      <c r="AL97" s="285"/>
      <c r="AM97" s="285"/>
      <c r="AN97" s="285"/>
      <c r="AO97" s="285"/>
      <c r="AP97" s="285"/>
      <c r="AQ97" s="285"/>
      <c r="AR97" s="285"/>
      <c r="AS97" s="285"/>
      <c r="AT97" s="285"/>
      <c r="AU97" s="285"/>
      <c r="AV97" s="285"/>
      <c r="AW97" s="285"/>
      <c r="AX97" s="285"/>
      <c r="AY97" s="285"/>
      <c r="AZ97" s="285"/>
      <c r="BA97" s="285"/>
      <c r="BB97" s="285"/>
      <c r="BC97" s="285"/>
      <c r="BD97" s="285"/>
      <c r="BE97" s="285"/>
      <c r="BF97" s="285"/>
      <c r="BG97" s="285"/>
      <c r="BH97" s="285"/>
      <c r="BI97" s="285"/>
      <c r="BJ97" s="285"/>
      <c r="BK97" s="285"/>
      <c r="BL97" s="285"/>
      <c r="BM97" s="285"/>
      <c r="BN97" s="285"/>
      <c r="BO97" s="285"/>
      <c r="BP97" s="285"/>
      <c r="BQ97" s="285"/>
      <c r="BR97" s="285"/>
      <c r="BS97" s="285"/>
      <c r="BT97" s="285"/>
      <c r="BU97" s="285"/>
      <c r="BV97" s="285"/>
      <c r="BW97" s="285"/>
      <c r="BX97" s="285"/>
      <c r="BY97" s="285"/>
      <c r="BZ97" s="285"/>
      <c r="CA97" s="285"/>
      <c r="CB97" s="285"/>
      <c r="CC97" s="285"/>
      <c r="CD97" s="285"/>
      <c r="CE97" s="285"/>
      <c r="CF97" s="285"/>
      <c r="CG97" s="285"/>
      <c r="CH97" s="285"/>
      <c r="CI97" s="285"/>
      <c r="CJ97" s="285"/>
      <c r="CK97" s="285"/>
      <c r="CL97" s="285"/>
      <c r="CM97" s="285"/>
      <c r="CN97" s="285"/>
      <c r="CO97" s="285"/>
      <c r="CP97" s="285"/>
      <c r="CQ97" s="285"/>
      <c r="CR97" s="285"/>
    </row>
    <row r="98" spans="1:96" ht="15.6">
      <c r="A98" s="283"/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5"/>
      <c r="X98" s="285"/>
      <c r="Y98" s="285"/>
      <c r="Z98" s="285"/>
      <c r="AA98" s="285"/>
      <c r="AB98" s="285"/>
      <c r="AC98" s="285"/>
      <c r="AD98" s="285"/>
      <c r="AE98" s="285"/>
      <c r="AF98" s="285"/>
      <c r="AG98" s="285"/>
      <c r="AH98" s="285"/>
      <c r="AI98" s="285"/>
      <c r="AJ98" s="285"/>
      <c r="AK98" s="285"/>
      <c r="AL98" s="285"/>
      <c r="AM98" s="285"/>
      <c r="AN98" s="285"/>
      <c r="AO98" s="285"/>
      <c r="AP98" s="285"/>
      <c r="AQ98" s="285"/>
      <c r="AR98" s="285"/>
      <c r="AS98" s="285"/>
      <c r="AT98" s="285"/>
      <c r="AU98" s="285"/>
      <c r="AV98" s="285"/>
      <c r="AW98" s="285"/>
      <c r="AX98" s="285"/>
      <c r="AY98" s="285"/>
      <c r="AZ98" s="285"/>
      <c r="BA98" s="285"/>
      <c r="BB98" s="285"/>
      <c r="BC98" s="285"/>
      <c r="BD98" s="285"/>
      <c r="BE98" s="285"/>
      <c r="BF98" s="285"/>
      <c r="BG98" s="285"/>
      <c r="BH98" s="285"/>
      <c r="BI98" s="285"/>
      <c r="BJ98" s="285"/>
      <c r="BK98" s="285"/>
      <c r="BL98" s="285"/>
      <c r="BM98" s="285"/>
      <c r="BN98" s="285"/>
      <c r="BO98" s="285"/>
      <c r="BP98" s="285"/>
      <c r="BQ98" s="285"/>
      <c r="BR98" s="285"/>
      <c r="BS98" s="285"/>
      <c r="BT98" s="285"/>
      <c r="BU98" s="285"/>
      <c r="BV98" s="285"/>
      <c r="BW98" s="285"/>
      <c r="BX98" s="285"/>
      <c r="BY98" s="285"/>
      <c r="BZ98" s="285"/>
      <c r="CA98" s="285"/>
      <c r="CB98" s="285"/>
      <c r="CC98" s="285"/>
      <c r="CD98" s="285"/>
      <c r="CE98" s="285"/>
      <c r="CF98" s="285"/>
      <c r="CG98" s="285"/>
      <c r="CH98" s="285"/>
      <c r="CI98" s="285"/>
      <c r="CJ98" s="285"/>
      <c r="CK98" s="285"/>
      <c r="CL98" s="285"/>
      <c r="CM98" s="285"/>
      <c r="CN98" s="285"/>
      <c r="CO98" s="285"/>
      <c r="CP98" s="285"/>
      <c r="CQ98" s="285"/>
      <c r="CR98" s="285"/>
    </row>
    <row r="99" spans="1:96" ht="15.6">
      <c r="A99" s="283"/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5"/>
      <c r="X99" s="285"/>
      <c r="Y99" s="285"/>
      <c r="Z99" s="285"/>
      <c r="AA99" s="285"/>
      <c r="AB99" s="285"/>
      <c r="AC99" s="285"/>
      <c r="AD99" s="285"/>
      <c r="AE99" s="285"/>
      <c r="AF99" s="285"/>
      <c r="AG99" s="285"/>
      <c r="AH99" s="285"/>
      <c r="AI99" s="285"/>
      <c r="AJ99" s="285"/>
      <c r="AK99" s="285"/>
      <c r="AL99" s="285"/>
      <c r="AM99" s="285"/>
      <c r="AN99" s="285"/>
      <c r="AO99" s="285"/>
      <c r="AP99" s="285"/>
      <c r="AQ99" s="285"/>
      <c r="AR99" s="285"/>
      <c r="AS99" s="285"/>
      <c r="AT99" s="285"/>
      <c r="AU99" s="285"/>
      <c r="AV99" s="285"/>
      <c r="AW99" s="285"/>
      <c r="AX99" s="285"/>
      <c r="AY99" s="285"/>
      <c r="AZ99" s="285"/>
      <c r="BA99" s="285"/>
      <c r="BB99" s="285"/>
      <c r="BC99" s="285"/>
      <c r="BD99" s="285"/>
      <c r="BE99" s="285"/>
      <c r="BF99" s="285"/>
      <c r="BG99" s="285"/>
      <c r="BH99" s="285"/>
      <c r="BI99" s="285"/>
      <c r="BJ99" s="285"/>
      <c r="BK99" s="285"/>
      <c r="BL99" s="285"/>
      <c r="BM99" s="285"/>
      <c r="BN99" s="285"/>
      <c r="BO99" s="285"/>
      <c r="BP99" s="285"/>
      <c r="BQ99" s="285"/>
      <c r="BR99" s="285"/>
      <c r="BS99" s="285"/>
      <c r="BT99" s="285"/>
      <c r="BU99" s="285"/>
      <c r="BV99" s="285"/>
      <c r="BW99" s="285"/>
      <c r="BX99" s="285"/>
      <c r="BY99" s="285"/>
      <c r="BZ99" s="285"/>
      <c r="CA99" s="285"/>
      <c r="CB99" s="285"/>
      <c r="CC99" s="285"/>
      <c r="CD99" s="285"/>
      <c r="CE99" s="285"/>
      <c r="CF99" s="285"/>
      <c r="CG99" s="285"/>
      <c r="CH99" s="285"/>
      <c r="CI99" s="285"/>
      <c r="CJ99" s="285"/>
      <c r="CK99" s="285"/>
      <c r="CL99" s="285"/>
      <c r="CM99" s="285"/>
      <c r="CN99" s="285"/>
      <c r="CO99" s="285"/>
      <c r="CP99" s="285"/>
      <c r="CQ99" s="285"/>
      <c r="CR99" s="285"/>
    </row>
    <row r="100" spans="1:96" ht="15.6">
      <c r="A100" s="283"/>
      <c r="B100" s="283"/>
      <c r="C100" s="283"/>
      <c r="D100" s="283"/>
      <c r="E100" s="283"/>
      <c r="F100" s="283"/>
      <c r="G100" s="283"/>
      <c r="H100" s="283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83"/>
      <c r="W100" s="285"/>
      <c r="X100" s="285"/>
      <c r="Y100" s="285"/>
      <c r="Z100" s="285"/>
      <c r="AA100" s="285"/>
      <c r="AB100" s="285"/>
      <c r="AC100" s="285"/>
      <c r="AD100" s="285"/>
      <c r="AE100" s="285"/>
      <c r="AF100" s="285"/>
      <c r="AG100" s="285"/>
      <c r="AH100" s="285"/>
      <c r="AI100" s="285"/>
      <c r="AJ100" s="285"/>
      <c r="AK100" s="285"/>
      <c r="AL100" s="285"/>
      <c r="AM100" s="285"/>
      <c r="AN100" s="285"/>
      <c r="AO100" s="285"/>
      <c r="AP100" s="285"/>
      <c r="AQ100" s="285"/>
      <c r="AR100" s="285"/>
      <c r="AS100" s="285"/>
      <c r="AT100" s="285"/>
      <c r="AU100" s="285"/>
      <c r="AV100" s="285"/>
      <c r="AW100" s="285"/>
      <c r="AX100" s="285"/>
      <c r="AY100" s="285"/>
      <c r="AZ100" s="285"/>
      <c r="BA100" s="285"/>
      <c r="BB100" s="285"/>
      <c r="BC100" s="285"/>
      <c r="BD100" s="285"/>
      <c r="BE100" s="285"/>
      <c r="BF100" s="285"/>
      <c r="BG100" s="285"/>
      <c r="BH100" s="285"/>
      <c r="BI100" s="285"/>
      <c r="BJ100" s="285"/>
      <c r="BK100" s="285"/>
      <c r="BL100" s="285"/>
      <c r="BM100" s="285"/>
      <c r="BN100" s="285"/>
      <c r="BO100" s="285"/>
      <c r="BP100" s="285"/>
      <c r="BQ100" s="285"/>
      <c r="BR100" s="285"/>
      <c r="BS100" s="285"/>
      <c r="BT100" s="285"/>
      <c r="BU100" s="285"/>
      <c r="BV100" s="285"/>
      <c r="BW100" s="285"/>
      <c r="BX100" s="285"/>
      <c r="BY100" s="285"/>
      <c r="BZ100" s="285"/>
      <c r="CA100" s="285"/>
      <c r="CB100" s="285"/>
      <c r="CC100" s="285"/>
      <c r="CD100" s="285"/>
      <c r="CE100" s="285"/>
      <c r="CF100" s="285"/>
      <c r="CG100" s="285"/>
      <c r="CH100" s="285"/>
      <c r="CI100" s="285"/>
      <c r="CJ100" s="285"/>
      <c r="CK100" s="285"/>
      <c r="CL100" s="285"/>
      <c r="CM100" s="285"/>
      <c r="CN100" s="285"/>
      <c r="CO100" s="285"/>
      <c r="CP100" s="285"/>
      <c r="CQ100" s="285"/>
      <c r="CR100" s="285"/>
    </row>
    <row r="101" spans="1:96" ht="15.6">
      <c r="A101" s="285"/>
      <c r="B101" s="285"/>
      <c r="C101" s="285"/>
      <c r="D101" s="285"/>
      <c r="E101" s="285"/>
      <c r="F101" s="285"/>
      <c r="G101" s="285"/>
      <c r="H101" s="285"/>
      <c r="I101" s="285"/>
      <c r="J101" s="285"/>
      <c r="K101" s="285"/>
      <c r="L101" s="285"/>
      <c r="M101" s="285"/>
      <c r="N101" s="285"/>
      <c r="O101" s="285"/>
      <c r="P101" s="285"/>
      <c r="Q101" s="285"/>
      <c r="R101" s="285"/>
      <c r="S101" s="285"/>
      <c r="T101" s="285"/>
      <c r="U101" s="285"/>
      <c r="V101" s="285"/>
      <c r="W101" s="285"/>
      <c r="X101" s="285"/>
      <c r="Y101" s="285"/>
      <c r="Z101" s="285"/>
      <c r="AA101" s="285"/>
      <c r="AB101" s="285"/>
      <c r="AC101" s="285"/>
      <c r="AD101" s="285"/>
      <c r="AE101" s="285"/>
      <c r="AF101" s="285"/>
      <c r="AG101" s="285"/>
      <c r="AH101" s="285"/>
      <c r="AI101" s="285"/>
      <c r="AJ101" s="285"/>
      <c r="AK101" s="285"/>
      <c r="AL101" s="285"/>
      <c r="AM101" s="285"/>
      <c r="AN101" s="285"/>
      <c r="AO101" s="285"/>
      <c r="AP101" s="285"/>
      <c r="AQ101" s="285"/>
      <c r="AR101" s="285"/>
      <c r="AS101" s="285"/>
      <c r="AT101" s="285"/>
      <c r="AU101" s="285"/>
      <c r="AV101" s="285"/>
      <c r="AW101" s="285"/>
      <c r="AX101" s="285"/>
      <c r="AY101" s="285"/>
      <c r="AZ101" s="285"/>
      <c r="BA101" s="285"/>
      <c r="BB101" s="285"/>
      <c r="BC101" s="285"/>
      <c r="BD101" s="285"/>
      <c r="BE101" s="285"/>
      <c r="BF101" s="285"/>
      <c r="BG101" s="285"/>
      <c r="BH101" s="285"/>
      <c r="BI101" s="285"/>
      <c r="BJ101" s="285"/>
      <c r="BK101" s="285"/>
      <c r="BL101" s="285"/>
      <c r="BM101" s="285"/>
      <c r="BN101" s="285"/>
      <c r="BO101" s="285"/>
      <c r="BP101" s="285"/>
      <c r="BQ101" s="285"/>
      <c r="BR101" s="285"/>
      <c r="BS101" s="285"/>
      <c r="BT101" s="285"/>
      <c r="BU101" s="285"/>
      <c r="BV101" s="285"/>
      <c r="BW101" s="285"/>
      <c r="BX101" s="285"/>
      <c r="BY101" s="285"/>
      <c r="BZ101" s="285"/>
      <c r="CA101" s="285"/>
      <c r="CB101" s="285"/>
      <c r="CC101" s="285"/>
      <c r="CD101" s="285"/>
      <c r="CE101" s="285"/>
      <c r="CF101" s="285"/>
      <c r="CG101" s="285"/>
      <c r="CH101" s="285"/>
      <c r="CI101" s="285"/>
      <c r="CJ101" s="285"/>
      <c r="CK101" s="285"/>
      <c r="CL101" s="285"/>
      <c r="CM101" s="285"/>
      <c r="CN101" s="285"/>
      <c r="CO101" s="285"/>
      <c r="CP101" s="285"/>
      <c r="CQ101" s="285"/>
      <c r="CR101" s="285"/>
    </row>
    <row r="102" spans="1:96" ht="15.6">
      <c r="A102" s="285"/>
      <c r="B102" s="285"/>
      <c r="C102" s="285"/>
      <c r="D102" s="285"/>
      <c r="E102" s="285"/>
      <c r="F102" s="285"/>
      <c r="G102" s="285"/>
      <c r="H102" s="285"/>
      <c r="I102" s="285"/>
      <c r="J102" s="285"/>
      <c r="K102" s="285"/>
      <c r="L102" s="285"/>
      <c r="M102" s="285"/>
      <c r="N102" s="285"/>
      <c r="O102" s="285"/>
      <c r="P102" s="285"/>
      <c r="Q102" s="285"/>
      <c r="R102" s="285"/>
      <c r="S102" s="285"/>
      <c r="T102" s="285"/>
      <c r="U102" s="285"/>
      <c r="V102" s="285"/>
      <c r="W102" s="285"/>
      <c r="X102" s="285"/>
      <c r="Y102" s="285"/>
      <c r="Z102" s="285"/>
      <c r="AA102" s="285"/>
      <c r="AB102" s="285"/>
      <c r="AC102" s="285"/>
      <c r="AD102" s="285"/>
      <c r="AE102" s="285"/>
      <c r="AF102" s="285"/>
      <c r="AG102" s="285"/>
      <c r="AH102" s="285"/>
      <c r="AI102" s="285"/>
      <c r="AJ102" s="285"/>
      <c r="AK102" s="285"/>
      <c r="AL102" s="285"/>
      <c r="AM102" s="285"/>
      <c r="AN102" s="285"/>
      <c r="AO102" s="285"/>
      <c r="AP102" s="285"/>
      <c r="AQ102" s="285"/>
      <c r="AR102" s="285"/>
      <c r="AS102" s="285"/>
      <c r="AT102" s="285"/>
      <c r="AU102" s="285"/>
      <c r="AV102" s="285"/>
      <c r="AW102" s="285"/>
      <c r="AX102" s="285"/>
      <c r="AY102" s="285"/>
      <c r="AZ102" s="285"/>
      <c r="BA102" s="285"/>
      <c r="BB102" s="285"/>
      <c r="BC102" s="285"/>
      <c r="BD102" s="285"/>
      <c r="BE102" s="285"/>
      <c r="BF102" s="285"/>
      <c r="BG102" s="285"/>
      <c r="BH102" s="285"/>
      <c r="BI102" s="285"/>
      <c r="BJ102" s="285"/>
      <c r="BK102" s="285"/>
      <c r="BL102" s="285"/>
      <c r="BM102" s="285"/>
      <c r="BN102" s="285"/>
      <c r="BO102" s="285"/>
      <c r="BP102" s="285"/>
      <c r="BQ102" s="285"/>
      <c r="BR102" s="285"/>
      <c r="BS102" s="285"/>
      <c r="BT102" s="285"/>
      <c r="BU102" s="285"/>
      <c r="BV102" s="285"/>
      <c r="BW102" s="285"/>
      <c r="BX102" s="285"/>
      <c r="BY102" s="285"/>
      <c r="BZ102" s="285"/>
      <c r="CA102" s="285"/>
      <c r="CB102" s="285"/>
      <c r="CC102" s="285"/>
      <c r="CD102" s="285"/>
      <c r="CE102" s="285"/>
      <c r="CF102" s="285"/>
      <c r="CG102" s="285"/>
      <c r="CH102" s="285"/>
      <c r="CI102" s="285"/>
      <c r="CJ102" s="285"/>
      <c r="CK102" s="285"/>
      <c r="CL102" s="285"/>
      <c r="CM102" s="285"/>
      <c r="CN102" s="285"/>
      <c r="CO102" s="285"/>
      <c r="CP102" s="285"/>
      <c r="CQ102" s="285"/>
      <c r="CR102" s="285"/>
    </row>
    <row r="103" spans="1:96" ht="15.6">
      <c r="A103" s="285"/>
      <c r="B103" s="285"/>
      <c r="C103" s="285"/>
      <c r="D103" s="285"/>
      <c r="E103" s="285"/>
      <c r="F103" s="285"/>
      <c r="G103" s="285"/>
      <c r="H103" s="285"/>
      <c r="I103" s="285"/>
      <c r="J103" s="285"/>
      <c r="K103" s="285"/>
      <c r="L103" s="285"/>
      <c r="M103" s="285"/>
      <c r="N103" s="285"/>
      <c r="O103" s="285"/>
      <c r="P103" s="285"/>
      <c r="Q103" s="285"/>
      <c r="R103" s="285"/>
      <c r="S103" s="285"/>
      <c r="T103" s="285"/>
      <c r="U103" s="285"/>
      <c r="V103" s="285"/>
      <c r="W103" s="285"/>
      <c r="X103" s="285"/>
      <c r="Y103" s="285"/>
      <c r="Z103" s="285"/>
      <c r="AA103" s="285"/>
      <c r="AB103" s="285"/>
      <c r="AC103" s="285"/>
      <c r="AD103" s="285"/>
      <c r="AE103" s="285"/>
      <c r="AF103" s="285"/>
      <c r="AG103" s="285"/>
      <c r="AH103" s="285"/>
      <c r="AI103" s="285"/>
      <c r="AJ103" s="285"/>
      <c r="AK103" s="285"/>
      <c r="AL103" s="285"/>
      <c r="AM103" s="285"/>
      <c r="AN103" s="285"/>
      <c r="AO103" s="285"/>
      <c r="AP103" s="285"/>
      <c r="AQ103" s="285"/>
      <c r="AR103" s="285"/>
      <c r="AS103" s="285"/>
      <c r="AT103" s="285"/>
      <c r="AU103" s="285"/>
      <c r="AV103" s="285"/>
      <c r="AW103" s="285"/>
      <c r="AX103" s="285"/>
      <c r="AY103" s="285"/>
      <c r="AZ103" s="285"/>
      <c r="BA103" s="285"/>
      <c r="BB103" s="285"/>
      <c r="BC103" s="285"/>
      <c r="BD103" s="285"/>
      <c r="BE103" s="285"/>
      <c r="BF103" s="285"/>
      <c r="BG103" s="285"/>
      <c r="BH103" s="285"/>
      <c r="BI103" s="285"/>
      <c r="BJ103" s="285"/>
      <c r="BK103" s="285"/>
      <c r="BL103" s="285"/>
      <c r="BM103" s="285"/>
      <c r="BN103" s="285"/>
      <c r="BO103" s="285"/>
      <c r="BP103" s="285"/>
      <c r="BQ103" s="285"/>
      <c r="BR103" s="285"/>
      <c r="BS103" s="285"/>
      <c r="BT103" s="285"/>
      <c r="BU103" s="285"/>
      <c r="BV103" s="285"/>
      <c r="BW103" s="285"/>
      <c r="BX103" s="285"/>
      <c r="BY103" s="285"/>
      <c r="BZ103" s="285"/>
      <c r="CA103" s="285"/>
      <c r="CB103" s="285"/>
      <c r="CC103" s="285"/>
      <c r="CD103" s="285"/>
      <c r="CE103" s="285"/>
      <c r="CF103" s="285"/>
      <c r="CG103" s="285"/>
      <c r="CH103" s="285"/>
      <c r="CI103" s="285"/>
      <c r="CJ103" s="285"/>
      <c r="CK103" s="285"/>
      <c r="CL103" s="285"/>
      <c r="CM103" s="285"/>
      <c r="CN103" s="285"/>
      <c r="CO103" s="285"/>
      <c r="CP103" s="285"/>
      <c r="CQ103" s="285"/>
      <c r="CR103" s="285"/>
    </row>
    <row r="104" spans="1:96" ht="15.6">
      <c r="A104" s="285"/>
      <c r="B104" s="285"/>
      <c r="C104" s="285"/>
      <c r="D104" s="285"/>
      <c r="E104" s="285"/>
      <c r="F104" s="285"/>
      <c r="G104" s="285"/>
      <c r="H104" s="285"/>
      <c r="I104" s="285"/>
      <c r="J104" s="285"/>
      <c r="K104" s="285"/>
      <c r="L104" s="285"/>
      <c r="M104" s="285"/>
      <c r="N104" s="285"/>
      <c r="O104" s="285"/>
      <c r="P104" s="285"/>
      <c r="Q104" s="285"/>
      <c r="R104" s="285"/>
      <c r="S104" s="285"/>
      <c r="T104" s="285"/>
      <c r="U104" s="285"/>
      <c r="V104" s="285"/>
      <c r="W104" s="285"/>
      <c r="X104" s="285"/>
      <c r="Y104" s="285"/>
      <c r="Z104" s="285"/>
      <c r="AA104" s="285"/>
      <c r="AB104" s="285"/>
      <c r="AC104" s="285"/>
      <c r="AD104" s="285"/>
      <c r="AE104" s="285"/>
      <c r="AF104" s="285"/>
      <c r="AG104" s="285"/>
      <c r="AH104" s="285"/>
      <c r="AI104" s="285"/>
      <c r="AJ104" s="285"/>
      <c r="AK104" s="285"/>
      <c r="AL104" s="285"/>
      <c r="AM104" s="285"/>
      <c r="AN104" s="285"/>
      <c r="AO104" s="285"/>
      <c r="AP104" s="285"/>
      <c r="AQ104" s="285"/>
      <c r="AR104" s="285"/>
      <c r="AS104" s="285"/>
      <c r="AT104" s="285"/>
      <c r="AU104" s="285"/>
      <c r="AV104" s="285"/>
      <c r="AW104" s="285"/>
      <c r="AX104" s="285"/>
      <c r="AY104" s="285"/>
      <c r="AZ104" s="285"/>
      <c r="BA104" s="285"/>
      <c r="BB104" s="285"/>
      <c r="BC104" s="285"/>
      <c r="BD104" s="285"/>
      <c r="BE104" s="285"/>
      <c r="BF104" s="285"/>
      <c r="BG104" s="285"/>
      <c r="BH104" s="285"/>
      <c r="BI104" s="285"/>
      <c r="BJ104" s="285"/>
      <c r="BK104" s="285"/>
      <c r="BL104" s="285"/>
      <c r="BM104" s="285"/>
      <c r="BN104" s="285"/>
      <c r="BO104" s="285"/>
      <c r="BP104" s="285"/>
      <c r="BQ104" s="285"/>
      <c r="BR104" s="285"/>
      <c r="BS104" s="285"/>
      <c r="BT104" s="285"/>
      <c r="BU104" s="285"/>
      <c r="BV104" s="285"/>
      <c r="BW104" s="285"/>
      <c r="BX104" s="285"/>
      <c r="BY104" s="285"/>
      <c r="BZ104" s="285"/>
      <c r="CA104" s="285"/>
      <c r="CB104" s="285"/>
      <c r="CC104" s="285"/>
      <c r="CD104" s="285"/>
      <c r="CE104" s="285"/>
      <c r="CF104" s="285"/>
      <c r="CG104" s="285"/>
      <c r="CH104" s="285"/>
      <c r="CI104" s="285"/>
      <c r="CJ104" s="285"/>
      <c r="CK104" s="285"/>
      <c r="CL104" s="285"/>
      <c r="CM104" s="285"/>
      <c r="CN104" s="285"/>
      <c r="CO104" s="285"/>
      <c r="CP104" s="285"/>
      <c r="CQ104" s="285"/>
      <c r="CR104" s="285"/>
    </row>
    <row r="105" spans="1:96" ht="15.6">
      <c r="A105" s="285"/>
      <c r="B105" s="285"/>
      <c r="C105" s="285"/>
      <c r="D105" s="285"/>
      <c r="E105" s="285"/>
      <c r="F105" s="285"/>
      <c r="G105" s="285"/>
      <c r="H105" s="285"/>
      <c r="I105" s="285"/>
      <c r="J105" s="285"/>
      <c r="K105" s="285"/>
      <c r="L105" s="285"/>
      <c r="M105" s="285"/>
      <c r="N105" s="285"/>
      <c r="O105" s="285"/>
      <c r="P105" s="285"/>
      <c r="Q105" s="285"/>
      <c r="R105" s="285"/>
      <c r="S105" s="285"/>
      <c r="T105" s="285"/>
      <c r="U105" s="285"/>
      <c r="V105" s="285"/>
      <c r="W105" s="285"/>
      <c r="X105" s="285"/>
      <c r="Y105" s="285"/>
      <c r="Z105" s="285"/>
      <c r="AA105" s="285"/>
      <c r="AB105" s="285"/>
      <c r="AC105" s="285"/>
      <c r="AD105" s="285"/>
      <c r="AE105" s="285"/>
      <c r="AF105" s="285"/>
      <c r="AG105" s="285"/>
      <c r="AH105" s="285"/>
      <c r="AI105" s="285"/>
      <c r="AJ105" s="285"/>
      <c r="AK105" s="285"/>
      <c r="AL105" s="285"/>
      <c r="AM105" s="285"/>
      <c r="AN105" s="285"/>
      <c r="AO105" s="285"/>
      <c r="AP105" s="285"/>
      <c r="AQ105" s="285"/>
      <c r="AR105" s="285"/>
      <c r="AS105" s="285"/>
      <c r="AT105" s="285"/>
      <c r="AU105" s="285"/>
      <c r="AV105" s="285"/>
      <c r="AW105" s="285"/>
      <c r="AX105" s="285"/>
      <c r="AY105" s="285"/>
      <c r="AZ105" s="285"/>
      <c r="BA105" s="285"/>
      <c r="BB105" s="285"/>
      <c r="BC105" s="285"/>
      <c r="BD105" s="285"/>
      <c r="BE105" s="285"/>
      <c r="BF105" s="285"/>
      <c r="BG105" s="285"/>
      <c r="BH105" s="285"/>
      <c r="BI105" s="285"/>
      <c r="BJ105" s="285"/>
      <c r="BK105" s="285"/>
      <c r="BL105" s="285"/>
      <c r="BM105" s="285"/>
      <c r="BN105" s="285"/>
      <c r="BO105" s="285"/>
      <c r="BP105" s="285"/>
      <c r="BQ105" s="285"/>
      <c r="BR105" s="285"/>
      <c r="BS105" s="285"/>
      <c r="BT105" s="285"/>
      <c r="BU105" s="285"/>
      <c r="BV105" s="285"/>
      <c r="BW105" s="285"/>
      <c r="BX105" s="285"/>
      <c r="BY105" s="285"/>
      <c r="BZ105" s="285"/>
      <c r="CA105" s="285"/>
      <c r="CB105" s="285"/>
      <c r="CC105" s="285"/>
      <c r="CD105" s="285"/>
      <c r="CE105" s="285"/>
      <c r="CF105" s="285"/>
      <c r="CG105" s="285"/>
      <c r="CH105" s="285"/>
      <c r="CI105" s="285"/>
      <c r="CJ105" s="285"/>
      <c r="CK105" s="285"/>
      <c r="CL105" s="285"/>
      <c r="CM105" s="285"/>
      <c r="CN105" s="285"/>
      <c r="CO105" s="285"/>
      <c r="CP105" s="285"/>
      <c r="CQ105" s="285"/>
      <c r="CR105" s="285"/>
    </row>
    <row r="106" spans="1:96" ht="15.6">
      <c r="A106" s="285"/>
      <c r="B106" s="285"/>
      <c r="C106" s="285"/>
      <c r="D106" s="285"/>
      <c r="E106" s="285"/>
      <c r="F106" s="285"/>
      <c r="G106" s="285"/>
      <c r="H106" s="285"/>
      <c r="I106" s="285"/>
      <c r="J106" s="285"/>
      <c r="K106" s="285"/>
      <c r="L106" s="285"/>
      <c r="M106" s="285"/>
      <c r="N106" s="285"/>
      <c r="O106" s="285"/>
      <c r="P106" s="285"/>
      <c r="Q106" s="285"/>
      <c r="R106" s="285"/>
      <c r="S106" s="285"/>
      <c r="T106" s="285"/>
      <c r="U106" s="285"/>
      <c r="V106" s="285"/>
      <c r="W106" s="285"/>
      <c r="X106" s="285"/>
      <c r="Y106" s="285"/>
      <c r="Z106" s="285"/>
      <c r="AA106" s="285"/>
      <c r="AB106" s="285"/>
      <c r="AC106" s="285"/>
      <c r="AD106" s="285"/>
      <c r="AE106" s="285"/>
      <c r="AF106" s="285"/>
      <c r="AG106" s="285"/>
      <c r="AH106" s="285"/>
      <c r="AI106" s="285"/>
      <c r="AJ106" s="285"/>
      <c r="AK106" s="285"/>
      <c r="AL106" s="285"/>
      <c r="AM106" s="285"/>
      <c r="AN106" s="285"/>
      <c r="AO106" s="285"/>
      <c r="AP106" s="285"/>
      <c r="AQ106" s="285"/>
      <c r="AR106" s="285"/>
      <c r="AS106" s="285"/>
      <c r="AT106" s="285"/>
      <c r="AU106" s="285"/>
      <c r="AV106" s="285"/>
      <c r="AW106" s="285"/>
      <c r="AX106" s="285"/>
      <c r="AY106" s="285"/>
      <c r="AZ106" s="285"/>
      <c r="BA106" s="285"/>
      <c r="BB106" s="285"/>
      <c r="BC106" s="285"/>
      <c r="BD106" s="285"/>
      <c r="BE106" s="285"/>
      <c r="BF106" s="285"/>
      <c r="BG106" s="285"/>
      <c r="BH106" s="285"/>
      <c r="BI106" s="285"/>
      <c r="BJ106" s="285"/>
      <c r="BK106" s="285"/>
      <c r="BL106" s="285"/>
      <c r="BM106" s="285"/>
      <c r="BN106" s="285"/>
      <c r="BO106" s="285"/>
      <c r="BP106" s="285"/>
      <c r="BQ106" s="285"/>
      <c r="BR106" s="285"/>
      <c r="BS106" s="285"/>
      <c r="BT106" s="285"/>
      <c r="BU106" s="285"/>
      <c r="BV106" s="285"/>
      <c r="BW106" s="285"/>
      <c r="BX106" s="285"/>
      <c r="BY106" s="285"/>
      <c r="BZ106" s="285"/>
      <c r="CA106" s="285"/>
      <c r="CB106" s="285"/>
      <c r="CC106" s="285"/>
      <c r="CD106" s="285"/>
      <c r="CE106" s="285"/>
      <c r="CF106" s="285"/>
      <c r="CG106" s="285"/>
      <c r="CH106" s="285"/>
      <c r="CI106" s="285"/>
      <c r="CJ106" s="285"/>
      <c r="CK106" s="285"/>
      <c r="CL106" s="285"/>
      <c r="CM106" s="285"/>
      <c r="CN106" s="285"/>
      <c r="CO106" s="285"/>
      <c r="CP106" s="285"/>
      <c r="CQ106" s="285"/>
      <c r="CR106" s="285"/>
    </row>
    <row r="107" spans="1:96" ht="15.6">
      <c r="A107" s="285"/>
      <c r="B107" s="285"/>
      <c r="C107" s="285"/>
      <c r="D107" s="285"/>
      <c r="E107" s="285"/>
      <c r="F107" s="285"/>
      <c r="G107" s="285"/>
      <c r="H107" s="285"/>
      <c r="I107" s="285"/>
      <c r="J107" s="285"/>
      <c r="K107" s="285"/>
      <c r="L107" s="285"/>
      <c r="M107" s="285"/>
      <c r="N107" s="285"/>
      <c r="O107" s="285"/>
      <c r="P107" s="285"/>
      <c r="Q107" s="285"/>
      <c r="R107" s="285"/>
      <c r="S107" s="285"/>
      <c r="T107" s="285"/>
      <c r="U107" s="285"/>
      <c r="V107" s="285"/>
      <c r="W107" s="285"/>
      <c r="X107" s="285"/>
      <c r="Y107" s="285"/>
      <c r="Z107" s="285"/>
      <c r="AA107" s="285"/>
      <c r="AB107" s="285"/>
      <c r="AC107" s="285"/>
      <c r="AD107" s="285"/>
      <c r="AE107" s="285"/>
      <c r="AF107" s="285"/>
      <c r="AG107" s="285"/>
      <c r="AH107" s="285"/>
      <c r="AI107" s="285"/>
      <c r="AJ107" s="285"/>
      <c r="AK107" s="285"/>
      <c r="AL107" s="285"/>
      <c r="AM107" s="285"/>
      <c r="AN107" s="285"/>
      <c r="AO107" s="285"/>
      <c r="AP107" s="285"/>
      <c r="AQ107" s="285"/>
      <c r="AR107" s="285"/>
      <c r="AS107" s="285"/>
      <c r="AT107" s="285"/>
      <c r="AU107" s="285"/>
      <c r="AV107" s="285"/>
      <c r="AW107" s="285"/>
      <c r="AX107" s="285"/>
      <c r="AY107" s="285"/>
      <c r="AZ107" s="285"/>
      <c r="BA107" s="285"/>
      <c r="BB107" s="285"/>
      <c r="BC107" s="285"/>
      <c r="BD107" s="285"/>
      <c r="BE107" s="285"/>
      <c r="BF107" s="285"/>
      <c r="BG107" s="285"/>
      <c r="BH107" s="285"/>
      <c r="BI107" s="285"/>
      <c r="BJ107" s="285"/>
      <c r="BK107" s="285"/>
      <c r="BL107" s="285"/>
      <c r="BM107" s="285"/>
      <c r="BN107" s="285"/>
      <c r="BO107" s="285"/>
      <c r="BP107" s="285"/>
      <c r="BQ107" s="285"/>
      <c r="BR107" s="285"/>
      <c r="BS107" s="285"/>
      <c r="BT107" s="285"/>
      <c r="BU107" s="285"/>
      <c r="BV107" s="285"/>
      <c r="BW107" s="285"/>
      <c r="BX107" s="285"/>
      <c r="BY107" s="285"/>
      <c r="BZ107" s="285"/>
      <c r="CA107" s="285"/>
      <c r="CB107" s="285"/>
      <c r="CC107" s="285"/>
      <c r="CD107" s="285"/>
      <c r="CE107" s="285"/>
      <c r="CF107" s="285"/>
      <c r="CG107" s="285"/>
      <c r="CH107" s="285"/>
      <c r="CI107" s="285"/>
      <c r="CJ107" s="285"/>
      <c r="CK107" s="285"/>
      <c r="CL107" s="285"/>
      <c r="CM107" s="285"/>
      <c r="CN107" s="285"/>
      <c r="CO107" s="285"/>
      <c r="CP107" s="285"/>
      <c r="CQ107" s="285"/>
      <c r="CR107" s="285"/>
    </row>
    <row r="108" spans="1:96" ht="15.6">
      <c r="A108" s="285"/>
      <c r="B108" s="285"/>
      <c r="C108" s="285"/>
      <c r="D108" s="285"/>
      <c r="E108" s="285"/>
      <c r="F108" s="285"/>
      <c r="G108" s="285"/>
      <c r="H108" s="285"/>
      <c r="I108" s="285"/>
      <c r="J108" s="285"/>
      <c r="K108" s="285"/>
      <c r="L108" s="285"/>
      <c r="M108" s="285"/>
      <c r="N108" s="285"/>
      <c r="O108" s="285"/>
      <c r="P108" s="285"/>
      <c r="Q108" s="285"/>
      <c r="R108" s="285"/>
      <c r="S108" s="285"/>
      <c r="T108" s="285"/>
      <c r="U108" s="285"/>
      <c r="V108" s="285"/>
      <c r="W108" s="285"/>
      <c r="X108" s="285"/>
      <c r="Y108" s="285"/>
      <c r="Z108" s="285"/>
      <c r="AA108" s="285"/>
      <c r="AB108" s="285"/>
      <c r="AC108" s="285"/>
      <c r="AD108" s="285"/>
      <c r="AE108" s="285"/>
      <c r="AF108" s="285"/>
      <c r="AG108" s="285"/>
      <c r="AH108" s="285"/>
      <c r="AI108" s="285"/>
      <c r="AJ108" s="285"/>
      <c r="AK108" s="285"/>
      <c r="AL108" s="285"/>
      <c r="AM108" s="285"/>
      <c r="AN108" s="285"/>
      <c r="AO108" s="285"/>
      <c r="AP108" s="285"/>
      <c r="AQ108" s="285"/>
      <c r="AR108" s="285"/>
      <c r="AS108" s="285"/>
      <c r="AT108" s="285"/>
      <c r="AU108" s="285"/>
      <c r="AV108" s="285"/>
      <c r="AW108" s="285"/>
      <c r="AX108" s="285"/>
      <c r="AY108" s="285"/>
      <c r="AZ108" s="285"/>
      <c r="BA108" s="285"/>
      <c r="BB108" s="285"/>
      <c r="BC108" s="285"/>
      <c r="BD108" s="285"/>
      <c r="BE108" s="285"/>
      <c r="BF108" s="285"/>
      <c r="BG108" s="285"/>
      <c r="BH108" s="285"/>
      <c r="BI108" s="285"/>
      <c r="BJ108" s="285"/>
      <c r="BK108" s="285"/>
      <c r="BL108" s="285"/>
      <c r="BM108" s="285"/>
      <c r="BN108" s="285"/>
      <c r="BO108" s="285"/>
      <c r="BP108" s="285"/>
      <c r="BQ108" s="285"/>
      <c r="BR108" s="285"/>
      <c r="BS108" s="285"/>
      <c r="BT108" s="285"/>
      <c r="BU108" s="285"/>
      <c r="BV108" s="285"/>
      <c r="BW108" s="285"/>
      <c r="BX108" s="285"/>
      <c r="BY108" s="285"/>
      <c r="BZ108" s="285"/>
      <c r="CA108" s="285"/>
      <c r="CB108" s="285"/>
      <c r="CC108" s="285"/>
      <c r="CD108" s="285"/>
      <c r="CE108" s="285"/>
      <c r="CF108" s="285"/>
      <c r="CG108" s="285"/>
      <c r="CH108" s="285"/>
      <c r="CI108" s="285"/>
      <c r="CJ108" s="285"/>
      <c r="CK108" s="285"/>
      <c r="CL108" s="285"/>
      <c r="CM108" s="285"/>
      <c r="CN108" s="285"/>
      <c r="CO108" s="285"/>
      <c r="CP108" s="285"/>
      <c r="CQ108" s="285"/>
      <c r="CR108" s="285"/>
    </row>
    <row r="109" spans="1:96" ht="15.6">
      <c r="A109" s="285"/>
      <c r="B109" s="285"/>
      <c r="C109" s="285"/>
      <c r="D109" s="285"/>
      <c r="E109" s="285"/>
      <c r="F109" s="285"/>
      <c r="G109" s="285"/>
      <c r="H109" s="285"/>
      <c r="I109" s="285"/>
      <c r="J109" s="285"/>
      <c r="K109" s="285"/>
      <c r="L109" s="285"/>
      <c r="M109" s="285"/>
      <c r="N109" s="285"/>
      <c r="O109" s="285"/>
      <c r="P109" s="285"/>
      <c r="Q109" s="285"/>
      <c r="R109" s="285"/>
      <c r="S109" s="285"/>
      <c r="T109" s="285"/>
      <c r="U109" s="285"/>
      <c r="V109" s="285"/>
      <c r="W109" s="285"/>
      <c r="X109" s="285"/>
      <c r="Y109" s="285"/>
      <c r="Z109" s="285"/>
      <c r="AA109" s="285"/>
      <c r="AB109" s="285"/>
      <c r="AC109" s="285"/>
      <c r="AD109" s="285"/>
      <c r="AE109" s="285"/>
      <c r="AF109" s="285"/>
      <c r="AG109" s="285"/>
      <c r="AH109" s="285"/>
      <c r="AI109" s="285"/>
      <c r="AJ109" s="285"/>
      <c r="AK109" s="285"/>
      <c r="AL109" s="285"/>
      <c r="AM109" s="285"/>
      <c r="AN109" s="285"/>
      <c r="AO109" s="285"/>
      <c r="AP109" s="285"/>
      <c r="AQ109" s="285"/>
      <c r="AR109" s="285"/>
      <c r="AS109" s="285"/>
      <c r="AT109" s="285"/>
      <c r="AU109" s="285"/>
      <c r="AV109" s="285"/>
      <c r="AW109" s="285"/>
      <c r="AX109" s="285"/>
      <c r="AY109" s="285"/>
      <c r="AZ109" s="285"/>
      <c r="BA109" s="285"/>
      <c r="BB109" s="285"/>
      <c r="BC109" s="285"/>
      <c r="BD109" s="285"/>
      <c r="BE109" s="285"/>
      <c r="BF109" s="285"/>
      <c r="BG109" s="285"/>
      <c r="BH109" s="285"/>
      <c r="BI109" s="285"/>
      <c r="BJ109" s="285"/>
      <c r="BK109" s="285"/>
      <c r="BL109" s="285"/>
      <c r="BM109" s="285"/>
      <c r="BN109" s="285"/>
      <c r="BO109" s="285"/>
      <c r="BP109" s="285"/>
      <c r="BQ109" s="285"/>
      <c r="BR109" s="285"/>
      <c r="BS109" s="285"/>
      <c r="BT109" s="285"/>
      <c r="BU109" s="285"/>
      <c r="BV109" s="285"/>
      <c r="BW109" s="285"/>
      <c r="BX109" s="285"/>
      <c r="BY109" s="285"/>
      <c r="BZ109" s="285"/>
      <c r="CA109" s="285"/>
      <c r="CB109" s="285"/>
      <c r="CC109" s="285"/>
      <c r="CD109" s="285"/>
      <c r="CE109" s="285"/>
      <c r="CF109" s="285"/>
      <c r="CG109" s="285"/>
      <c r="CH109" s="285"/>
      <c r="CI109" s="285"/>
      <c r="CJ109" s="285"/>
      <c r="CK109" s="285"/>
      <c r="CL109" s="285"/>
      <c r="CM109" s="285"/>
      <c r="CN109" s="285"/>
      <c r="CO109" s="285"/>
      <c r="CP109" s="285"/>
      <c r="CQ109" s="285"/>
      <c r="CR109" s="285"/>
    </row>
    <row r="110" spans="1:96" ht="15.6">
      <c r="A110" s="285"/>
      <c r="B110" s="285"/>
      <c r="C110" s="285"/>
      <c r="D110" s="285"/>
      <c r="E110" s="285"/>
      <c r="F110" s="285"/>
      <c r="G110" s="285"/>
      <c r="H110" s="285"/>
      <c r="I110" s="285"/>
      <c r="J110" s="285"/>
      <c r="K110" s="285"/>
      <c r="L110" s="285"/>
      <c r="M110" s="285"/>
      <c r="N110" s="285"/>
      <c r="O110" s="285"/>
      <c r="P110" s="285"/>
      <c r="Q110" s="285"/>
      <c r="R110" s="285"/>
      <c r="S110" s="285"/>
      <c r="T110" s="285"/>
      <c r="U110" s="285"/>
      <c r="V110" s="285"/>
      <c r="W110" s="285"/>
      <c r="X110" s="285"/>
      <c r="Y110" s="285"/>
      <c r="Z110" s="285"/>
      <c r="AA110" s="285"/>
      <c r="AB110" s="285"/>
      <c r="AC110" s="285"/>
      <c r="AD110" s="285"/>
      <c r="AE110" s="285"/>
      <c r="AF110" s="285"/>
      <c r="AG110" s="285"/>
      <c r="AH110" s="285"/>
      <c r="AI110" s="285"/>
      <c r="AJ110" s="285"/>
      <c r="AK110" s="285"/>
      <c r="AL110" s="285"/>
      <c r="AM110" s="285"/>
      <c r="AN110" s="285"/>
      <c r="AO110" s="285"/>
      <c r="AP110" s="285"/>
      <c r="AQ110" s="285"/>
      <c r="AR110" s="285"/>
      <c r="AS110" s="285"/>
      <c r="AT110" s="285"/>
      <c r="AU110" s="285"/>
      <c r="AV110" s="285"/>
      <c r="AW110" s="285"/>
      <c r="AX110" s="285"/>
      <c r="AY110" s="285"/>
      <c r="AZ110" s="285"/>
      <c r="BA110" s="285"/>
      <c r="BB110" s="285"/>
      <c r="BC110" s="285"/>
      <c r="BD110" s="285"/>
      <c r="BE110" s="285"/>
      <c r="BF110" s="285"/>
      <c r="BG110" s="285"/>
      <c r="BH110" s="285"/>
      <c r="BI110" s="285"/>
      <c r="BJ110" s="285"/>
      <c r="BK110" s="285"/>
      <c r="BL110" s="285"/>
      <c r="BM110" s="285"/>
      <c r="BN110" s="285"/>
      <c r="BO110" s="285"/>
      <c r="BP110" s="285"/>
      <c r="BQ110" s="285"/>
      <c r="BR110" s="285"/>
      <c r="BS110" s="285"/>
      <c r="BT110" s="285"/>
      <c r="BU110" s="285"/>
      <c r="BV110" s="285"/>
      <c r="BW110" s="285"/>
      <c r="BX110" s="285"/>
      <c r="BY110" s="285"/>
      <c r="BZ110" s="285"/>
      <c r="CA110" s="285"/>
      <c r="CB110" s="285"/>
      <c r="CC110" s="285"/>
      <c r="CD110" s="285"/>
      <c r="CE110" s="285"/>
      <c r="CF110" s="285"/>
      <c r="CG110" s="285"/>
      <c r="CH110" s="285"/>
      <c r="CI110" s="285"/>
      <c r="CJ110" s="285"/>
      <c r="CK110" s="285"/>
      <c r="CL110" s="285"/>
      <c r="CM110" s="285"/>
      <c r="CN110" s="285"/>
      <c r="CO110" s="285"/>
      <c r="CP110" s="285"/>
      <c r="CQ110" s="285"/>
      <c r="CR110" s="285"/>
    </row>
    <row r="111" spans="1:96" ht="15.6">
      <c r="A111" s="285"/>
      <c r="B111" s="285"/>
      <c r="C111" s="285"/>
      <c r="D111" s="285"/>
      <c r="E111" s="285"/>
      <c r="F111" s="285"/>
      <c r="G111" s="285"/>
      <c r="H111" s="285"/>
      <c r="I111" s="285"/>
      <c r="J111" s="285"/>
      <c r="K111" s="285"/>
      <c r="L111" s="285"/>
      <c r="M111" s="285"/>
      <c r="N111" s="285"/>
      <c r="O111" s="285"/>
      <c r="P111" s="285"/>
      <c r="Q111" s="285"/>
      <c r="R111" s="285"/>
      <c r="S111" s="285"/>
      <c r="T111" s="285"/>
      <c r="U111" s="285"/>
      <c r="V111" s="285"/>
      <c r="W111" s="285"/>
      <c r="X111" s="285"/>
      <c r="Y111" s="285"/>
      <c r="Z111" s="285"/>
      <c r="AA111" s="285"/>
      <c r="AB111" s="285"/>
      <c r="AC111" s="285"/>
      <c r="AD111" s="285"/>
      <c r="AE111" s="285"/>
      <c r="AF111" s="285"/>
      <c r="AG111" s="285"/>
      <c r="AH111" s="285"/>
      <c r="AI111" s="285"/>
      <c r="AJ111" s="285"/>
      <c r="AK111" s="285"/>
      <c r="AL111" s="285"/>
      <c r="AM111" s="285"/>
      <c r="AN111" s="285"/>
      <c r="AO111" s="285"/>
      <c r="AP111" s="285"/>
      <c r="AQ111" s="285"/>
      <c r="AR111" s="285"/>
      <c r="AS111" s="285"/>
      <c r="AT111" s="285"/>
      <c r="AU111" s="285"/>
      <c r="AV111" s="285"/>
      <c r="AW111" s="285"/>
      <c r="AX111" s="285"/>
      <c r="AY111" s="285"/>
      <c r="AZ111" s="285"/>
      <c r="BA111" s="285"/>
      <c r="BB111" s="285"/>
      <c r="BC111" s="285"/>
      <c r="BD111" s="285"/>
      <c r="BE111" s="285"/>
      <c r="BF111" s="285"/>
      <c r="BG111" s="285"/>
      <c r="BH111" s="285"/>
      <c r="BI111" s="285"/>
      <c r="BJ111" s="285"/>
      <c r="BK111" s="285"/>
      <c r="BL111" s="285"/>
      <c r="BM111" s="285"/>
      <c r="BN111" s="285"/>
      <c r="BO111" s="285"/>
      <c r="BP111" s="285"/>
      <c r="BQ111" s="285"/>
      <c r="BR111" s="285"/>
      <c r="BS111" s="285"/>
      <c r="BT111" s="285"/>
      <c r="BU111" s="285"/>
      <c r="BV111" s="285"/>
      <c r="BW111" s="285"/>
      <c r="BX111" s="285"/>
      <c r="BY111" s="285"/>
      <c r="BZ111" s="285"/>
      <c r="CA111" s="285"/>
      <c r="CB111" s="285"/>
      <c r="CC111" s="285"/>
      <c r="CD111" s="285"/>
      <c r="CE111" s="285"/>
      <c r="CF111" s="285"/>
      <c r="CG111" s="285"/>
      <c r="CH111" s="285"/>
      <c r="CI111" s="285"/>
      <c r="CJ111" s="285"/>
      <c r="CK111" s="285"/>
      <c r="CL111" s="285"/>
      <c r="CM111" s="285"/>
      <c r="CN111" s="285"/>
      <c r="CO111" s="285"/>
      <c r="CP111" s="285"/>
      <c r="CQ111" s="285"/>
      <c r="CR111" s="285"/>
    </row>
    <row r="112" spans="1:96" ht="15.6">
      <c r="A112" s="285"/>
      <c r="B112" s="285"/>
      <c r="C112" s="285"/>
      <c r="D112" s="285"/>
      <c r="E112" s="285"/>
      <c r="F112" s="285"/>
      <c r="G112" s="285"/>
      <c r="H112" s="285"/>
      <c r="I112" s="285"/>
      <c r="J112" s="285"/>
      <c r="K112" s="285"/>
      <c r="L112" s="285"/>
      <c r="M112" s="285"/>
      <c r="N112" s="285"/>
      <c r="O112" s="285"/>
      <c r="P112" s="285"/>
      <c r="Q112" s="285"/>
      <c r="R112" s="285"/>
      <c r="S112" s="285"/>
      <c r="T112" s="285"/>
      <c r="U112" s="285"/>
      <c r="V112" s="285"/>
      <c r="W112" s="285"/>
      <c r="X112" s="285"/>
      <c r="Y112" s="285"/>
      <c r="Z112" s="285"/>
      <c r="AA112" s="285"/>
      <c r="AB112" s="285"/>
      <c r="AC112" s="285"/>
      <c r="AD112" s="285"/>
      <c r="AE112" s="285"/>
      <c r="AF112" s="285"/>
      <c r="AG112" s="285"/>
      <c r="AH112" s="285"/>
      <c r="AI112" s="285"/>
      <c r="AJ112" s="285"/>
      <c r="AK112" s="285"/>
      <c r="AL112" s="285"/>
      <c r="AM112" s="285"/>
      <c r="AN112" s="285"/>
      <c r="AO112" s="285"/>
      <c r="AP112" s="285"/>
      <c r="AQ112" s="285"/>
      <c r="AR112" s="285"/>
      <c r="AS112" s="285"/>
      <c r="AT112" s="285"/>
      <c r="AU112" s="285"/>
      <c r="AV112" s="285"/>
      <c r="AW112" s="285"/>
      <c r="AX112" s="285"/>
      <c r="AY112" s="285"/>
      <c r="AZ112" s="285"/>
      <c r="BA112" s="285"/>
      <c r="BB112" s="285"/>
      <c r="BC112" s="285"/>
      <c r="BD112" s="285"/>
      <c r="BE112" s="285"/>
      <c r="BF112" s="285"/>
      <c r="BG112" s="285"/>
      <c r="BH112" s="285"/>
      <c r="BI112" s="285"/>
      <c r="BJ112" s="285"/>
      <c r="BK112" s="285"/>
      <c r="BL112" s="285"/>
      <c r="BM112" s="285"/>
      <c r="BN112" s="285"/>
      <c r="BO112" s="285"/>
      <c r="BP112" s="285"/>
      <c r="BQ112" s="285"/>
      <c r="BR112" s="285"/>
      <c r="BS112" s="285"/>
      <c r="BT112" s="285"/>
      <c r="BU112" s="285"/>
      <c r="BV112" s="285"/>
      <c r="BW112" s="285"/>
      <c r="BX112" s="285"/>
      <c r="BY112" s="285"/>
      <c r="BZ112" s="285"/>
      <c r="CA112" s="285"/>
      <c r="CB112" s="285"/>
      <c r="CC112" s="285"/>
      <c r="CD112" s="285"/>
      <c r="CE112" s="285"/>
      <c r="CF112" s="285"/>
      <c r="CG112" s="285"/>
      <c r="CH112" s="285"/>
      <c r="CI112" s="285"/>
      <c r="CJ112" s="285"/>
      <c r="CK112" s="285"/>
      <c r="CL112" s="285"/>
      <c r="CM112" s="285"/>
      <c r="CN112" s="285"/>
      <c r="CO112" s="285"/>
      <c r="CP112" s="285"/>
      <c r="CQ112" s="285"/>
      <c r="CR112" s="285"/>
    </row>
    <row r="113" spans="1:96" ht="15.6">
      <c r="A113" s="285"/>
      <c r="B113" s="285"/>
      <c r="C113" s="285"/>
      <c r="D113" s="285"/>
      <c r="E113" s="285"/>
      <c r="F113" s="285"/>
      <c r="G113" s="285"/>
      <c r="H113" s="285"/>
      <c r="I113" s="285"/>
      <c r="J113" s="285"/>
      <c r="K113" s="285"/>
      <c r="L113" s="285"/>
      <c r="M113" s="285"/>
      <c r="N113" s="285"/>
      <c r="O113" s="285"/>
      <c r="P113" s="285"/>
      <c r="Q113" s="285"/>
      <c r="R113" s="285"/>
      <c r="S113" s="285"/>
      <c r="T113" s="285"/>
      <c r="U113" s="285"/>
      <c r="V113" s="285"/>
      <c r="W113" s="285"/>
      <c r="X113" s="285"/>
      <c r="Y113" s="285"/>
      <c r="Z113" s="285"/>
      <c r="AA113" s="285"/>
      <c r="AB113" s="285"/>
      <c r="AC113" s="285"/>
      <c r="AD113" s="285"/>
      <c r="AE113" s="285"/>
      <c r="AF113" s="285"/>
      <c r="AG113" s="285"/>
      <c r="AH113" s="285"/>
      <c r="AI113" s="285"/>
      <c r="AJ113" s="285"/>
      <c r="AK113" s="285"/>
      <c r="AL113" s="285"/>
      <c r="AM113" s="285"/>
      <c r="AN113" s="285"/>
      <c r="AO113" s="285"/>
      <c r="AP113" s="285"/>
      <c r="AQ113" s="285"/>
      <c r="AR113" s="285"/>
      <c r="AS113" s="285"/>
      <c r="AT113" s="285"/>
      <c r="AU113" s="285"/>
      <c r="AV113" s="285"/>
      <c r="AW113" s="285"/>
      <c r="AX113" s="285"/>
      <c r="AY113" s="285"/>
      <c r="AZ113" s="285"/>
      <c r="BA113" s="285"/>
      <c r="BB113" s="285"/>
      <c r="BC113" s="285"/>
      <c r="BD113" s="285"/>
      <c r="BE113" s="285"/>
      <c r="BF113" s="285"/>
      <c r="BG113" s="285"/>
      <c r="BH113" s="285"/>
      <c r="BI113" s="285"/>
      <c r="BJ113" s="285"/>
      <c r="BK113" s="285"/>
      <c r="BL113" s="285"/>
      <c r="BM113" s="285"/>
      <c r="BN113" s="285"/>
      <c r="BO113" s="285"/>
      <c r="BP113" s="285"/>
      <c r="BQ113" s="285"/>
      <c r="BR113" s="285"/>
      <c r="BS113" s="285"/>
      <c r="BT113" s="285"/>
      <c r="BU113" s="285"/>
      <c r="BV113" s="285"/>
      <c r="BW113" s="285"/>
      <c r="BX113" s="285"/>
      <c r="BY113" s="285"/>
      <c r="BZ113" s="285"/>
      <c r="CA113" s="285"/>
      <c r="CB113" s="285"/>
      <c r="CC113" s="285"/>
      <c r="CD113" s="285"/>
      <c r="CE113" s="285"/>
      <c r="CF113" s="285"/>
      <c r="CG113" s="285"/>
      <c r="CH113" s="285"/>
      <c r="CI113" s="285"/>
      <c r="CJ113" s="285"/>
      <c r="CK113" s="285"/>
      <c r="CL113" s="285"/>
      <c r="CM113" s="285"/>
      <c r="CN113" s="285"/>
      <c r="CO113" s="285"/>
      <c r="CP113" s="285"/>
      <c r="CQ113" s="285"/>
      <c r="CR113" s="285"/>
    </row>
    <row r="114" spans="1:96" ht="15.6">
      <c r="A114" s="285"/>
      <c r="B114" s="285"/>
      <c r="C114" s="285"/>
      <c r="D114" s="285"/>
      <c r="E114" s="285"/>
      <c r="F114" s="285"/>
      <c r="G114" s="285"/>
      <c r="H114" s="285"/>
      <c r="I114" s="285"/>
      <c r="J114" s="285"/>
      <c r="K114" s="285"/>
      <c r="L114" s="285"/>
      <c r="M114" s="285"/>
      <c r="N114" s="285"/>
      <c r="O114" s="285"/>
      <c r="P114" s="285"/>
      <c r="Q114" s="285"/>
      <c r="R114" s="285"/>
      <c r="S114" s="285"/>
      <c r="T114" s="285"/>
      <c r="U114" s="285"/>
      <c r="V114" s="285"/>
      <c r="W114" s="285"/>
      <c r="X114" s="285"/>
      <c r="Y114" s="285"/>
      <c r="Z114" s="285"/>
      <c r="AA114" s="285"/>
      <c r="AB114" s="285"/>
      <c r="AC114" s="285"/>
      <c r="AD114" s="285"/>
      <c r="AE114" s="285"/>
      <c r="AF114" s="285"/>
      <c r="AG114" s="285"/>
      <c r="AH114" s="285"/>
      <c r="AI114" s="285"/>
      <c r="AJ114" s="285"/>
      <c r="AK114" s="285"/>
      <c r="AL114" s="285"/>
      <c r="AM114" s="285"/>
      <c r="AN114" s="285"/>
      <c r="AO114" s="285"/>
      <c r="AP114" s="285"/>
      <c r="AQ114" s="285"/>
      <c r="AR114" s="285"/>
      <c r="AS114" s="285"/>
      <c r="AT114" s="285"/>
      <c r="AU114" s="285"/>
      <c r="AV114" s="285"/>
      <c r="AW114" s="285"/>
      <c r="AX114" s="285"/>
      <c r="AY114" s="285"/>
      <c r="AZ114" s="285"/>
      <c r="BA114" s="285"/>
      <c r="BB114" s="285"/>
      <c r="BC114" s="285"/>
      <c r="BD114" s="285"/>
      <c r="BE114" s="285"/>
      <c r="BF114" s="285"/>
      <c r="BG114" s="285"/>
      <c r="BH114" s="285"/>
      <c r="BI114" s="285"/>
      <c r="BJ114" s="285"/>
      <c r="BK114" s="285"/>
      <c r="BL114" s="285"/>
      <c r="BM114" s="285"/>
      <c r="BN114" s="285"/>
      <c r="BO114" s="285"/>
      <c r="BP114" s="285"/>
      <c r="BQ114" s="285"/>
      <c r="BR114" s="285"/>
      <c r="BS114" s="285"/>
      <c r="BT114" s="285"/>
      <c r="BU114" s="285"/>
      <c r="BV114" s="285"/>
      <c r="BW114" s="285"/>
      <c r="BX114" s="285"/>
      <c r="BY114" s="285"/>
      <c r="BZ114" s="285"/>
      <c r="CA114" s="285"/>
      <c r="CB114" s="285"/>
      <c r="CC114" s="285"/>
      <c r="CD114" s="285"/>
      <c r="CE114" s="285"/>
      <c r="CF114" s="285"/>
      <c r="CG114" s="285"/>
      <c r="CH114" s="285"/>
      <c r="CI114" s="285"/>
      <c r="CJ114" s="285"/>
      <c r="CK114" s="285"/>
      <c r="CL114" s="285"/>
      <c r="CM114" s="285"/>
      <c r="CN114" s="285"/>
      <c r="CO114" s="285"/>
      <c r="CP114" s="285"/>
      <c r="CQ114" s="285"/>
      <c r="CR114" s="285"/>
    </row>
    <row r="115" spans="1:96" ht="15.6">
      <c r="A115" s="285"/>
      <c r="B115" s="285"/>
      <c r="C115" s="285"/>
      <c r="D115" s="285"/>
      <c r="E115" s="285"/>
      <c r="F115" s="285"/>
      <c r="G115" s="285"/>
      <c r="H115" s="285"/>
      <c r="I115" s="285"/>
      <c r="J115" s="285"/>
      <c r="K115" s="285"/>
      <c r="L115" s="285"/>
      <c r="M115" s="285"/>
      <c r="N115" s="285"/>
      <c r="O115" s="285"/>
      <c r="P115" s="285"/>
      <c r="Q115" s="285"/>
      <c r="R115" s="285"/>
      <c r="S115" s="285"/>
      <c r="T115" s="285"/>
      <c r="U115" s="285"/>
      <c r="V115" s="285"/>
      <c r="W115" s="285"/>
      <c r="X115" s="285"/>
      <c r="Y115" s="285"/>
      <c r="Z115" s="285"/>
      <c r="AA115" s="285"/>
      <c r="AB115" s="285"/>
      <c r="AC115" s="285"/>
      <c r="AD115" s="285"/>
      <c r="AE115" s="285"/>
      <c r="AF115" s="285"/>
      <c r="AG115" s="285"/>
      <c r="AH115" s="285"/>
      <c r="AI115" s="285"/>
      <c r="AJ115" s="285"/>
      <c r="AK115" s="285"/>
      <c r="AL115" s="285"/>
      <c r="AM115" s="285"/>
      <c r="AN115" s="285"/>
      <c r="AO115" s="285"/>
      <c r="AP115" s="285"/>
      <c r="AQ115" s="285"/>
      <c r="AR115" s="285"/>
      <c r="AS115" s="285"/>
      <c r="AT115" s="285"/>
      <c r="AU115" s="285"/>
      <c r="AV115" s="285"/>
      <c r="AW115" s="285"/>
      <c r="AX115" s="285"/>
      <c r="AY115" s="285"/>
      <c r="AZ115" s="285"/>
      <c r="BA115" s="285"/>
      <c r="BB115" s="285"/>
      <c r="BC115" s="285"/>
      <c r="BD115" s="285"/>
      <c r="BE115" s="285"/>
      <c r="BF115" s="285"/>
      <c r="BG115" s="285"/>
      <c r="BH115" s="285"/>
      <c r="BI115" s="285"/>
      <c r="BJ115" s="285"/>
      <c r="BK115" s="285"/>
      <c r="BL115" s="285"/>
      <c r="BM115" s="285"/>
      <c r="BN115" s="285"/>
      <c r="BO115" s="285"/>
      <c r="BP115" s="285"/>
      <c r="BQ115" s="285"/>
      <c r="BR115" s="285"/>
      <c r="BS115" s="285"/>
      <c r="BT115" s="285"/>
      <c r="BU115" s="285"/>
      <c r="BV115" s="285"/>
      <c r="BW115" s="285"/>
      <c r="BX115" s="285"/>
      <c r="BY115" s="285"/>
      <c r="BZ115" s="285"/>
      <c r="CA115" s="285"/>
      <c r="CB115" s="285"/>
      <c r="CC115" s="285"/>
      <c r="CD115" s="285"/>
      <c r="CE115" s="285"/>
      <c r="CF115" s="285"/>
      <c r="CG115" s="285"/>
      <c r="CH115" s="285"/>
      <c r="CI115" s="285"/>
      <c r="CJ115" s="285"/>
      <c r="CK115" s="285"/>
      <c r="CL115" s="285"/>
      <c r="CM115" s="285"/>
      <c r="CN115" s="285"/>
      <c r="CO115" s="285"/>
      <c r="CP115" s="285"/>
      <c r="CQ115" s="285"/>
      <c r="CR115" s="285"/>
    </row>
    <row r="116" spans="1:96" ht="15.6">
      <c r="A116" s="285"/>
      <c r="B116" s="285"/>
      <c r="C116" s="285"/>
      <c r="D116" s="285"/>
      <c r="E116" s="285"/>
      <c r="F116" s="285"/>
      <c r="G116" s="285"/>
      <c r="H116" s="285"/>
      <c r="I116" s="285"/>
      <c r="J116" s="285"/>
      <c r="K116" s="285"/>
      <c r="L116" s="285"/>
      <c r="M116" s="285"/>
      <c r="N116" s="285"/>
      <c r="O116" s="285"/>
      <c r="P116" s="285"/>
      <c r="Q116" s="285"/>
      <c r="R116" s="285"/>
      <c r="S116" s="285"/>
      <c r="T116" s="285"/>
      <c r="U116" s="285"/>
      <c r="V116" s="285"/>
      <c r="W116" s="285"/>
      <c r="X116" s="285"/>
      <c r="Y116" s="285"/>
      <c r="Z116" s="285"/>
      <c r="AA116" s="285"/>
      <c r="AB116" s="285"/>
      <c r="AC116" s="285"/>
      <c r="AD116" s="285"/>
      <c r="AE116" s="285"/>
      <c r="AF116" s="285"/>
      <c r="AG116" s="285"/>
      <c r="AH116" s="285"/>
      <c r="AI116" s="285"/>
      <c r="AJ116" s="285"/>
      <c r="AK116" s="285"/>
      <c r="AL116" s="285"/>
      <c r="AM116" s="285"/>
      <c r="AN116" s="285"/>
      <c r="AO116" s="285"/>
      <c r="AP116" s="285"/>
      <c r="AQ116" s="285"/>
      <c r="AR116" s="285"/>
      <c r="AS116" s="285"/>
      <c r="AT116" s="285"/>
      <c r="AU116" s="285"/>
      <c r="AV116" s="285"/>
      <c r="AW116" s="285"/>
      <c r="AX116" s="285"/>
      <c r="AY116" s="285"/>
      <c r="AZ116" s="285"/>
      <c r="BA116" s="285"/>
      <c r="BB116" s="285"/>
      <c r="BC116" s="285"/>
      <c r="BD116" s="285"/>
      <c r="BE116" s="285"/>
      <c r="BF116" s="285"/>
      <c r="BG116" s="285"/>
      <c r="BH116" s="285"/>
      <c r="BI116" s="285"/>
      <c r="BJ116" s="285"/>
      <c r="BK116" s="285"/>
      <c r="BL116" s="285"/>
      <c r="BM116" s="285"/>
      <c r="BN116" s="285"/>
      <c r="BO116" s="285"/>
      <c r="BP116" s="285"/>
      <c r="BQ116" s="285"/>
      <c r="BR116" s="285"/>
      <c r="BS116" s="285"/>
      <c r="BT116" s="285"/>
      <c r="BU116" s="285"/>
      <c r="BV116" s="285"/>
      <c r="BW116" s="285"/>
      <c r="BX116" s="285"/>
      <c r="BY116" s="285"/>
      <c r="BZ116" s="285"/>
      <c r="CA116" s="285"/>
      <c r="CB116" s="285"/>
      <c r="CC116" s="285"/>
      <c r="CD116" s="285"/>
      <c r="CE116" s="285"/>
      <c r="CF116" s="285"/>
      <c r="CG116" s="285"/>
      <c r="CH116" s="285"/>
      <c r="CI116" s="285"/>
      <c r="CJ116" s="285"/>
      <c r="CK116" s="285"/>
      <c r="CL116" s="285"/>
      <c r="CM116" s="285"/>
      <c r="CN116" s="285"/>
      <c r="CO116" s="285"/>
      <c r="CP116" s="285"/>
      <c r="CQ116" s="285"/>
      <c r="CR116" s="285"/>
    </row>
    <row r="117" spans="1:96" ht="15.6">
      <c r="A117" s="285"/>
      <c r="B117" s="285"/>
      <c r="C117" s="285"/>
      <c r="D117" s="285"/>
      <c r="E117" s="285"/>
      <c r="F117" s="285"/>
      <c r="G117" s="285"/>
      <c r="H117" s="285"/>
      <c r="I117" s="285"/>
      <c r="J117" s="285"/>
      <c r="K117" s="285"/>
      <c r="L117" s="285"/>
      <c r="M117" s="285"/>
      <c r="N117" s="285"/>
      <c r="O117" s="285"/>
      <c r="P117" s="285"/>
      <c r="Q117" s="285"/>
      <c r="R117" s="285"/>
      <c r="S117" s="285"/>
      <c r="T117" s="285"/>
      <c r="U117" s="285"/>
      <c r="V117" s="285"/>
      <c r="W117" s="285"/>
      <c r="X117" s="285"/>
      <c r="Y117" s="285"/>
      <c r="Z117" s="285"/>
      <c r="AA117" s="285"/>
      <c r="AB117" s="285"/>
      <c r="AC117" s="285"/>
      <c r="AD117" s="285"/>
      <c r="AE117" s="285"/>
      <c r="AF117" s="285"/>
      <c r="AG117" s="285"/>
      <c r="AH117" s="285"/>
      <c r="AI117" s="285"/>
      <c r="AJ117" s="285"/>
      <c r="AK117" s="285"/>
      <c r="AL117" s="285"/>
      <c r="AM117" s="285"/>
      <c r="AN117" s="285"/>
      <c r="AO117" s="285"/>
      <c r="AP117" s="285"/>
      <c r="AQ117" s="285"/>
      <c r="AR117" s="285"/>
      <c r="AS117" s="285"/>
      <c r="AT117" s="285"/>
      <c r="AU117" s="285"/>
      <c r="AV117" s="285"/>
      <c r="AW117" s="285"/>
      <c r="AX117" s="285"/>
      <c r="AY117" s="285"/>
      <c r="AZ117" s="285"/>
      <c r="BA117" s="285"/>
      <c r="BB117" s="285"/>
      <c r="BC117" s="285"/>
      <c r="BD117" s="285"/>
      <c r="BE117" s="285"/>
      <c r="BF117" s="285"/>
      <c r="BG117" s="285"/>
      <c r="BH117" s="285"/>
      <c r="BI117" s="285"/>
      <c r="BJ117" s="285"/>
      <c r="BK117" s="285"/>
      <c r="BL117" s="285"/>
      <c r="BM117" s="285"/>
      <c r="BN117" s="285"/>
      <c r="BO117" s="285"/>
      <c r="BP117" s="285"/>
      <c r="BQ117" s="285"/>
      <c r="BR117" s="285"/>
      <c r="BS117" s="285"/>
      <c r="BT117" s="285"/>
      <c r="BU117" s="285"/>
      <c r="BV117" s="285"/>
      <c r="BW117" s="285"/>
      <c r="BX117" s="285"/>
      <c r="BY117" s="285"/>
      <c r="BZ117" s="285"/>
      <c r="CA117" s="285"/>
      <c r="CB117" s="285"/>
      <c r="CC117" s="285"/>
      <c r="CD117" s="285"/>
      <c r="CE117" s="285"/>
      <c r="CF117" s="285"/>
      <c r="CG117" s="285"/>
      <c r="CH117" s="285"/>
      <c r="CI117" s="285"/>
      <c r="CJ117" s="285"/>
      <c r="CK117" s="285"/>
      <c r="CL117" s="285"/>
      <c r="CM117" s="285"/>
      <c r="CN117" s="285"/>
      <c r="CO117" s="285"/>
      <c r="CP117" s="285"/>
      <c r="CQ117" s="285"/>
      <c r="CR117" s="285"/>
    </row>
    <row r="118" spans="1:96" ht="15.6">
      <c r="A118" s="285"/>
      <c r="B118" s="285"/>
      <c r="C118" s="285"/>
      <c r="D118" s="285"/>
      <c r="E118" s="285"/>
      <c r="F118" s="285"/>
      <c r="G118" s="285"/>
      <c r="H118" s="285"/>
      <c r="I118" s="285"/>
      <c r="J118" s="285"/>
      <c r="K118" s="285"/>
      <c r="L118" s="285"/>
      <c r="M118" s="285"/>
      <c r="N118" s="285"/>
      <c r="O118" s="285"/>
      <c r="P118" s="285"/>
      <c r="Q118" s="285"/>
      <c r="R118" s="285"/>
      <c r="S118" s="285"/>
      <c r="T118" s="285"/>
      <c r="U118" s="285"/>
      <c r="V118" s="285"/>
      <c r="W118" s="285"/>
      <c r="X118" s="285"/>
      <c r="Y118" s="285"/>
      <c r="Z118" s="285"/>
      <c r="AA118" s="285"/>
      <c r="AB118" s="285"/>
      <c r="AC118" s="285"/>
      <c r="AD118" s="285"/>
      <c r="AE118" s="285"/>
      <c r="AF118" s="285"/>
      <c r="AG118" s="285"/>
      <c r="AH118" s="285"/>
      <c r="AI118" s="285"/>
      <c r="AJ118" s="285"/>
      <c r="AK118" s="285"/>
      <c r="AL118" s="285"/>
      <c r="AM118" s="285"/>
      <c r="AN118" s="285"/>
      <c r="AO118" s="285"/>
      <c r="AP118" s="285"/>
      <c r="AQ118" s="285"/>
      <c r="AR118" s="285"/>
      <c r="AS118" s="285"/>
      <c r="AT118" s="285"/>
      <c r="AU118" s="285"/>
      <c r="AV118" s="285"/>
      <c r="AW118" s="285"/>
      <c r="AX118" s="285"/>
      <c r="AY118" s="285"/>
      <c r="AZ118" s="285"/>
      <c r="BA118" s="285"/>
      <c r="BB118" s="285"/>
      <c r="BC118" s="285"/>
      <c r="BD118" s="285"/>
      <c r="BE118" s="285"/>
      <c r="BF118" s="285"/>
      <c r="BG118" s="285"/>
      <c r="BH118" s="285"/>
      <c r="BI118" s="285"/>
      <c r="BJ118" s="285"/>
      <c r="BK118" s="285"/>
      <c r="BL118" s="285"/>
      <c r="BM118" s="285"/>
      <c r="BN118" s="285"/>
      <c r="BO118" s="285"/>
      <c r="BP118" s="285"/>
      <c r="BQ118" s="285"/>
      <c r="BR118" s="285"/>
      <c r="BS118" s="285"/>
      <c r="BT118" s="285"/>
      <c r="BU118" s="285"/>
      <c r="BV118" s="285"/>
      <c r="BW118" s="285"/>
      <c r="BX118" s="285"/>
      <c r="BY118" s="285"/>
      <c r="BZ118" s="285"/>
      <c r="CA118" s="285"/>
      <c r="CB118" s="285"/>
      <c r="CC118" s="285"/>
      <c r="CD118" s="285"/>
      <c r="CE118" s="285"/>
      <c r="CF118" s="285"/>
      <c r="CG118" s="285"/>
      <c r="CH118" s="285"/>
      <c r="CI118" s="285"/>
      <c r="CJ118" s="285"/>
      <c r="CK118" s="285"/>
      <c r="CL118" s="285"/>
      <c r="CM118" s="285"/>
      <c r="CN118" s="285"/>
      <c r="CO118" s="285"/>
      <c r="CP118" s="285"/>
      <c r="CQ118" s="285"/>
      <c r="CR118" s="285"/>
    </row>
    <row r="119" spans="1:96" ht="15.6">
      <c r="A119" s="285"/>
      <c r="B119" s="285"/>
      <c r="C119" s="285"/>
      <c r="D119" s="285"/>
      <c r="E119" s="285"/>
      <c r="F119" s="285"/>
      <c r="G119" s="285"/>
      <c r="H119" s="285"/>
      <c r="I119" s="285"/>
      <c r="J119" s="285"/>
      <c r="K119" s="285"/>
      <c r="L119" s="285"/>
      <c r="M119" s="285"/>
      <c r="N119" s="285"/>
      <c r="O119" s="285"/>
      <c r="P119" s="285"/>
      <c r="Q119" s="285"/>
      <c r="R119" s="285"/>
      <c r="S119" s="285"/>
      <c r="T119" s="285"/>
      <c r="U119" s="285"/>
      <c r="V119" s="285"/>
      <c r="W119" s="285"/>
      <c r="X119" s="285"/>
      <c r="Y119" s="285"/>
      <c r="Z119" s="285"/>
      <c r="AA119" s="285"/>
      <c r="AB119" s="285"/>
      <c r="AC119" s="285"/>
      <c r="AD119" s="285"/>
      <c r="AE119" s="285"/>
      <c r="AF119" s="285"/>
      <c r="AG119" s="285"/>
      <c r="AH119" s="285"/>
      <c r="AI119" s="285"/>
      <c r="AJ119" s="285"/>
      <c r="AK119" s="285"/>
      <c r="AL119" s="285"/>
      <c r="AM119" s="285"/>
      <c r="AN119" s="285"/>
      <c r="AO119" s="285"/>
      <c r="AP119" s="285"/>
      <c r="AQ119" s="285"/>
      <c r="AR119" s="285"/>
      <c r="AS119" s="285"/>
      <c r="AT119" s="285"/>
      <c r="AU119" s="285"/>
      <c r="AV119" s="285"/>
      <c r="AW119" s="285"/>
      <c r="AX119" s="285"/>
      <c r="AY119" s="285"/>
      <c r="AZ119" s="285"/>
      <c r="BA119" s="285"/>
      <c r="BB119" s="285"/>
      <c r="BC119" s="285"/>
      <c r="BD119" s="285"/>
      <c r="BE119" s="285"/>
      <c r="BF119" s="285"/>
      <c r="BG119" s="285"/>
      <c r="BH119" s="285"/>
      <c r="BI119" s="285"/>
      <c r="BJ119" s="285"/>
      <c r="BK119" s="285"/>
      <c r="BL119" s="285"/>
      <c r="BM119" s="285"/>
      <c r="BN119" s="285"/>
      <c r="BO119" s="285"/>
      <c r="BP119" s="285"/>
      <c r="BQ119" s="285"/>
      <c r="BR119" s="285"/>
      <c r="BS119" s="285"/>
      <c r="BT119" s="285"/>
      <c r="BU119" s="285"/>
      <c r="BV119" s="285"/>
      <c r="BW119" s="285"/>
      <c r="BX119" s="285"/>
      <c r="BY119" s="285"/>
      <c r="BZ119" s="285"/>
      <c r="CA119" s="285"/>
      <c r="CB119" s="285"/>
      <c r="CC119" s="285"/>
      <c r="CD119" s="285"/>
      <c r="CE119" s="285"/>
      <c r="CF119" s="285"/>
      <c r="CG119" s="285"/>
      <c r="CH119" s="285"/>
      <c r="CI119" s="285"/>
      <c r="CJ119" s="285"/>
      <c r="CK119" s="285"/>
      <c r="CL119" s="285"/>
      <c r="CM119" s="285"/>
      <c r="CN119" s="285"/>
      <c r="CO119" s="285"/>
      <c r="CP119" s="285"/>
      <c r="CQ119" s="285"/>
      <c r="CR119" s="285"/>
    </row>
    <row r="120" spans="1:96" ht="15.6">
      <c r="A120" s="285"/>
      <c r="B120" s="285"/>
      <c r="C120" s="285"/>
      <c r="D120" s="285"/>
      <c r="E120" s="285"/>
      <c r="F120" s="285"/>
      <c r="G120" s="285"/>
      <c r="H120" s="285"/>
      <c r="I120" s="285"/>
      <c r="J120" s="285"/>
      <c r="K120" s="285"/>
      <c r="L120" s="285"/>
      <c r="M120" s="285"/>
      <c r="N120" s="285"/>
      <c r="O120" s="285"/>
      <c r="P120" s="285"/>
      <c r="Q120" s="285"/>
      <c r="R120" s="285"/>
      <c r="S120" s="285"/>
      <c r="T120" s="285"/>
      <c r="U120" s="285"/>
      <c r="V120" s="285"/>
      <c r="W120" s="285"/>
      <c r="X120" s="285"/>
      <c r="Y120" s="285"/>
      <c r="Z120" s="285"/>
      <c r="AA120" s="285"/>
      <c r="AB120" s="285"/>
      <c r="AC120" s="285"/>
      <c r="AD120" s="285"/>
      <c r="AE120" s="285"/>
      <c r="AF120" s="285"/>
      <c r="AG120" s="285"/>
      <c r="AH120" s="285"/>
      <c r="AI120" s="285"/>
      <c r="AJ120" s="285"/>
      <c r="AK120" s="285"/>
      <c r="AL120" s="285"/>
      <c r="AM120" s="285"/>
      <c r="AN120" s="285"/>
      <c r="AO120" s="285"/>
      <c r="AP120" s="285"/>
      <c r="AQ120" s="285"/>
      <c r="AR120" s="285"/>
      <c r="AS120" s="285"/>
      <c r="AT120" s="285"/>
      <c r="AU120" s="285"/>
      <c r="AV120" s="285"/>
      <c r="AW120" s="285"/>
      <c r="AX120" s="285"/>
      <c r="AY120" s="285"/>
      <c r="AZ120" s="285"/>
      <c r="BA120" s="285"/>
      <c r="BB120" s="285"/>
      <c r="BC120" s="285"/>
      <c r="BD120" s="285"/>
      <c r="BE120" s="285"/>
      <c r="BF120" s="285"/>
      <c r="BG120" s="285"/>
      <c r="BH120" s="285"/>
      <c r="BI120" s="285"/>
      <c r="BJ120" s="285"/>
      <c r="BK120" s="285"/>
      <c r="BL120" s="285"/>
      <c r="BM120" s="285"/>
      <c r="BN120" s="285"/>
      <c r="BO120" s="285"/>
      <c r="BP120" s="285"/>
      <c r="BQ120" s="285"/>
      <c r="BR120" s="285"/>
      <c r="BS120" s="285"/>
      <c r="BT120" s="285"/>
      <c r="BU120" s="285"/>
      <c r="BV120" s="285"/>
      <c r="BW120" s="285"/>
      <c r="BX120" s="285"/>
      <c r="BY120" s="285"/>
      <c r="BZ120" s="285"/>
      <c r="CA120" s="285"/>
      <c r="CB120" s="285"/>
      <c r="CC120" s="285"/>
      <c r="CD120" s="285"/>
      <c r="CE120" s="285"/>
      <c r="CF120" s="285"/>
      <c r="CG120" s="285"/>
      <c r="CH120" s="285"/>
      <c r="CI120" s="285"/>
      <c r="CJ120" s="285"/>
      <c r="CK120" s="285"/>
      <c r="CL120" s="285"/>
      <c r="CM120" s="285"/>
      <c r="CN120" s="285"/>
      <c r="CO120" s="285"/>
      <c r="CP120" s="285"/>
      <c r="CQ120" s="285"/>
      <c r="CR120" s="285"/>
    </row>
    <row r="121" spans="1:96" ht="15.6">
      <c r="A121" s="285"/>
      <c r="B121" s="285"/>
      <c r="C121" s="285"/>
      <c r="D121" s="285"/>
      <c r="E121" s="285"/>
      <c r="F121" s="285"/>
      <c r="G121" s="285"/>
      <c r="H121" s="285"/>
      <c r="I121" s="285"/>
      <c r="J121" s="285"/>
      <c r="K121" s="285"/>
      <c r="L121" s="285"/>
      <c r="M121" s="285"/>
      <c r="N121" s="285"/>
      <c r="O121" s="285"/>
      <c r="P121" s="285"/>
      <c r="Q121" s="285"/>
      <c r="R121" s="285"/>
      <c r="S121" s="285"/>
      <c r="T121" s="285"/>
      <c r="U121" s="285"/>
      <c r="V121" s="285"/>
      <c r="W121" s="285"/>
      <c r="X121" s="285"/>
      <c r="Y121" s="285"/>
      <c r="Z121" s="285"/>
      <c r="AA121" s="285"/>
      <c r="AB121" s="285"/>
      <c r="AC121" s="285"/>
      <c r="AD121" s="285"/>
      <c r="AE121" s="285"/>
      <c r="AF121" s="285"/>
      <c r="AG121" s="285"/>
      <c r="AH121" s="285"/>
      <c r="AI121" s="285"/>
      <c r="AJ121" s="285"/>
      <c r="AK121" s="285"/>
      <c r="AL121" s="285"/>
      <c r="AM121" s="285"/>
      <c r="AN121" s="285"/>
      <c r="AO121" s="285"/>
      <c r="AP121" s="285"/>
      <c r="AQ121" s="285"/>
      <c r="AR121" s="285"/>
      <c r="AS121" s="285"/>
      <c r="AT121" s="285"/>
      <c r="AU121" s="285"/>
      <c r="AV121" s="285"/>
      <c r="AW121" s="285"/>
      <c r="AX121" s="285"/>
      <c r="AY121" s="285"/>
      <c r="AZ121" s="285"/>
      <c r="BA121" s="285"/>
      <c r="BB121" s="285"/>
      <c r="BC121" s="285"/>
      <c r="BD121" s="285"/>
      <c r="BE121" s="285"/>
      <c r="BF121" s="285"/>
      <c r="BG121" s="285"/>
      <c r="BH121" s="285"/>
      <c r="BI121" s="285"/>
      <c r="BJ121" s="285"/>
      <c r="BK121" s="285"/>
      <c r="BL121" s="285"/>
      <c r="BM121" s="285"/>
      <c r="BN121" s="285"/>
      <c r="BO121" s="285"/>
      <c r="BP121" s="285"/>
      <c r="BQ121" s="285"/>
      <c r="BR121" s="285"/>
      <c r="BS121" s="285"/>
      <c r="BT121" s="285"/>
      <c r="BU121" s="285"/>
      <c r="BV121" s="285"/>
      <c r="BW121" s="285"/>
      <c r="BX121" s="285"/>
      <c r="BY121" s="285"/>
      <c r="BZ121" s="285"/>
      <c r="CA121" s="285"/>
      <c r="CB121" s="285"/>
      <c r="CC121" s="285"/>
      <c r="CD121" s="285"/>
      <c r="CE121" s="285"/>
      <c r="CF121" s="285"/>
      <c r="CG121" s="285"/>
      <c r="CH121" s="285"/>
      <c r="CI121" s="285"/>
      <c r="CJ121" s="285"/>
      <c r="CK121" s="285"/>
      <c r="CL121" s="285"/>
      <c r="CM121" s="285"/>
      <c r="CN121" s="285"/>
      <c r="CO121" s="285"/>
      <c r="CP121" s="285"/>
      <c r="CQ121" s="285"/>
      <c r="CR121" s="285"/>
    </row>
    <row r="122" spans="1:96" ht="15.6">
      <c r="A122" s="285"/>
      <c r="B122" s="285"/>
      <c r="C122" s="285"/>
      <c r="D122" s="285"/>
      <c r="E122" s="285"/>
      <c r="F122" s="285"/>
      <c r="G122" s="285"/>
      <c r="H122" s="285"/>
      <c r="I122" s="285"/>
      <c r="J122" s="285"/>
      <c r="K122" s="285"/>
      <c r="L122" s="285"/>
      <c r="M122" s="285"/>
      <c r="N122" s="285"/>
      <c r="O122" s="285"/>
      <c r="P122" s="285"/>
      <c r="Q122" s="285"/>
      <c r="R122" s="285"/>
      <c r="S122" s="285"/>
      <c r="T122" s="285"/>
      <c r="U122" s="285"/>
      <c r="V122" s="285"/>
      <c r="W122" s="285"/>
      <c r="X122" s="285"/>
      <c r="Y122" s="285"/>
      <c r="Z122" s="285"/>
      <c r="AA122" s="285"/>
      <c r="AB122" s="285"/>
      <c r="AC122" s="285"/>
      <c r="AD122" s="285"/>
      <c r="AE122" s="285"/>
      <c r="AF122" s="285"/>
      <c r="AG122" s="285"/>
      <c r="AH122" s="285"/>
      <c r="AI122" s="285"/>
      <c r="AJ122" s="285"/>
      <c r="AK122" s="285"/>
      <c r="AL122" s="285"/>
      <c r="AM122" s="285"/>
      <c r="AN122" s="285"/>
      <c r="AO122" s="285"/>
      <c r="AP122" s="285"/>
      <c r="AQ122" s="285"/>
      <c r="AR122" s="285"/>
      <c r="AS122" s="285"/>
      <c r="AT122" s="285"/>
      <c r="AU122" s="285"/>
      <c r="AV122" s="285"/>
      <c r="AW122" s="285"/>
      <c r="AX122" s="285"/>
      <c r="AY122" s="285"/>
      <c r="AZ122" s="285"/>
      <c r="BA122" s="285"/>
      <c r="BB122" s="285"/>
      <c r="BC122" s="285"/>
      <c r="BD122" s="285"/>
      <c r="BE122" s="285"/>
      <c r="BF122" s="285"/>
      <c r="BG122" s="285"/>
      <c r="BH122" s="285"/>
      <c r="BI122" s="285"/>
      <c r="BJ122" s="285"/>
      <c r="BK122" s="285"/>
      <c r="BL122" s="285"/>
      <c r="BM122" s="285"/>
      <c r="BN122" s="285"/>
      <c r="BO122" s="285"/>
      <c r="BP122" s="285"/>
      <c r="BQ122" s="285"/>
      <c r="BR122" s="285"/>
      <c r="BS122" s="285"/>
      <c r="BT122" s="285"/>
      <c r="BU122" s="285"/>
      <c r="BV122" s="285"/>
      <c r="BW122" s="285"/>
      <c r="BX122" s="285"/>
      <c r="BY122" s="285"/>
      <c r="BZ122" s="285"/>
      <c r="CA122" s="285"/>
      <c r="CB122" s="285"/>
      <c r="CC122" s="285"/>
      <c r="CD122" s="285"/>
      <c r="CE122" s="285"/>
      <c r="CF122" s="285"/>
      <c r="CG122" s="285"/>
      <c r="CH122" s="285"/>
      <c r="CI122" s="285"/>
      <c r="CJ122" s="285"/>
      <c r="CK122" s="285"/>
      <c r="CL122" s="285"/>
      <c r="CM122" s="285"/>
      <c r="CN122" s="285"/>
      <c r="CO122" s="285"/>
      <c r="CP122" s="285"/>
      <c r="CQ122" s="285"/>
      <c r="CR122" s="285"/>
    </row>
    <row r="123" spans="1:96" ht="15.6">
      <c r="A123" s="285"/>
      <c r="B123" s="285"/>
      <c r="C123" s="285"/>
      <c r="D123" s="285"/>
      <c r="E123" s="285"/>
      <c r="F123" s="285"/>
      <c r="G123" s="285"/>
      <c r="H123" s="285"/>
      <c r="I123" s="285"/>
      <c r="J123" s="285"/>
      <c r="K123" s="285"/>
      <c r="L123" s="285"/>
      <c r="M123" s="285"/>
      <c r="N123" s="285"/>
      <c r="O123" s="285"/>
      <c r="P123" s="285"/>
      <c r="Q123" s="285"/>
      <c r="R123" s="285"/>
      <c r="S123" s="285"/>
      <c r="T123" s="285"/>
      <c r="U123" s="285"/>
      <c r="V123" s="285"/>
      <c r="W123" s="285"/>
      <c r="X123" s="285"/>
      <c r="Y123" s="285"/>
      <c r="Z123" s="285"/>
      <c r="AA123" s="285"/>
      <c r="AB123" s="285"/>
      <c r="AC123" s="285"/>
      <c r="AD123" s="285"/>
      <c r="AE123" s="285"/>
      <c r="AF123" s="285"/>
      <c r="AG123" s="285"/>
      <c r="AH123" s="285"/>
      <c r="AI123" s="285"/>
      <c r="AJ123" s="285"/>
      <c r="AK123" s="285"/>
      <c r="AL123" s="285"/>
      <c r="AM123" s="285"/>
      <c r="AN123" s="285"/>
      <c r="AO123" s="285"/>
      <c r="AP123" s="285"/>
      <c r="AQ123" s="285"/>
      <c r="AR123" s="285"/>
      <c r="AS123" s="285"/>
      <c r="AT123" s="285"/>
      <c r="AU123" s="285"/>
      <c r="AV123" s="285"/>
      <c r="AW123" s="285"/>
      <c r="AX123" s="285"/>
      <c r="AY123" s="285"/>
      <c r="AZ123" s="285"/>
      <c r="BA123" s="285"/>
      <c r="BB123" s="285"/>
      <c r="BC123" s="285"/>
      <c r="BD123" s="285"/>
      <c r="BE123" s="285"/>
      <c r="BF123" s="285"/>
      <c r="BG123" s="285"/>
      <c r="BH123" s="285"/>
      <c r="BI123" s="285"/>
      <c r="BJ123" s="285"/>
      <c r="BK123" s="285"/>
      <c r="BL123" s="285"/>
      <c r="BM123" s="285"/>
      <c r="BN123" s="285"/>
      <c r="BO123" s="285"/>
      <c r="BP123" s="285"/>
      <c r="BQ123" s="285"/>
      <c r="BR123" s="285"/>
      <c r="BS123" s="285"/>
      <c r="BT123" s="285"/>
      <c r="BU123" s="285"/>
      <c r="BV123" s="285"/>
      <c r="BW123" s="285"/>
      <c r="BX123" s="285"/>
      <c r="BY123" s="285"/>
      <c r="BZ123" s="285"/>
      <c r="CA123" s="285"/>
      <c r="CB123" s="285"/>
      <c r="CC123" s="285"/>
      <c r="CD123" s="285"/>
      <c r="CE123" s="285"/>
      <c r="CF123" s="285"/>
      <c r="CG123" s="285"/>
      <c r="CH123" s="285"/>
      <c r="CI123" s="285"/>
      <c r="CJ123" s="285"/>
      <c r="CK123" s="285"/>
      <c r="CL123" s="285"/>
      <c r="CM123" s="285"/>
      <c r="CN123" s="285"/>
      <c r="CO123" s="285"/>
      <c r="CP123" s="285"/>
      <c r="CQ123" s="285"/>
      <c r="CR123" s="285"/>
    </row>
    <row r="124" spans="1:96" ht="15.6">
      <c r="A124" s="285"/>
      <c r="B124" s="285"/>
      <c r="C124" s="285"/>
      <c r="D124" s="285"/>
      <c r="E124" s="285"/>
      <c r="F124" s="285"/>
      <c r="G124" s="285"/>
      <c r="H124" s="285"/>
      <c r="I124" s="285"/>
      <c r="J124" s="285"/>
      <c r="K124" s="285"/>
      <c r="L124" s="285"/>
      <c r="M124" s="285"/>
      <c r="N124" s="285"/>
      <c r="O124" s="285"/>
      <c r="P124" s="285"/>
      <c r="Q124" s="285"/>
      <c r="R124" s="285"/>
      <c r="S124" s="285"/>
      <c r="T124" s="285"/>
      <c r="U124" s="285"/>
      <c r="V124" s="285"/>
      <c r="W124" s="285"/>
      <c r="X124" s="285"/>
      <c r="Y124" s="285"/>
      <c r="Z124" s="285"/>
      <c r="AA124" s="285"/>
      <c r="AB124" s="285"/>
      <c r="AC124" s="285"/>
      <c r="AD124" s="285"/>
      <c r="AE124" s="285"/>
      <c r="AF124" s="285"/>
      <c r="AG124" s="285"/>
      <c r="AH124" s="285"/>
      <c r="AI124" s="285"/>
      <c r="AJ124" s="285"/>
      <c r="AK124" s="285"/>
      <c r="AL124" s="285"/>
      <c r="AM124" s="285"/>
      <c r="AN124" s="285"/>
      <c r="AO124" s="285"/>
      <c r="AP124" s="285"/>
      <c r="AQ124" s="285"/>
      <c r="AR124" s="285"/>
      <c r="AS124" s="285"/>
      <c r="AT124" s="285"/>
      <c r="AU124" s="285"/>
      <c r="AV124" s="285"/>
      <c r="AW124" s="285"/>
      <c r="AX124" s="285"/>
      <c r="AY124" s="285"/>
      <c r="AZ124" s="285"/>
      <c r="BA124" s="285"/>
      <c r="BB124" s="285"/>
      <c r="BC124" s="285"/>
      <c r="BD124" s="285"/>
      <c r="BE124" s="285"/>
      <c r="BF124" s="285"/>
      <c r="BG124" s="285"/>
      <c r="BH124" s="285"/>
      <c r="BI124" s="285"/>
      <c r="BJ124" s="285"/>
      <c r="BK124" s="285"/>
      <c r="BL124" s="285"/>
      <c r="BM124" s="285"/>
      <c r="BN124" s="285"/>
      <c r="BO124" s="285"/>
      <c r="BP124" s="285"/>
      <c r="BQ124" s="285"/>
      <c r="BR124" s="285"/>
      <c r="BS124" s="285"/>
      <c r="BT124" s="285"/>
      <c r="BU124" s="285"/>
      <c r="BV124" s="285"/>
      <c r="BW124" s="285"/>
      <c r="BX124" s="285"/>
      <c r="BY124" s="285"/>
      <c r="BZ124" s="285"/>
      <c r="CA124" s="285"/>
      <c r="CB124" s="285"/>
      <c r="CC124" s="285"/>
      <c r="CD124" s="285"/>
      <c r="CE124" s="285"/>
      <c r="CF124" s="285"/>
      <c r="CG124" s="285"/>
      <c r="CH124" s="285"/>
      <c r="CI124" s="285"/>
      <c r="CJ124" s="285"/>
      <c r="CK124" s="285"/>
      <c r="CL124" s="285"/>
      <c r="CM124" s="285"/>
      <c r="CN124" s="285"/>
      <c r="CO124" s="285"/>
      <c r="CP124" s="285"/>
      <c r="CQ124" s="285"/>
      <c r="CR124" s="285"/>
    </row>
    <row r="125" spans="1:96" ht="15.6">
      <c r="A125" s="285"/>
      <c r="B125" s="285"/>
      <c r="C125" s="285"/>
      <c r="D125" s="285"/>
      <c r="E125" s="285"/>
      <c r="F125" s="285"/>
      <c r="G125" s="285"/>
      <c r="H125" s="285"/>
      <c r="I125" s="285"/>
      <c r="J125" s="285"/>
      <c r="K125" s="285"/>
      <c r="L125" s="285"/>
      <c r="M125" s="285"/>
      <c r="N125" s="285"/>
      <c r="O125" s="285"/>
      <c r="P125" s="285"/>
      <c r="Q125" s="285"/>
      <c r="R125" s="285"/>
      <c r="S125" s="285"/>
      <c r="T125" s="285"/>
      <c r="U125" s="285"/>
      <c r="V125" s="285"/>
      <c r="W125" s="285"/>
      <c r="X125" s="285"/>
      <c r="Y125" s="285"/>
      <c r="Z125" s="285"/>
      <c r="AA125" s="285"/>
      <c r="AB125" s="285"/>
      <c r="AC125" s="285"/>
      <c r="AD125" s="285"/>
      <c r="AE125" s="285"/>
      <c r="AF125" s="285"/>
      <c r="AG125" s="285"/>
      <c r="AH125" s="285"/>
      <c r="AI125" s="285"/>
      <c r="AJ125" s="285"/>
      <c r="AK125" s="285"/>
      <c r="AL125" s="285"/>
      <c r="AM125" s="285"/>
      <c r="AN125" s="285"/>
      <c r="AO125" s="285"/>
      <c r="AP125" s="285"/>
      <c r="AQ125" s="285"/>
      <c r="AR125" s="285"/>
      <c r="AS125" s="285"/>
      <c r="AT125" s="285"/>
      <c r="AU125" s="285"/>
      <c r="AV125" s="285"/>
      <c r="AW125" s="285"/>
      <c r="AX125" s="285"/>
      <c r="AY125" s="285"/>
      <c r="AZ125" s="285"/>
      <c r="BA125" s="285"/>
      <c r="BB125" s="285"/>
      <c r="BC125" s="285"/>
      <c r="BD125" s="285"/>
      <c r="BE125" s="285"/>
      <c r="BF125" s="285"/>
      <c r="BG125" s="285"/>
      <c r="BH125" s="285"/>
      <c r="BI125" s="285"/>
      <c r="BJ125" s="285"/>
      <c r="BK125" s="285"/>
      <c r="BL125" s="285"/>
      <c r="BM125" s="285"/>
      <c r="BN125" s="285"/>
      <c r="BO125" s="285"/>
      <c r="BP125" s="285"/>
      <c r="BQ125" s="285"/>
      <c r="BR125" s="285"/>
      <c r="BS125" s="285"/>
      <c r="BT125" s="285"/>
      <c r="BU125" s="285"/>
      <c r="BV125" s="285"/>
      <c r="BW125" s="285"/>
      <c r="BX125" s="285"/>
      <c r="BY125" s="285"/>
      <c r="BZ125" s="285"/>
      <c r="CA125" s="285"/>
      <c r="CB125" s="285"/>
      <c r="CC125" s="285"/>
      <c r="CD125" s="285"/>
      <c r="CE125" s="285"/>
      <c r="CF125" s="285"/>
      <c r="CG125" s="285"/>
      <c r="CH125" s="285"/>
      <c r="CI125" s="285"/>
      <c r="CJ125" s="285"/>
      <c r="CK125" s="285"/>
      <c r="CL125" s="285"/>
      <c r="CM125" s="285"/>
      <c r="CN125" s="285"/>
      <c r="CO125" s="285"/>
      <c r="CP125" s="285"/>
      <c r="CQ125" s="285"/>
      <c r="CR125" s="285"/>
    </row>
    <row r="126" spans="1:96" ht="15.6">
      <c r="A126" s="285"/>
      <c r="B126" s="285"/>
      <c r="C126" s="285"/>
      <c r="D126" s="285"/>
      <c r="E126" s="285"/>
      <c r="F126" s="285"/>
      <c r="G126" s="285"/>
      <c r="H126" s="285"/>
      <c r="I126" s="285"/>
      <c r="J126" s="285"/>
      <c r="K126" s="285"/>
      <c r="L126" s="285"/>
      <c r="M126" s="285"/>
      <c r="N126" s="285"/>
      <c r="O126" s="285"/>
      <c r="P126" s="285"/>
      <c r="Q126" s="285"/>
      <c r="R126" s="285"/>
      <c r="S126" s="285"/>
      <c r="T126" s="285"/>
      <c r="U126" s="285"/>
      <c r="V126" s="285"/>
      <c r="W126" s="285"/>
      <c r="X126" s="285"/>
      <c r="Y126" s="285"/>
      <c r="Z126" s="285"/>
      <c r="AA126" s="285"/>
      <c r="AB126" s="285"/>
      <c r="AC126" s="285"/>
      <c r="AD126" s="285"/>
      <c r="AE126" s="285"/>
      <c r="AF126" s="285"/>
      <c r="AG126" s="285"/>
      <c r="AH126" s="285"/>
      <c r="AI126" s="285"/>
      <c r="AJ126" s="285"/>
      <c r="AK126" s="285"/>
      <c r="AL126" s="285"/>
      <c r="AM126" s="285"/>
      <c r="AN126" s="285"/>
      <c r="AO126" s="285"/>
      <c r="AP126" s="285"/>
      <c r="AQ126" s="285"/>
      <c r="AR126" s="285"/>
      <c r="AS126" s="285"/>
      <c r="AT126" s="285"/>
      <c r="AU126" s="285"/>
      <c r="AV126" s="285"/>
      <c r="AW126" s="285"/>
      <c r="AX126" s="285"/>
      <c r="AY126" s="285"/>
      <c r="AZ126" s="285"/>
      <c r="BA126" s="285"/>
      <c r="BB126" s="285"/>
      <c r="BC126" s="285"/>
      <c r="BD126" s="285"/>
      <c r="BE126" s="285"/>
      <c r="BF126" s="285"/>
      <c r="BG126" s="285"/>
      <c r="BH126" s="285"/>
      <c r="BI126" s="285"/>
      <c r="BJ126" s="285"/>
      <c r="BK126" s="285"/>
      <c r="BL126" s="285"/>
      <c r="BM126" s="285"/>
      <c r="BN126" s="285"/>
      <c r="BO126" s="285"/>
      <c r="BP126" s="285"/>
      <c r="BQ126" s="285"/>
      <c r="BR126" s="285"/>
      <c r="BS126" s="285"/>
      <c r="BT126" s="285"/>
      <c r="BU126" s="285"/>
      <c r="BV126" s="285"/>
      <c r="BW126" s="285"/>
      <c r="BX126" s="285"/>
      <c r="BY126" s="285"/>
      <c r="BZ126" s="285"/>
      <c r="CA126" s="285"/>
      <c r="CB126" s="285"/>
      <c r="CC126" s="285"/>
      <c r="CD126" s="285"/>
      <c r="CE126" s="285"/>
      <c r="CF126" s="285"/>
      <c r="CG126" s="285"/>
      <c r="CH126" s="285"/>
      <c r="CI126" s="285"/>
      <c r="CJ126" s="285"/>
      <c r="CK126" s="285"/>
      <c r="CL126" s="285"/>
      <c r="CM126" s="285"/>
      <c r="CN126" s="285"/>
      <c r="CO126" s="285"/>
      <c r="CP126" s="285"/>
      <c r="CQ126" s="285"/>
      <c r="CR126" s="285"/>
    </row>
    <row r="127" spans="1:96" ht="15.6">
      <c r="A127" s="285"/>
      <c r="B127" s="285"/>
      <c r="C127" s="285"/>
      <c r="D127" s="285"/>
      <c r="E127" s="285"/>
      <c r="F127" s="285"/>
      <c r="G127" s="285"/>
      <c r="H127" s="285"/>
      <c r="I127" s="285"/>
      <c r="J127" s="285"/>
      <c r="K127" s="285"/>
      <c r="L127" s="285"/>
      <c r="M127" s="285"/>
      <c r="N127" s="285"/>
      <c r="O127" s="285"/>
      <c r="P127" s="285"/>
      <c r="Q127" s="285"/>
      <c r="R127" s="285"/>
      <c r="S127" s="285"/>
      <c r="T127" s="285"/>
      <c r="U127" s="285"/>
      <c r="V127" s="285"/>
      <c r="W127" s="285"/>
      <c r="X127" s="285"/>
      <c r="Y127" s="285"/>
      <c r="Z127" s="285"/>
      <c r="AA127" s="285"/>
      <c r="AB127" s="285"/>
      <c r="AC127" s="285"/>
      <c r="AD127" s="285"/>
      <c r="AE127" s="285"/>
      <c r="AF127" s="285"/>
      <c r="AG127" s="285"/>
      <c r="AH127" s="285"/>
      <c r="AI127" s="285"/>
      <c r="AJ127" s="285"/>
      <c r="AK127" s="285"/>
      <c r="AL127" s="285"/>
      <c r="AM127" s="285"/>
      <c r="AN127" s="285"/>
      <c r="AO127" s="285"/>
      <c r="AP127" s="285"/>
      <c r="AQ127" s="285"/>
      <c r="AR127" s="285"/>
      <c r="AS127" s="285"/>
      <c r="AT127" s="285"/>
      <c r="AU127" s="285"/>
      <c r="AV127" s="285"/>
      <c r="AW127" s="285"/>
      <c r="AX127" s="285"/>
      <c r="AY127" s="285"/>
      <c r="AZ127" s="285"/>
      <c r="BA127" s="285"/>
      <c r="BB127" s="285"/>
      <c r="BC127" s="285"/>
      <c r="BD127" s="285"/>
      <c r="BE127" s="285"/>
      <c r="BF127" s="285"/>
      <c r="BG127" s="285"/>
      <c r="BH127" s="285"/>
      <c r="BI127" s="285"/>
      <c r="BJ127" s="285"/>
      <c r="BK127" s="285"/>
      <c r="BL127" s="285"/>
      <c r="BM127" s="285"/>
      <c r="BN127" s="285"/>
      <c r="BO127" s="285"/>
      <c r="BP127" s="285"/>
      <c r="BQ127" s="285"/>
      <c r="BR127" s="285"/>
      <c r="BS127" s="285"/>
      <c r="BT127" s="285"/>
      <c r="BU127" s="285"/>
      <c r="BV127" s="285"/>
      <c r="BW127" s="285"/>
      <c r="BX127" s="285"/>
      <c r="BY127" s="285"/>
      <c r="BZ127" s="285"/>
      <c r="CA127" s="285"/>
      <c r="CB127" s="285"/>
      <c r="CC127" s="285"/>
      <c r="CD127" s="285"/>
      <c r="CE127" s="285"/>
      <c r="CF127" s="285"/>
      <c r="CG127" s="285"/>
      <c r="CH127" s="285"/>
      <c r="CI127" s="285"/>
      <c r="CJ127" s="285"/>
      <c r="CK127" s="285"/>
      <c r="CL127" s="285"/>
      <c r="CM127" s="285"/>
      <c r="CN127" s="285"/>
      <c r="CO127" s="285"/>
      <c r="CP127" s="285"/>
      <c r="CQ127" s="285"/>
      <c r="CR127" s="285"/>
    </row>
    <row r="128" spans="1:96" ht="15.6">
      <c r="A128" s="285"/>
      <c r="B128" s="285"/>
      <c r="C128" s="285"/>
      <c r="D128" s="285"/>
      <c r="E128" s="285"/>
      <c r="F128" s="285"/>
      <c r="G128" s="285"/>
      <c r="H128" s="285"/>
      <c r="I128" s="285"/>
      <c r="J128" s="285"/>
      <c r="K128" s="285"/>
      <c r="L128" s="285"/>
      <c r="M128" s="285"/>
      <c r="N128" s="285"/>
      <c r="O128" s="285"/>
      <c r="P128" s="285"/>
      <c r="Q128" s="285"/>
      <c r="R128" s="285"/>
      <c r="S128" s="285"/>
      <c r="T128" s="285"/>
      <c r="U128" s="285"/>
      <c r="V128" s="285"/>
      <c r="W128" s="285"/>
      <c r="X128" s="285"/>
      <c r="Y128" s="285"/>
      <c r="Z128" s="285"/>
      <c r="AA128" s="285"/>
      <c r="AB128" s="285"/>
      <c r="AC128" s="285"/>
      <c r="AD128" s="285"/>
      <c r="AE128" s="285"/>
      <c r="AF128" s="285"/>
      <c r="AG128" s="285"/>
      <c r="AH128" s="285"/>
      <c r="AI128" s="285"/>
      <c r="AJ128" s="285"/>
      <c r="AK128" s="285"/>
      <c r="AL128" s="285"/>
      <c r="AM128" s="285"/>
      <c r="AN128" s="285"/>
      <c r="AO128" s="285"/>
      <c r="AP128" s="285"/>
      <c r="AQ128" s="285"/>
      <c r="AR128" s="285"/>
      <c r="AS128" s="285"/>
      <c r="AT128" s="285"/>
      <c r="AU128" s="285"/>
      <c r="AV128" s="285"/>
      <c r="AW128" s="285"/>
      <c r="AX128" s="285"/>
      <c r="AY128" s="285"/>
      <c r="AZ128" s="285"/>
      <c r="BA128" s="285"/>
      <c r="BB128" s="285"/>
      <c r="BC128" s="285"/>
      <c r="BD128" s="285"/>
      <c r="BE128" s="285"/>
      <c r="BF128" s="285"/>
      <c r="BG128" s="285"/>
      <c r="BH128" s="285"/>
      <c r="BI128" s="285"/>
      <c r="BJ128" s="285"/>
      <c r="BK128" s="285"/>
      <c r="BL128" s="285"/>
      <c r="BM128" s="285"/>
      <c r="BN128" s="285"/>
      <c r="BO128" s="285"/>
      <c r="BP128" s="285"/>
      <c r="BQ128" s="285"/>
      <c r="BR128" s="285"/>
      <c r="BS128" s="285"/>
      <c r="BT128" s="285"/>
      <c r="BU128" s="285"/>
      <c r="BV128" s="285"/>
      <c r="BW128" s="285"/>
      <c r="BX128" s="285"/>
      <c r="BY128" s="285"/>
      <c r="BZ128" s="285"/>
      <c r="CA128" s="285"/>
      <c r="CB128" s="285"/>
      <c r="CC128" s="285"/>
      <c r="CD128" s="285"/>
      <c r="CE128" s="285"/>
      <c r="CF128" s="285"/>
      <c r="CG128" s="285"/>
      <c r="CH128" s="285"/>
      <c r="CI128" s="285"/>
      <c r="CJ128" s="285"/>
      <c r="CK128" s="285"/>
      <c r="CL128" s="285"/>
      <c r="CM128" s="285"/>
      <c r="CN128" s="285"/>
      <c r="CO128" s="285"/>
      <c r="CP128" s="285"/>
      <c r="CQ128" s="285"/>
      <c r="CR128" s="285"/>
    </row>
    <row r="129" spans="1:96" ht="15.6">
      <c r="A129" s="285"/>
      <c r="B129" s="285"/>
      <c r="C129" s="285"/>
      <c r="D129" s="285"/>
      <c r="E129" s="285"/>
      <c r="F129" s="285"/>
      <c r="G129" s="285"/>
      <c r="H129" s="285"/>
      <c r="I129" s="285"/>
      <c r="J129" s="285"/>
      <c r="K129" s="285"/>
      <c r="L129" s="285"/>
      <c r="M129" s="285"/>
      <c r="N129" s="285"/>
      <c r="O129" s="285"/>
      <c r="P129" s="285"/>
      <c r="Q129" s="285"/>
      <c r="R129" s="285"/>
      <c r="S129" s="285"/>
      <c r="T129" s="285"/>
      <c r="U129" s="285"/>
      <c r="V129" s="285"/>
      <c r="W129" s="285"/>
      <c r="X129" s="285"/>
      <c r="Y129" s="285"/>
      <c r="Z129" s="285"/>
      <c r="AA129" s="285"/>
      <c r="AB129" s="285"/>
      <c r="AC129" s="285"/>
      <c r="AD129" s="285"/>
      <c r="AE129" s="285"/>
      <c r="AF129" s="285"/>
      <c r="AG129" s="285"/>
      <c r="AH129" s="285"/>
      <c r="AI129" s="285"/>
      <c r="AJ129" s="285"/>
      <c r="AK129" s="285"/>
      <c r="AL129" s="285"/>
      <c r="AM129" s="285"/>
      <c r="AN129" s="285"/>
      <c r="AO129" s="285"/>
      <c r="AP129" s="285"/>
      <c r="AQ129" s="285"/>
      <c r="AR129" s="285"/>
      <c r="AS129" s="285"/>
      <c r="AT129" s="285"/>
      <c r="AU129" s="285"/>
      <c r="AV129" s="285"/>
      <c r="AW129" s="285"/>
      <c r="AX129" s="285"/>
      <c r="AY129" s="285"/>
      <c r="AZ129" s="285"/>
      <c r="BA129" s="285"/>
      <c r="BB129" s="285"/>
      <c r="BC129" s="285"/>
      <c r="BD129" s="285"/>
      <c r="BE129" s="285"/>
      <c r="BF129" s="285"/>
      <c r="BG129" s="285"/>
      <c r="BH129" s="285"/>
      <c r="BI129" s="285"/>
      <c r="BJ129" s="285"/>
      <c r="BK129" s="285"/>
      <c r="BL129" s="285"/>
      <c r="BM129" s="285"/>
      <c r="BN129" s="285"/>
      <c r="BO129" s="285"/>
      <c r="BP129" s="285"/>
      <c r="BQ129" s="285"/>
      <c r="BR129" s="285"/>
      <c r="BS129" s="285"/>
      <c r="BT129" s="285"/>
      <c r="BU129" s="285"/>
      <c r="BV129" s="285"/>
      <c r="BW129" s="285"/>
      <c r="BX129" s="285"/>
      <c r="BY129" s="285"/>
      <c r="BZ129" s="285"/>
      <c r="CA129" s="285"/>
      <c r="CB129" s="285"/>
      <c r="CC129" s="285"/>
      <c r="CD129" s="285"/>
      <c r="CE129" s="285"/>
      <c r="CF129" s="285"/>
      <c r="CG129" s="285"/>
      <c r="CH129" s="285"/>
      <c r="CI129" s="285"/>
      <c r="CJ129" s="285"/>
      <c r="CK129" s="285"/>
      <c r="CL129" s="285"/>
      <c r="CM129" s="285"/>
      <c r="CN129" s="285"/>
      <c r="CO129" s="285"/>
      <c r="CP129" s="285"/>
      <c r="CQ129" s="285"/>
      <c r="CR129" s="285"/>
    </row>
    <row r="130" spans="1:96" ht="15.6">
      <c r="A130" s="285"/>
      <c r="B130" s="285"/>
      <c r="C130" s="285"/>
      <c r="D130" s="285"/>
      <c r="E130" s="285"/>
      <c r="F130" s="285"/>
      <c r="G130" s="285"/>
      <c r="H130" s="285"/>
      <c r="I130" s="285"/>
      <c r="J130" s="285"/>
      <c r="K130" s="285"/>
      <c r="L130" s="285"/>
      <c r="M130" s="285"/>
      <c r="N130" s="285"/>
      <c r="O130" s="285"/>
      <c r="P130" s="285"/>
      <c r="Q130" s="285"/>
      <c r="R130" s="285"/>
      <c r="S130" s="285"/>
      <c r="T130" s="285"/>
      <c r="U130" s="285"/>
      <c r="V130" s="285"/>
      <c r="W130" s="285"/>
      <c r="X130" s="285"/>
      <c r="Y130" s="285"/>
      <c r="Z130" s="285"/>
      <c r="AA130" s="285"/>
      <c r="AB130" s="285"/>
      <c r="AC130" s="285"/>
      <c r="AD130" s="285"/>
      <c r="AE130" s="285"/>
      <c r="AF130" s="285"/>
      <c r="AG130" s="285"/>
      <c r="AH130" s="285"/>
      <c r="AI130" s="285"/>
      <c r="AJ130" s="285"/>
      <c r="AK130" s="285"/>
      <c r="AL130" s="285"/>
      <c r="AM130" s="285"/>
      <c r="AN130" s="285"/>
      <c r="AO130" s="285"/>
      <c r="AP130" s="285"/>
      <c r="AQ130" s="285"/>
      <c r="AR130" s="285"/>
      <c r="AS130" s="285"/>
      <c r="AT130" s="285"/>
      <c r="AU130" s="285"/>
      <c r="AV130" s="285"/>
      <c r="AW130" s="285"/>
      <c r="AX130" s="285"/>
      <c r="AY130" s="285"/>
      <c r="AZ130" s="285"/>
      <c r="BA130" s="285"/>
      <c r="BB130" s="285"/>
      <c r="BC130" s="285"/>
      <c r="BD130" s="285"/>
      <c r="BE130" s="285"/>
      <c r="BF130" s="285"/>
      <c r="BG130" s="285"/>
      <c r="BH130" s="285"/>
      <c r="BI130" s="285"/>
      <c r="BJ130" s="285"/>
      <c r="BK130" s="285"/>
      <c r="BL130" s="285"/>
      <c r="BM130" s="285"/>
      <c r="BN130" s="285"/>
      <c r="BO130" s="285"/>
      <c r="BP130" s="285"/>
      <c r="BQ130" s="285"/>
      <c r="BR130" s="285"/>
      <c r="BS130" s="285"/>
      <c r="BT130" s="285"/>
      <c r="BU130" s="285"/>
      <c r="BV130" s="285"/>
      <c r="BW130" s="285"/>
      <c r="BX130" s="285"/>
      <c r="BY130" s="285"/>
      <c r="BZ130" s="285"/>
      <c r="CA130" s="285"/>
      <c r="CB130" s="285"/>
      <c r="CC130" s="285"/>
      <c r="CD130" s="285"/>
      <c r="CE130" s="285"/>
      <c r="CF130" s="285"/>
      <c r="CG130" s="285"/>
      <c r="CH130" s="285"/>
      <c r="CI130" s="285"/>
      <c r="CJ130" s="285"/>
      <c r="CK130" s="285"/>
      <c r="CL130" s="285"/>
      <c r="CM130" s="285"/>
      <c r="CN130" s="285"/>
      <c r="CO130" s="285"/>
      <c r="CP130" s="285"/>
      <c r="CQ130" s="285"/>
      <c r="CR130" s="285"/>
    </row>
    <row r="131" spans="1:96" ht="15.6">
      <c r="A131" s="285"/>
      <c r="B131" s="285"/>
      <c r="C131" s="285"/>
      <c r="D131" s="285"/>
      <c r="E131" s="285"/>
      <c r="F131" s="285"/>
      <c r="G131" s="285"/>
      <c r="H131" s="285"/>
      <c r="I131" s="285"/>
      <c r="J131" s="285"/>
      <c r="K131" s="285"/>
      <c r="L131" s="285"/>
      <c r="M131" s="285"/>
      <c r="N131" s="285"/>
      <c r="O131" s="285"/>
      <c r="P131" s="285"/>
      <c r="Q131" s="285"/>
      <c r="R131" s="285"/>
      <c r="S131" s="285"/>
      <c r="T131" s="285"/>
      <c r="U131" s="285"/>
      <c r="V131" s="285"/>
      <c r="W131" s="285"/>
      <c r="X131" s="285"/>
      <c r="Y131" s="285"/>
      <c r="Z131" s="285"/>
      <c r="AA131" s="285"/>
      <c r="AB131" s="285"/>
      <c r="AC131" s="285"/>
      <c r="AD131" s="285"/>
      <c r="AE131" s="285"/>
      <c r="AF131" s="285"/>
      <c r="AG131" s="285"/>
      <c r="AH131" s="285"/>
      <c r="AI131" s="285"/>
      <c r="AJ131" s="285"/>
      <c r="AK131" s="285"/>
      <c r="AL131" s="285"/>
      <c r="AM131" s="285"/>
      <c r="AN131" s="285"/>
      <c r="AO131" s="285"/>
      <c r="AP131" s="285"/>
      <c r="AQ131" s="285"/>
      <c r="AR131" s="285"/>
      <c r="AS131" s="285"/>
      <c r="AT131" s="285"/>
      <c r="AU131" s="285"/>
      <c r="AV131" s="285"/>
      <c r="AW131" s="285"/>
      <c r="AX131" s="285"/>
      <c r="AY131" s="285"/>
      <c r="AZ131" s="285"/>
      <c r="BA131" s="285"/>
      <c r="BB131" s="285"/>
      <c r="BC131" s="285"/>
      <c r="BD131" s="285"/>
      <c r="BE131" s="285"/>
      <c r="BF131" s="285"/>
      <c r="BG131" s="285"/>
      <c r="BH131" s="285"/>
      <c r="BI131" s="285"/>
      <c r="BJ131" s="285"/>
      <c r="BK131" s="285"/>
      <c r="BL131" s="285"/>
      <c r="BM131" s="285"/>
      <c r="BN131" s="285"/>
      <c r="BO131" s="285"/>
      <c r="BP131" s="285"/>
      <c r="BQ131" s="285"/>
      <c r="BR131" s="285"/>
      <c r="BS131" s="285"/>
      <c r="BT131" s="285"/>
      <c r="BU131" s="285"/>
      <c r="BV131" s="285"/>
      <c r="BW131" s="285"/>
      <c r="BX131" s="285"/>
      <c r="BY131" s="285"/>
      <c r="BZ131" s="285"/>
      <c r="CA131" s="285"/>
      <c r="CB131" s="285"/>
      <c r="CC131" s="285"/>
      <c r="CD131" s="285"/>
      <c r="CE131" s="285"/>
      <c r="CF131" s="285"/>
      <c r="CG131" s="285"/>
      <c r="CH131" s="285"/>
      <c r="CI131" s="285"/>
      <c r="CJ131" s="285"/>
      <c r="CK131" s="285"/>
      <c r="CL131" s="285"/>
      <c r="CM131" s="285"/>
      <c r="CN131" s="285"/>
      <c r="CO131" s="285"/>
      <c r="CP131" s="285"/>
      <c r="CQ131" s="285"/>
      <c r="CR131" s="285"/>
    </row>
    <row r="132" spans="1:96" ht="15.6">
      <c r="A132" s="285"/>
      <c r="B132" s="285"/>
      <c r="C132" s="285"/>
      <c r="D132" s="285"/>
      <c r="E132" s="285"/>
      <c r="F132" s="285"/>
      <c r="G132" s="285"/>
      <c r="H132" s="285"/>
      <c r="I132" s="285"/>
      <c r="J132" s="285"/>
      <c r="K132" s="285"/>
      <c r="L132" s="285"/>
      <c r="M132" s="285"/>
      <c r="N132" s="285"/>
      <c r="O132" s="285"/>
      <c r="P132" s="285"/>
      <c r="Q132" s="285"/>
      <c r="R132" s="285"/>
      <c r="S132" s="285"/>
      <c r="T132" s="285"/>
      <c r="U132" s="285"/>
      <c r="V132" s="285"/>
      <c r="W132" s="285"/>
      <c r="X132" s="285"/>
      <c r="Y132" s="285"/>
      <c r="Z132" s="285"/>
      <c r="AA132" s="285"/>
      <c r="AB132" s="285"/>
      <c r="AC132" s="285"/>
      <c r="AD132" s="285"/>
      <c r="AE132" s="285"/>
      <c r="AF132" s="285"/>
      <c r="AG132" s="285"/>
      <c r="AH132" s="285"/>
      <c r="AI132" s="285"/>
      <c r="AJ132" s="285"/>
      <c r="AK132" s="285"/>
      <c r="AL132" s="285"/>
      <c r="AM132" s="285"/>
      <c r="AN132" s="285"/>
      <c r="AO132" s="285"/>
      <c r="AP132" s="285"/>
      <c r="AQ132" s="285"/>
      <c r="AR132" s="285"/>
      <c r="AS132" s="285"/>
      <c r="AT132" s="285"/>
      <c r="AU132" s="285"/>
      <c r="AV132" s="285"/>
      <c r="AW132" s="285"/>
      <c r="AX132" s="285"/>
      <c r="AY132" s="285"/>
      <c r="AZ132" s="285"/>
      <c r="BA132" s="285"/>
      <c r="BB132" s="285"/>
      <c r="BC132" s="285"/>
      <c r="BD132" s="285"/>
      <c r="BE132" s="285"/>
      <c r="BF132" s="285"/>
      <c r="BG132" s="285"/>
      <c r="BH132" s="285"/>
      <c r="BI132" s="285"/>
      <c r="BJ132" s="285"/>
      <c r="BK132" s="285"/>
      <c r="BL132" s="285"/>
      <c r="BM132" s="285"/>
      <c r="BN132" s="285"/>
      <c r="BO132" s="285"/>
      <c r="BP132" s="285"/>
      <c r="BQ132" s="285"/>
      <c r="BR132" s="285"/>
      <c r="BS132" s="285"/>
      <c r="BT132" s="285"/>
      <c r="BU132" s="285"/>
      <c r="BV132" s="285"/>
      <c r="BW132" s="285"/>
      <c r="BX132" s="285"/>
      <c r="BY132" s="285"/>
      <c r="BZ132" s="285"/>
      <c r="CA132" s="285"/>
      <c r="CB132" s="285"/>
      <c r="CC132" s="285"/>
      <c r="CD132" s="285"/>
      <c r="CE132" s="285"/>
      <c r="CF132" s="285"/>
      <c r="CG132" s="285"/>
      <c r="CH132" s="285"/>
      <c r="CI132" s="285"/>
      <c r="CJ132" s="285"/>
      <c r="CK132" s="285"/>
      <c r="CL132" s="285"/>
      <c r="CM132" s="285"/>
      <c r="CN132" s="285"/>
      <c r="CO132" s="285"/>
      <c r="CP132" s="285"/>
      <c r="CQ132" s="285"/>
      <c r="CR132" s="285"/>
    </row>
    <row r="133" spans="1:96" ht="15.6">
      <c r="A133" s="285"/>
      <c r="B133" s="285"/>
      <c r="C133" s="285"/>
      <c r="D133" s="285"/>
      <c r="E133" s="285"/>
      <c r="F133" s="285"/>
      <c r="G133" s="285"/>
      <c r="H133" s="285"/>
      <c r="I133" s="285"/>
      <c r="J133" s="285"/>
      <c r="K133" s="285"/>
      <c r="L133" s="285"/>
      <c r="M133" s="285"/>
      <c r="N133" s="285"/>
      <c r="O133" s="285"/>
      <c r="P133" s="285"/>
      <c r="Q133" s="285"/>
      <c r="R133" s="285"/>
      <c r="S133" s="285"/>
      <c r="T133" s="285"/>
      <c r="U133" s="285"/>
      <c r="V133" s="285"/>
      <c r="W133" s="285"/>
      <c r="X133" s="285"/>
      <c r="Y133" s="285"/>
      <c r="Z133" s="285"/>
      <c r="AA133" s="285"/>
      <c r="AB133" s="285"/>
      <c r="AC133" s="285"/>
      <c r="AD133" s="285"/>
      <c r="AE133" s="285"/>
      <c r="AF133" s="285"/>
      <c r="AG133" s="285"/>
      <c r="AH133" s="285"/>
      <c r="AI133" s="285"/>
      <c r="AJ133" s="285"/>
      <c r="AK133" s="285"/>
      <c r="AL133" s="285"/>
      <c r="AM133" s="285"/>
      <c r="AN133" s="285"/>
      <c r="AO133" s="285"/>
      <c r="AP133" s="285"/>
      <c r="AQ133" s="285"/>
      <c r="AR133" s="285"/>
      <c r="AS133" s="285"/>
      <c r="AT133" s="285"/>
      <c r="AU133" s="285"/>
      <c r="AV133" s="285"/>
      <c r="AW133" s="285"/>
      <c r="AX133" s="285"/>
      <c r="AY133" s="285"/>
      <c r="AZ133" s="285"/>
      <c r="BA133" s="285"/>
      <c r="BB133" s="285"/>
      <c r="BC133" s="285"/>
      <c r="BD133" s="285"/>
      <c r="BE133" s="285"/>
      <c r="BF133" s="285"/>
      <c r="BG133" s="285"/>
      <c r="BH133" s="285"/>
      <c r="BI133" s="285"/>
      <c r="BJ133" s="285"/>
      <c r="BK133" s="285"/>
      <c r="BL133" s="285"/>
      <c r="BM133" s="285"/>
      <c r="BN133" s="285"/>
      <c r="BO133" s="285"/>
      <c r="BP133" s="285"/>
      <c r="BQ133" s="285"/>
      <c r="BR133" s="285"/>
      <c r="BS133" s="285"/>
      <c r="BT133" s="285"/>
      <c r="BU133" s="285"/>
      <c r="BV133" s="285"/>
      <c r="BW133" s="285"/>
      <c r="BX133" s="285"/>
      <c r="BY133" s="285"/>
      <c r="BZ133" s="285"/>
      <c r="CA133" s="285"/>
      <c r="CB133" s="285"/>
      <c r="CC133" s="285"/>
      <c r="CD133" s="285"/>
      <c r="CE133" s="285"/>
      <c r="CF133" s="285"/>
      <c r="CG133" s="285"/>
      <c r="CH133" s="285"/>
      <c r="CI133" s="285"/>
      <c r="CJ133" s="285"/>
      <c r="CK133" s="285"/>
      <c r="CL133" s="285"/>
      <c r="CM133" s="285"/>
      <c r="CN133" s="285"/>
      <c r="CO133" s="285"/>
      <c r="CP133" s="285"/>
      <c r="CQ133" s="285"/>
      <c r="CR133" s="285"/>
    </row>
    <row r="134" spans="1:96" ht="15.6">
      <c r="A134" s="285"/>
      <c r="B134" s="285"/>
      <c r="C134" s="285"/>
      <c r="D134" s="285"/>
      <c r="E134" s="285"/>
      <c r="F134" s="285"/>
      <c r="G134" s="285"/>
      <c r="H134" s="285"/>
      <c r="I134" s="285"/>
      <c r="J134" s="285"/>
      <c r="K134" s="285"/>
      <c r="L134" s="285"/>
      <c r="M134" s="285"/>
      <c r="N134" s="285"/>
      <c r="O134" s="285"/>
      <c r="P134" s="285"/>
      <c r="Q134" s="285"/>
      <c r="R134" s="285"/>
      <c r="S134" s="285"/>
      <c r="T134" s="285"/>
      <c r="U134" s="285"/>
      <c r="V134" s="285"/>
      <c r="W134" s="285"/>
      <c r="X134" s="285"/>
      <c r="Y134" s="285"/>
      <c r="Z134" s="285"/>
      <c r="AA134" s="285"/>
      <c r="AB134" s="285"/>
      <c r="AC134" s="285"/>
      <c r="AD134" s="285"/>
      <c r="AE134" s="285"/>
      <c r="AF134" s="285"/>
      <c r="AG134" s="285"/>
      <c r="AH134" s="285"/>
      <c r="AI134" s="285"/>
      <c r="AJ134" s="285"/>
      <c r="AK134" s="285"/>
      <c r="AL134" s="285"/>
      <c r="AM134" s="285"/>
      <c r="AN134" s="285"/>
      <c r="AO134" s="285"/>
      <c r="AP134" s="285"/>
      <c r="AQ134" s="285"/>
      <c r="AR134" s="285"/>
      <c r="AS134" s="285"/>
      <c r="AT134" s="285"/>
      <c r="AU134" s="285"/>
      <c r="AV134" s="285"/>
      <c r="AW134" s="285"/>
      <c r="AX134" s="285"/>
      <c r="AY134" s="285"/>
      <c r="AZ134" s="285"/>
      <c r="BA134" s="285"/>
      <c r="BB134" s="285"/>
      <c r="BC134" s="285"/>
      <c r="BD134" s="285"/>
      <c r="BE134" s="285"/>
      <c r="BF134" s="285"/>
      <c r="BG134" s="285"/>
      <c r="BH134" s="285"/>
      <c r="BI134" s="285"/>
      <c r="BJ134" s="285"/>
      <c r="BK134" s="285"/>
      <c r="BL134" s="285"/>
      <c r="BM134" s="285"/>
      <c r="BN134" s="285"/>
      <c r="BO134" s="285"/>
      <c r="BP134" s="285"/>
      <c r="BQ134" s="285"/>
      <c r="BR134" s="285"/>
      <c r="BS134" s="285"/>
      <c r="BT134" s="285"/>
      <c r="BU134" s="285"/>
      <c r="BV134" s="285"/>
      <c r="BW134" s="285"/>
      <c r="BX134" s="285"/>
      <c r="BY134" s="285"/>
      <c r="BZ134" s="285"/>
      <c r="CA134" s="285"/>
      <c r="CB134" s="285"/>
      <c r="CC134" s="285"/>
      <c r="CD134" s="285"/>
      <c r="CE134" s="285"/>
      <c r="CF134" s="285"/>
      <c r="CG134" s="285"/>
      <c r="CH134" s="285"/>
      <c r="CI134" s="285"/>
      <c r="CJ134" s="285"/>
      <c r="CK134" s="285"/>
      <c r="CL134" s="285"/>
      <c r="CM134" s="285"/>
      <c r="CN134" s="285"/>
      <c r="CO134" s="285"/>
      <c r="CP134" s="285"/>
      <c r="CQ134" s="285"/>
      <c r="CR134" s="285"/>
    </row>
    <row r="135" spans="1:96" ht="15.6">
      <c r="A135" s="285"/>
      <c r="B135" s="285"/>
      <c r="C135" s="285"/>
      <c r="D135" s="285"/>
      <c r="E135" s="285"/>
      <c r="F135" s="285"/>
      <c r="G135" s="285"/>
      <c r="H135" s="285"/>
      <c r="I135" s="285"/>
      <c r="J135" s="285"/>
      <c r="K135" s="285"/>
      <c r="L135" s="285"/>
      <c r="M135" s="285"/>
      <c r="N135" s="285"/>
      <c r="O135" s="285"/>
      <c r="P135" s="285"/>
      <c r="Q135" s="285"/>
      <c r="R135" s="285"/>
      <c r="S135" s="285"/>
      <c r="T135" s="285"/>
      <c r="U135" s="285"/>
      <c r="V135" s="285"/>
      <c r="W135" s="285"/>
      <c r="X135" s="285"/>
      <c r="Y135" s="285"/>
      <c r="Z135" s="285"/>
      <c r="AA135" s="285"/>
      <c r="AB135" s="285"/>
      <c r="AC135" s="285"/>
      <c r="AD135" s="285"/>
      <c r="AE135" s="285"/>
      <c r="AF135" s="285"/>
      <c r="AG135" s="285"/>
      <c r="AH135" s="285"/>
      <c r="AI135" s="285"/>
      <c r="AJ135" s="285"/>
      <c r="AK135" s="285"/>
      <c r="AL135" s="285"/>
      <c r="AM135" s="285"/>
      <c r="AN135" s="285"/>
      <c r="AO135" s="285"/>
      <c r="AP135" s="285"/>
      <c r="AQ135" s="285"/>
      <c r="AR135" s="285"/>
      <c r="AS135" s="285"/>
      <c r="AT135" s="285"/>
      <c r="AU135" s="285"/>
      <c r="AV135" s="285"/>
      <c r="AW135" s="285"/>
      <c r="AX135" s="285"/>
      <c r="AY135" s="285"/>
      <c r="AZ135" s="285"/>
      <c r="BA135" s="285"/>
      <c r="BB135" s="285"/>
      <c r="BC135" s="285"/>
      <c r="BD135" s="285"/>
      <c r="BE135" s="285"/>
      <c r="BF135" s="285"/>
      <c r="BG135" s="285"/>
      <c r="BH135" s="285"/>
      <c r="BI135" s="285"/>
      <c r="BJ135" s="285"/>
      <c r="BK135" s="285"/>
      <c r="BL135" s="285"/>
      <c r="BM135" s="285"/>
      <c r="BN135" s="285"/>
      <c r="BO135" s="285"/>
      <c r="BP135" s="285"/>
      <c r="BQ135" s="285"/>
      <c r="BR135" s="285"/>
      <c r="BS135" s="285"/>
      <c r="BT135" s="285"/>
      <c r="BU135" s="285"/>
      <c r="BV135" s="285"/>
      <c r="BW135" s="285"/>
      <c r="BX135" s="285"/>
      <c r="BY135" s="285"/>
      <c r="BZ135" s="285"/>
      <c r="CA135" s="285"/>
      <c r="CB135" s="285"/>
      <c r="CC135" s="285"/>
      <c r="CD135" s="285"/>
      <c r="CE135" s="285"/>
      <c r="CF135" s="285"/>
      <c r="CG135" s="285"/>
      <c r="CH135" s="285"/>
      <c r="CI135" s="285"/>
      <c r="CJ135" s="285"/>
      <c r="CK135" s="285"/>
      <c r="CL135" s="285"/>
      <c r="CM135" s="285"/>
      <c r="CN135" s="285"/>
      <c r="CO135" s="285"/>
      <c r="CP135" s="285"/>
      <c r="CQ135" s="285"/>
      <c r="CR135" s="285"/>
    </row>
    <row r="136" spans="1:96" ht="15.6">
      <c r="A136" s="285"/>
      <c r="B136" s="285"/>
      <c r="C136" s="285"/>
      <c r="D136" s="285"/>
      <c r="E136" s="285"/>
      <c r="F136" s="285"/>
      <c r="G136" s="285"/>
      <c r="H136" s="285"/>
      <c r="I136" s="285"/>
      <c r="J136" s="285"/>
      <c r="K136" s="285"/>
      <c r="L136" s="285"/>
      <c r="M136" s="285"/>
      <c r="N136" s="285"/>
      <c r="O136" s="285"/>
      <c r="P136" s="285"/>
      <c r="Q136" s="285"/>
      <c r="R136" s="285"/>
      <c r="S136" s="285"/>
      <c r="T136" s="285"/>
      <c r="U136" s="285"/>
      <c r="V136" s="285"/>
      <c r="W136" s="285"/>
      <c r="X136" s="285"/>
      <c r="Y136" s="285"/>
      <c r="Z136" s="285"/>
      <c r="AA136" s="285"/>
      <c r="AB136" s="285"/>
      <c r="AC136" s="285"/>
      <c r="AD136" s="285"/>
      <c r="AE136" s="285"/>
      <c r="AF136" s="285"/>
      <c r="AG136" s="285"/>
      <c r="AH136" s="285"/>
      <c r="AI136" s="285"/>
      <c r="AJ136" s="285"/>
      <c r="AK136" s="285"/>
      <c r="AL136" s="285"/>
      <c r="AM136" s="285"/>
      <c r="AN136" s="285"/>
      <c r="AO136" s="285"/>
      <c r="AP136" s="285"/>
      <c r="AQ136" s="285"/>
      <c r="AR136" s="285"/>
      <c r="AS136" s="285"/>
      <c r="AT136" s="285"/>
      <c r="AU136" s="285"/>
      <c r="AV136" s="285"/>
      <c r="AW136" s="285"/>
      <c r="AX136" s="285"/>
      <c r="AY136" s="285"/>
      <c r="AZ136" s="285"/>
      <c r="BA136" s="285"/>
      <c r="BB136" s="285"/>
      <c r="BC136" s="285"/>
      <c r="BD136" s="285"/>
      <c r="BE136" s="285"/>
      <c r="BF136" s="285"/>
      <c r="BG136" s="285"/>
      <c r="BH136" s="285"/>
      <c r="BI136" s="285"/>
      <c r="BJ136" s="285"/>
      <c r="BK136" s="285"/>
      <c r="BL136" s="285"/>
      <c r="BM136" s="285"/>
      <c r="BN136" s="285"/>
      <c r="BO136" s="285"/>
      <c r="BP136" s="285"/>
      <c r="BQ136" s="285"/>
      <c r="BR136" s="285"/>
      <c r="BS136" s="285"/>
      <c r="BT136" s="285"/>
      <c r="BU136" s="285"/>
      <c r="BV136" s="285"/>
      <c r="BW136" s="285"/>
      <c r="BX136" s="285"/>
      <c r="BY136" s="285"/>
      <c r="BZ136" s="285"/>
      <c r="CA136" s="285"/>
      <c r="CB136" s="285"/>
      <c r="CC136" s="285"/>
      <c r="CD136" s="285"/>
      <c r="CE136" s="285"/>
      <c r="CF136" s="285"/>
      <c r="CG136" s="285"/>
      <c r="CH136" s="285"/>
      <c r="CI136" s="285"/>
      <c r="CJ136" s="285"/>
      <c r="CK136" s="285"/>
      <c r="CL136" s="285"/>
      <c r="CM136" s="285"/>
      <c r="CN136" s="285"/>
      <c r="CO136" s="285"/>
      <c r="CP136" s="285"/>
      <c r="CQ136" s="285"/>
      <c r="CR136" s="285"/>
    </row>
    <row r="137" spans="1:96" ht="15.6">
      <c r="A137" s="285"/>
      <c r="B137" s="285"/>
      <c r="C137" s="285"/>
      <c r="D137" s="285"/>
      <c r="E137" s="285"/>
      <c r="F137" s="285"/>
      <c r="G137" s="285"/>
      <c r="H137" s="285"/>
      <c r="I137" s="285"/>
      <c r="J137" s="285"/>
      <c r="K137" s="285"/>
      <c r="L137" s="285"/>
      <c r="M137" s="285"/>
      <c r="N137" s="285"/>
      <c r="O137" s="285"/>
      <c r="P137" s="285"/>
      <c r="Q137" s="285"/>
      <c r="R137" s="285"/>
      <c r="S137" s="285"/>
      <c r="T137" s="285"/>
      <c r="U137" s="285"/>
      <c r="V137" s="285"/>
      <c r="W137" s="285"/>
      <c r="X137" s="285"/>
      <c r="Y137" s="285"/>
      <c r="Z137" s="285"/>
      <c r="AA137" s="285"/>
      <c r="AB137" s="285"/>
      <c r="AC137" s="285"/>
      <c r="AD137" s="285"/>
      <c r="AE137" s="285"/>
      <c r="AF137" s="285"/>
      <c r="AG137" s="285"/>
      <c r="AH137" s="285"/>
      <c r="AI137" s="285"/>
      <c r="AJ137" s="285"/>
      <c r="AK137" s="285"/>
      <c r="AL137" s="285"/>
      <c r="AM137" s="285"/>
      <c r="AN137" s="285"/>
      <c r="AO137" s="285"/>
      <c r="AP137" s="285"/>
      <c r="AQ137" s="285"/>
      <c r="AR137" s="285"/>
      <c r="AS137" s="285"/>
      <c r="AT137" s="285"/>
      <c r="AU137" s="285"/>
      <c r="AV137" s="285"/>
      <c r="AW137" s="285"/>
      <c r="AX137" s="285"/>
      <c r="AY137" s="285"/>
      <c r="AZ137" s="285"/>
      <c r="BA137" s="285"/>
      <c r="BB137" s="285"/>
      <c r="BC137" s="285"/>
      <c r="BD137" s="285"/>
      <c r="BE137" s="285"/>
      <c r="BF137" s="285"/>
      <c r="BG137" s="285"/>
      <c r="BH137" s="285"/>
      <c r="BI137" s="285"/>
      <c r="BJ137" s="285"/>
      <c r="BK137" s="285"/>
      <c r="BL137" s="285"/>
      <c r="BM137" s="285"/>
      <c r="BN137" s="285"/>
      <c r="BO137" s="285"/>
      <c r="BP137" s="285"/>
      <c r="BQ137" s="285"/>
      <c r="BR137" s="285"/>
      <c r="BS137" s="285"/>
      <c r="BT137" s="285"/>
      <c r="BU137" s="285"/>
      <c r="BV137" s="285"/>
      <c r="BW137" s="285"/>
      <c r="BX137" s="285"/>
      <c r="BY137" s="285"/>
      <c r="BZ137" s="285"/>
      <c r="CA137" s="285"/>
      <c r="CB137" s="285"/>
      <c r="CC137" s="285"/>
      <c r="CD137" s="285"/>
      <c r="CE137" s="285"/>
      <c r="CF137" s="285"/>
      <c r="CG137" s="285"/>
      <c r="CH137" s="285"/>
      <c r="CI137" s="285"/>
      <c r="CJ137" s="285"/>
      <c r="CK137" s="285"/>
      <c r="CL137" s="285"/>
      <c r="CM137" s="285"/>
      <c r="CN137" s="285"/>
      <c r="CO137" s="285"/>
      <c r="CP137" s="285"/>
      <c r="CQ137" s="285"/>
      <c r="CR137" s="285"/>
    </row>
    <row r="138" spans="1:96" ht="15.6">
      <c r="A138" s="285"/>
      <c r="B138" s="285"/>
      <c r="C138" s="285"/>
      <c r="D138" s="285"/>
      <c r="E138" s="285"/>
      <c r="F138" s="285"/>
      <c r="G138" s="285"/>
      <c r="H138" s="285"/>
      <c r="I138" s="285"/>
      <c r="J138" s="285"/>
      <c r="K138" s="285"/>
      <c r="L138" s="285"/>
      <c r="M138" s="285"/>
      <c r="N138" s="285"/>
      <c r="O138" s="285"/>
      <c r="P138" s="285"/>
      <c r="Q138" s="285"/>
      <c r="R138" s="285"/>
      <c r="S138" s="285"/>
      <c r="T138" s="285"/>
      <c r="U138" s="285"/>
      <c r="V138" s="285"/>
      <c r="W138" s="285"/>
      <c r="X138" s="285"/>
      <c r="Y138" s="285"/>
      <c r="Z138" s="285"/>
      <c r="AA138" s="285"/>
      <c r="AB138" s="285"/>
      <c r="AC138" s="285"/>
      <c r="AD138" s="285"/>
      <c r="AE138" s="285"/>
      <c r="AF138" s="285"/>
      <c r="AG138" s="285"/>
      <c r="AH138" s="285"/>
      <c r="AI138" s="285"/>
      <c r="AJ138" s="285"/>
      <c r="AK138" s="285"/>
      <c r="AL138" s="285"/>
      <c r="AM138" s="285"/>
      <c r="AN138" s="285"/>
      <c r="AO138" s="285"/>
      <c r="AP138" s="285"/>
      <c r="AQ138" s="285"/>
      <c r="AR138" s="285"/>
      <c r="AS138" s="285"/>
      <c r="AT138" s="285"/>
      <c r="AU138" s="285"/>
      <c r="AV138" s="285"/>
      <c r="AW138" s="285"/>
      <c r="AX138" s="285"/>
      <c r="AY138" s="285"/>
      <c r="AZ138" s="285"/>
      <c r="BA138" s="285"/>
      <c r="BB138" s="285"/>
      <c r="BC138" s="285"/>
      <c r="BD138" s="285"/>
      <c r="BE138" s="285"/>
      <c r="BF138" s="285"/>
      <c r="BG138" s="285"/>
      <c r="BH138" s="285"/>
      <c r="BI138" s="285"/>
      <c r="BJ138" s="285"/>
      <c r="BK138" s="285"/>
      <c r="BL138" s="285"/>
      <c r="BM138" s="285"/>
      <c r="BN138" s="285"/>
      <c r="BO138" s="285"/>
      <c r="BP138" s="285"/>
      <c r="BQ138" s="285"/>
      <c r="BR138" s="285"/>
      <c r="BS138" s="285"/>
      <c r="BT138" s="285"/>
      <c r="BU138" s="285"/>
      <c r="BV138" s="285"/>
      <c r="BW138" s="285"/>
      <c r="BX138" s="285"/>
      <c r="BY138" s="285"/>
      <c r="BZ138" s="285"/>
      <c r="CA138" s="285"/>
      <c r="CB138" s="285"/>
      <c r="CC138" s="285"/>
      <c r="CD138" s="285"/>
      <c r="CE138" s="285"/>
      <c r="CF138" s="285"/>
      <c r="CG138" s="285"/>
      <c r="CH138" s="285"/>
      <c r="CI138" s="285"/>
      <c r="CJ138" s="285"/>
      <c r="CK138" s="285"/>
      <c r="CL138" s="285"/>
      <c r="CM138" s="285"/>
      <c r="CN138" s="285"/>
      <c r="CO138" s="285"/>
      <c r="CP138" s="285"/>
      <c r="CQ138" s="285"/>
      <c r="CR138" s="285"/>
    </row>
    <row r="139" spans="1:96" ht="15.6">
      <c r="A139" s="285"/>
      <c r="B139" s="285"/>
      <c r="C139" s="285"/>
      <c r="D139" s="285"/>
      <c r="E139" s="285"/>
      <c r="F139" s="285"/>
      <c r="G139" s="285"/>
      <c r="H139" s="285"/>
      <c r="I139" s="285"/>
      <c r="J139" s="285"/>
      <c r="K139" s="285"/>
      <c r="L139" s="285"/>
      <c r="M139" s="285"/>
      <c r="N139" s="285"/>
      <c r="O139" s="285"/>
      <c r="P139" s="285"/>
      <c r="Q139" s="285"/>
      <c r="R139" s="285"/>
      <c r="S139" s="285"/>
      <c r="T139" s="285"/>
      <c r="U139" s="285"/>
      <c r="V139" s="285"/>
      <c r="W139" s="285"/>
      <c r="X139" s="285"/>
      <c r="Y139" s="285"/>
      <c r="Z139" s="285"/>
      <c r="AA139" s="285"/>
      <c r="AB139" s="285"/>
      <c r="AC139" s="285"/>
      <c r="AD139" s="285"/>
      <c r="AE139" s="285"/>
      <c r="AF139" s="285"/>
      <c r="AG139" s="285"/>
      <c r="AH139" s="285"/>
      <c r="AI139" s="285"/>
      <c r="AJ139" s="285"/>
      <c r="AK139" s="285"/>
      <c r="AL139" s="285"/>
      <c r="AM139" s="285"/>
      <c r="AN139" s="285"/>
      <c r="AO139" s="285"/>
      <c r="AP139" s="285"/>
      <c r="AQ139" s="285"/>
      <c r="AR139" s="285"/>
      <c r="AS139" s="285"/>
      <c r="AT139" s="285"/>
      <c r="AU139" s="285"/>
      <c r="AV139" s="285"/>
      <c r="AW139" s="285"/>
      <c r="AX139" s="285"/>
      <c r="AY139" s="285"/>
      <c r="AZ139" s="285"/>
      <c r="BA139" s="285"/>
      <c r="BB139" s="285"/>
      <c r="BC139" s="285"/>
      <c r="BD139" s="285"/>
      <c r="BE139" s="285"/>
      <c r="BF139" s="285"/>
      <c r="BG139" s="285"/>
      <c r="BH139" s="285"/>
      <c r="BI139" s="285"/>
      <c r="BJ139" s="285"/>
      <c r="BK139" s="285"/>
      <c r="BL139" s="285"/>
      <c r="BM139" s="285"/>
      <c r="BN139" s="285"/>
      <c r="BO139" s="285"/>
      <c r="BP139" s="285"/>
      <c r="BQ139" s="285"/>
      <c r="BR139" s="285"/>
      <c r="BS139" s="285"/>
      <c r="BT139" s="285"/>
      <c r="BU139" s="285"/>
      <c r="BV139" s="285"/>
      <c r="BW139" s="285"/>
      <c r="BX139" s="285"/>
      <c r="BY139" s="285"/>
      <c r="BZ139" s="285"/>
      <c r="CA139" s="285"/>
      <c r="CB139" s="285"/>
      <c r="CC139" s="285"/>
      <c r="CD139" s="285"/>
      <c r="CE139" s="285"/>
      <c r="CF139" s="285"/>
      <c r="CG139" s="285"/>
      <c r="CH139" s="285"/>
      <c r="CI139" s="285"/>
      <c r="CJ139" s="285"/>
      <c r="CK139" s="285"/>
      <c r="CL139" s="285"/>
      <c r="CM139" s="285"/>
      <c r="CN139" s="285"/>
      <c r="CO139" s="285"/>
      <c r="CP139" s="285"/>
      <c r="CQ139" s="285"/>
      <c r="CR139" s="285"/>
    </row>
    <row r="140" spans="1:96" ht="15.6">
      <c r="A140" s="285"/>
      <c r="B140" s="285"/>
      <c r="C140" s="285"/>
      <c r="D140" s="285"/>
      <c r="E140" s="285"/>
      <c r="F140" s="285"/>
      <c r="G140" s="285"/>
      <c r="H140" s="285"/>
      <c r="I140" s="285"/>
      <c r="J140" s="285"/>
      <c r="K140" s="285"/>
      <c r="L140" s="285"/>
      <c r="M140" s="285"/>
      <c r="N140" s="285"/>
      <c r="O140" s="285"/>
      <c r="P140" s="285"/>
      <c r="Q140" s="285"/>
      <c r="R140" s="285"/>
      <c r="S140" s="285"/>
      <c r="T140" s="285"/>
      <c r="U140" s="285"/>
      <c r="V140" s="285"/>
      <c r="W140" s="285"/>
      <c r="X140" s="285"/>
      <c r="Y140" s="285"/>
      <c r="Z140" s="285"/>
      <c r="AA140" s="285"/>
      <c r="AB140" s="285"/>
      <c r="AC140" s="285"/>
      <c r="AD140" s="285"/>
      <c r="AE140" s="285"/>
      <c r="AF140" s="285"/>
      <c r="AG140" s="285"/>
      <c r="AH140" s="285"/>
      <c r="AI140" s="285"/>
      <c r="AJ140" s="285"/>
      <c r="AK140" s="285"/>
      <c r="AL140" s="285"/>
      <c r="AM140" s="285"/>
      <c r="AN140" s="285"/>
      <c r="AO140" s="285"/>
      <c r="AP140" s="285"/>
      <c r="AQ140" s="285"/>
      <c r="AR140" s="285"/>
      <c r="AS140" s="285"/>
      <c r="AT140" s="285"/>
      <c r="AU140" s="285"/>
      <c r="AV140" s="285"/>
      <c r="AW140" s="285"/>
      <c r="AX140" s="285"/>
      <c r="AY140" s="285"/>
      <c r="AZ140" s="285"/>
      <c r="BA140" s="285"/>
      <c r="BB140" s="285"/>
      <c r="BC140" s="285"/>
      <c r="BD140" s="285"/>
      <c r="BE140" s="285"/>
      <c r="BF140" s="285"/>
      <c r="BG140" s="285"/>
      <c r="BH140" s="285"/>
      <c r="BI140" s="285"/>
      <c r="BJ140" s="285"/>
      <c r="BK140" s="285"/>
      <c r="BL140" s="285"/>
      <c r="BM140" s="285"/>
      <c r="BN140" s="285"/>
      <c r="BO140" s="285"/>
      <c r="BP140" s="285"/>
      <c r="BQ140" s="285"/>
      <c r="BR140" s="285"/>
      <c r="BS140" s="285"/>
      <c r="BT140" s="285"/>
      <c r="BU140" s="285"/>
      <c r="BV140" s="285"/>
      <c r="BW140" s="285"/>
      <c r="BX140" s="285"/>
      <c r="BY140" s="285"/>
      <c r="BZ140" s="285"/>
      <c r="CA140" s="285"/>
      <c r="CB140" s="285"/>
      <c r="CC140" s="285"/>
      <c r="CD140" s="285"/>
      <c r="CE140" s="285"/>
      <c r="CF140" s="285"/>
      <c r="CG140" s="285"/>
      <c r="CH140" s="285"/>
      <c r="CI140" s="285"/>
      <c r="CJ140" s="285"/>
      <c r="CK140" s="285"/>
      <c r="CL140" s="285"/>
      <c r="CM140" s="285"/>
      <c r="CN140" s="285"/>
      <c r="CO140" s="285"/>
      <c r="CP140" s="285"/>
      <c r="CQ140" s="285"/>
      <c r="CR140" s="285"/>
    </row>
    <row r="141" spans="1:96" ht="15.6">
      <c r="A141" s="285"/>
      <c r="B141" s="285"/>
      <c r="C141" s="285"/>
      <c r="D141" s="285"/>
      <c r="E141" s="285"/>
      <c r="F141" s="285"/>
      <c r="G141" s="285"/>
      <c r="H141" s="285"/>
      <c r="I141" s="285"/>
      <c r="J141" s="285"/>
      <c r="K141" s="285"/>
      <c r="L141" s="285"/>
      <c r="M141" s="285"/>
      <c r="N141" s="285"/>
      <c r="O141" s="285"/>
      <c r="P141" s="285"/>
      <c r="Q141" s="285"/>
      <c r="R141" s="285"/>
      <c r="S141" s="285"/>
      <c r="T141" s="285"/>
      <c r="U141" s="285"/>
      <c r="V141" s="285"/>
      <c r="W141" s="285"/>
      <c r="X141" s="285"/>
      <c r="Y141" s="285"/>
      <c r="Z141" s="285"/>
      <c r="AA141" s="285"/>
      <c r="AB141" s="285"/>
      <c r="AC141" s="285"/>
      <c r="AD141" s="285"/>
      <c r="AE141" s="285"/>
      <c r="AF141" s="285"/>
      <c r="AG141" s="285"/>
      <c r="AH141" s="285"/>
      <c r="AI141" s="285"/>
      <c r="AJ141" s="285"/>
      <c r="AK141" s="285"/>
      <c r="AL141" s="285"/>
      <c r="AM141" s="285"/>
      <c r="AN141" s="285"/>
      <c r="AO141" s="285"/>
      <c r="AP141" s="285"/>
      <c r="AQ141" s="285"/>
      <c r="AR141" s="285"/>
      <c r="AS141" s="285"/>
      <c r="AT141" s="285"/>
      <c r="AU141" s="285"/>
      <c r="AV141" s="285"/>
      <c r="AW141" s="285"/>
      <c r="AX141" s="285"/>
      <c r="AY141" s="285"/>
      <c r="AZ141" s="285"/>
      <c r="BA141" s="285"/>
      <c r="BB141" s="285"/>
      <c r="BC141" s="285"/>
      <c r="BD141" s="285"/>
      <c r="BE141" s="285"/>
      <c r="BF141" s="285"/>
      <c r="BG141" s="285"/>
      <c r="BH141" s="285"/>
      <c r="BI141" s="285"/>
      <c r="BJ141" s="285"/>
      <c r="BK141" s="285"/>
      <c r="BL141" s="285"/>
      <c r="BM141" s="285"/>
      <c r="BN141" s="285"/>
      <c r="BO141" s="285"/>
      <c r="BP141" s="285"/>
      <c r="BQ141" s="285"/>
      <c r="BR141" s="285"/>
      <c r="BS141" s="285"/>
      <c r="BT141" s="285"/>
      <c r="BU141" s="285"/>
      <c r="BV141" s="285"/>
      <c r="BW141" s="285"/>
      <c r="BX141" s="285"/>
      <c r="BY141" s="285"/>
      <c r="BZ141" s="285"/>
      <c r="CA141" s="285"/>
      <c r="CB141" s="285"/>
      <c r="CC141" s="285"/>
      <c r="CD141" s="285"/>
      <c r="CE141" s="285"/>
      <c r="CF141" s="285"/>
      <c r="CG141" s="285"/>
      <c r="CH141" s="285"/>
      <c r="CI141" s="285"/>
      <c r="CJ141" s="285"/>
      <c r="CK141" s="285"/>
      <c r="CL141" s="285"/>
      <c r="CM141" s="285"/>
      <c r="CN141" s="285"/>
      <c r="CO141" s="285"/>
      <c r="CP141" s="285"/>
      <c r="CQ141" s="285"/>
      <c r="CR141" s="285"/>
    </row>
    <row r="142" spans="1:96" ht="15.6">
      <c r="A142" s="285"/>
      <c r="B142" s="285"/>
      <c r="C142" s="285"/>
      <c r="D142" s="285"/>
      <c r="E142" s="285"/>
      <c r="F142" s="285"/>
      <c r="G142" s="285"/>
      <c r="H142" s="285"/>
      <c r="I142" s="285"/>
      <c r="J142" s="285"/>
      <c r="K142" s="285"/>
      <c r="L142" s="285"/>
      <c r="M142" s="285"/>
      <c r="N142" s="285"/>
      <c r="O142" s="285"/>
      <c r="P142" s="285"/>
      <c r="Q142" s="285"/>
      <c r="R142" s="285"/>
      <c r="S142" s="285"/>
      <c r="T142" s="285"/>
      <c r="U142" s="285"/>
      <c r="V142" s="285"/>
      <c r="W142" s="285"/>
      <c r="X142" s="285"/>
      <c r="Y142" s="285"/>
      <c r="Z142" s="285"/>
      <c r="AA142" s="285"/>
      <c r="AB142" s="285"/>
      <c r="AC142" s="285"/>
      <c r="AD142" s="285"/>
      <c r="AE142" s="285"/>
      <c r="AF142" s="285"/>
      <c r="AG142" s="285"/>
      <c r="AH142" s="285"/>
      <c r="AI142" s="285"/>
      <c r="AJ142" s="285"/>
      <c r="AK142" s="285"/>
      <c r="AL142" s="285"/>
      <c r="AM142" s="285"/>
      <c r="AN142" s="285"/>
      <c r="AO142" s="285"/>
      <c r="AP142" s="285"/>
      <c r="AQ142" s="285"/>
      <c r="AR142" s="285"/>
      <c r="AS142" s="285"/>
      <c r="AT142" s="285"/>
      <c r="AU142" s="285"/>
      <c r="AV142" s="285"/>
      <c r="AW142" s="285"/>
      <c r="AX142" s="285"/>
      <c r="AY142" s="285"/>
      <c r="AZ142" s="285"/>
      <c r="BA142" s="285"/>
      <c r="BB142" s="285"/>
      <c r="BC142" s="285"/>
      <c r="BD142" s="285"/>
      <c r="BE142" s="285"/>
      <c r="BF142" s="285"/>
      <c r="BG142" s="285"/>
      <c r="BH142" s="285"/>
      <c r="BI142" s="285"/>
      <c r="BJ142" s="285"/>
      <c r="BK142" s="285"/>
      <c r="BL142" s="285"/>
      <c r="BM142" s="285"/>
      <c r="BN142" s="285"/>
      <c r="BO142" s="285"/>
      <c r="BP142" s="285"/>
      <c r="BQ142" s="285"/>
      <c r="BR142" s="285"/>
      <c r="BS142" s="285"/>
      <c r="BT142" s="285"/>
      <c r="BU142" s="285"/>
      <c r="BV142" s="285"/>
      <c r="BW142" s="285"/>
      <c r="BX142" s="285"/>
      <c r="BY142" s="285"/>
      <c r="BZ142" s="285"/>
      <c r="CA142" s="285"/>
      <c r="CB142" s="285"/>
      <c r="CC142" s="285"/>
      <c r="CD142" s="285"/>
      <c r="CE142" s="285"/>
      <c r="CF142" s="285"/>
      <c r="CG142" s="285"/>
      <c r="CH142" s="285"/>
      <c r="CI142" s="285"/>
      <c r="CJ142" s="285"/>
      <c r="CK142" s="285"/>
      <c r="CL142" s="285"/>
      <c r="CM142" s="285"/>
      <c r="CN142" s="285"/>
      <c r="CO142" s="285"/>
      <c r="CP142" s="285"/>
      <c r="CQ142" s="285"/>
      <c r="CR142" s="285"/>
    </row>
    <row r="143" spans="1:96" ht="15.6">
      <c r="A143" s="285"/>
      <c r="B143" s="285"/>
      <c r="C143" s="285"/>
      <c r="D143" s="285"/>
      <c r="E143" s="285"/>
      <c r="F143" s="285"/>
      <c r="G143" s="285"/>
      <c r="H143" s="285"/>
      <c r="I143" s="285"/>
      <c r="J143" s="285"/>
      <c r="K143" s="285"/>
      <c r="L143" s="285"/>
      <c r="M143" s="285"/>
      <c r="N143" s="285"/>
      <c r="O143" s="285"/>
      <c r="P143" s="285"/>
      <c r="Q143" s="285"/>
      <c r="R143" s="285"/>
      <c r="S143" s="285"/>
      <c r="T143" s="285"/>
      <c r="U143" s="285"/>
      <c r="V143" s="285"/>
      <c r="W143" s="285"/>
      <c r="X143" s="285"/>
      <c r="Y143" s="285"/>
      <c r="Z143" s="285"/>
      <c r="AA143" s="285"/>
      <c r="AB143" s="285"/>
      <c r="AC143" s="285"/>
      <c r="AD143" s="285"/>
      <c r="AE143" s="285"/>
      <c r="AF143" s="285"/>
      <c r="AG143" s="285"/>
      <c r="AH143" s="285"/>
      <c r="AI143" s="285"/>
      <c r="AJ143" s="285"/>
      <c r="AK143" s="285"/>
      <c r="AL143" s="285"/>
      <c r="AM143" s="285"/>
      <c r="AN143" s="285"/>
      <c r="AO143" s="285"/>
      <c r="AP143" s="285"/>
      <c r="AQ143" s="285"/>
      <c r="AR143" s="285"/>
      <c r="AS143" s="285"/>
      <c r="AT143" s="285"/>
      <c r="AU143" s="285"/>
      <c r="AV143" s="285"/>
      <c r="AW143" s="285"/>
      <c r="AX143" s="285"/>
      <c r="AY143" s="285"/>
      <c r="AZ143" s="285"/>
      <c r="BA143" s="285"/>
      <c r="BB143" s="285"/>
      <c r="BC143" s="285"/>
      <c r="BD143" s="285"/>
      <c r="BE143" s="285"/>
      <c r="BF143" s="285"/>
      <c r="BG143" s="285"/>
      <c r="BH143" s="285"/>
      <c r="BI143" s="285"/>
      <c r="BJ143" s="285"/>
      <c r="BK143" s="285"/>
      <c r="BL143" s="285"/>
      <c r="BM143" s="285"/>
      <c r="BN143" s="285"/>
      <c r="BO143" s="285"/>
      <c r="BP143" s="285"/>
      <c r="BQ143" s="285"/>
      <c r="BR143" s="285"/>
      <c r="BS143" s="285"/>
      <c r="BT143" s="285"/>
      <c r="BU143" s="285"/>
      <c r="BV143" s="285"/>
      <c r="BW143" s="285"/>
      <c r="BX143" s="285"/>
      <c r="BY143" s="285"/>
      <c r="BZ143" s="285"/>
      <c r="CA143" s="285"/>
      <c r="CB143" s="285"/>
      <c r="CC143" s="285"/>
      <c r="CD143" s="285"/>
      <c r="CE143" s="285"/>
      <c r="CF143" s="285"/>
      <c r="CG143" s="285"/>
      <c r="CH143" s="285"/>
      <c r="CI143" s="285"/>
      <c r="CJ143" s="285"/>
      <c r="CK143" s="285"/>
      <c r="CL143" s="285"/>
      <c r="CM143" s="285"/>
      <c r="CN143" s="285"/>
      <c r="CO143" s="285"/>
      <c r="CP143" s="285"/>
      <c r="CQ143" s="285"/>
      <c r="CR143" s="285"/>
    </row>
    <row r="144" spans="1:96" ht="15.6">
      <c r="A144" s="285"/>
      <c r="B144" s="285"/>
      <c r="C144" s="285"/>
      <c r="D144" s="285"/>
      <c r="E144" s="285"/>
      <c r="F144" s="285"/>
      <c r="G144" s="285"/>
      <c r="H144" s="285"/>
      <c r="I144" s="285"/>
      <c r="J144" s="285"/>
      <c r="K144" s="285"/>
      <c r="L144" s="285"/>
      <c r="M144" s="285"/>
      <c r="N144" s="285"/>
      <c r="O144" s="285"/>
      <c r="P144" s="285"/>
      <c r="Q144" s="285"/>
      <c r="R144" s="285"/>
      <c r="S144" s="285"/>
      <c r="T144" s="285"/>
      <c r="U144" s="285"/>
      <c r="V144" s="285"/>
      <c r="W144" s="285"/>
      <c r="X144" s="285"/>
      <c r="Y144" s="285"/>
      <c r="Z144" s="285"/>
      <c r="AA144" s="285"/>
      <c r="AB144" s="285"/>
      <c r="AC144" s="285"/>
      <c r="AD144" s="285"/>
      <c r="AE144" s="285"/>
      <c r="AF144" s="285"/>
      <c r="AG144" s="285"/>
      <c r="AH144" s="285"/>
      <c r="AI144" s="285"/>
      <c r="AJ144" s="285"/>
      <c r="AK144" s="285"/>
      <c r="AL144" s="285"/>
      <c r="AM144" s="285"/>
      <c r="AN144" s="285"/>
      <c r="AO144" s="285"/>
      <c r="AP144" s="285"/>
      <c r="AQ144" s="285"/>
      <c r="AR144" s="285"/>
      <c r="AS144" s="285"/>
      <c r="AT144" s="285"/>
      <c r="AU144" s="285"/>
      <c r="AV144" s="285"/>
      <c r="AW144" s="285"/>
      <c r="AX144" s="285"/>
      <c r="AY144" s="285"/>
      <c r="AZ144" s="285"/>
      <c r="BA144" s="285"/>
      <c r="BB144" s="285"/>
      <c r="BC144" s="285"/>
      <c r="BD144" s="285"/>
      <c r="BE144" s="285"/>
      <c r="BF144" s="285"/>
      <c r="BG144" s="285"/>
      <c r="BH144" s="285"/>
      <c r="BI144" s="285"/>
      <c r="BJ144" s="285"/>
      <c r="BK144" s="285"/>
      <c r="BL144" s="285"/>
      <c r="BM144" s="285"/>
      <c r="BN144" s="285"/>
      <c r="BO144" s="285"/>
      <c r="BP144" s="285"/>
      <c r="BQ144" s="285"/>
      <c r="BR144" s="285"/>
      <c r="BS144" s="285"/>
      <c r="BT144" s="285"/>
      <c r="BU144" s="285"/>
      <c r="BV144" s="285"/>
      <c r="BW144" s="285"/>
      <c r="BX144" s="285"/>
      <c r="BY144" s="285"/>
      <c r="BZ144" s="285"/>
      <c r="CA144" s="285"/>
      <c r="CB144" s="285"/>
      <c r="CC144" s="285"/>
      <c r="CD144" s="285"/>
      <c r="CE144" s="285"/>
      <c r="CF144" s="285"/>
      <c r="CG144" s="285"/>
      <c r="CH144" s="285"/>
      <c r="CI144" s="285"/>
      <c r="CJ144" s="285"/>
      <c r="CK144" s="285"/>
      <c r="CL144" s="285"/>
      <c r="CM144" s="285"/>
      <c r="CN144" s="285"/>
      <c r="CO144" s="285"/>
      <c r="CP144" s="285"/>
      <c r="CQ144" s="285"/>
      <c r="CR144" s="285"/>
    </row>
    <row r="145" spans="1:96" ht="15.6">
      <c r="A145" s="285"/>
      <c r="B145" s="285"/>
      <c r="C145" s="285"/>
      <c r="D145" s="285"/>
      <c r="E145" s="285"/>
      <c r="F145" s="285"/>
      <c r="G145" s="285"/>
      <c r="H145" s="285"/>
      <c r="I145" s="285"/>
      <c r="J145" s="285"/>
      <c r="K145" s="285"/>
      <c r="L145" s="285"/>
      <c r="M145" s="285"/>
      <c r="N145" s="285"/>
      <c r="O145" s="285"/>
      <c r="P145" s="285"/>
      <c r="Q145" s="285"/>
      <c r="R145" s="285"/>
      <c r="S145" s="285"/>
      <c r="T145" s="285"/>
      <c r="U145" s="285"/>
      <c r="V145" s="285"/>
      <c r="W145" s="285"/>
      <c r="X145" s="285"/>
      <c r="Y145" s="285"/>
      <c r="Z145" s="285"/>
      <c r="AA145" s="285"/>
      <c r="AB145" s="285"/>
      <c r="AC145" s="285"/>
      <c r="AD145" s="285"/>
      <c r="AE145" s="285"/>
      <c r="AF145" s="285"/>
      <c r="AG145" s="285"/>
      <c r="AH145" s="285"/>
      <c r="AI145" s="285"/>
      <c r="AJ145" s="285"/>
      <c r="AK145" s="285"/>
      <c r="AL145" s="285"/>
      <c r="AM145" s="285"/>
      <c r="AN145" s="285"/>
      <c r="AO145" s="285"/>
      <c r="AP145" s="285"/>
      <c r="AQ145" s="285"/>
      <c r="AR145" s="285"/>
      <c r="AS145" s="285"/>
      <c r="AT145" s="285"/>
      <c r="AU145" s="285"/>
      <c r="AV145" s="285"/>
      <c r="AW145" s="285"/>
      <c r="AX145" s="285"/>
      <c r="AY145" s="285"/>
      <c r="AZ145" s="285"/>
      <c r="BA145" s="285"/>
      <c r="BB145" s="285"/>
      <c r="BC145" s="285"/>
      <c r="BD145" s="285"/>
      <c r="BE145" s="285"/>
      <c r="BF145" s="285"/>
      <c r="BG145" s="285"/>
      <c r="BH145" s="285"/>
      <c r="BI145" s="285"/>
      <c r="BJ145" s="285"/>
      <c r="BK145" s="285"/>
      <c r="BL145" s="285"/>
      <c r="BM145" s="285"/>
      <c r="BN145" s="285"/>
      <c r="BO145" s="285"/>
      <c r="BP145" s="285"/>
      <c r="BQ145" s="285"/>
      <c r="BR145" s="285"/>
      <c r="BS145" s="285"/>
      <c r="BT145" s="285"/>
      <c r="BU145" s="285"/>
      <c r="BV145" s="285"/>
      <c r="BW145" s="285"/>
      <c r="BX145" s="285"/>
      <c r="BY145" s="285"/>
      <c r="BZ145" s="285"/>
      <c r="CA145" s="285"/>
      <c r="CB145" s="285"/>
      <c r="CC145" s="285"/>
      <c r="CD145" s="285"/>
      <c r="CE145" s="285"/>
      <c r="CF145" s="285"/>
      <c r="CG145" s="285"/>
      <c r="CH145" s="285"/>
      <c r="CI145" s="285"/>
      <c r="CJ145" s="285"/>
      <c r="CK145" s="285"/>
      <c r="CL145" s="285"/>
      <c r="CM145" s="285"/>
      <c r="CN145" s="285"/>
      <c r="CO145" s="285"/>
      <c r="CP145" s="285"/>
      <c r="CQ145" s="285"/>
      <c r="CR145" s="285"/>
    </row>
    <row r="146" spans="1:96" ht="15.6">
      <c r="A146" s="285"/>
      <c r="B146" s="285"/>
      <c r="C146" s="285"/>
      <c r="D146" s="285"/>
      <c r="E146" s="285"/>
      <c r="F146" s="285"/>
      <c r="G146" s="285"/>
      <c r="H146" s="285"/>
      <c r="I146" s="285"/>
      <c r="J146" s="285"/>
      <c r="K146" s="285"/>
      <c r="L146" s="285"/>
      <c r="M146" s="285"/>
      <c r="N146" s="285"/>
      <c r="O146" s="285"/>
      <c r="P146" s="285"/>
      <c r="Q146" s="285"/>
      <c r="R146" s="285"/>
      <c r="S146" s="285"/>
      <c r="T146" s="285"/>
      <c r="U146" s="285"/>
      <c r="V146" s="285"/>
      <c r="W146" s="285"/>
      <c r="X146" s="285"/>
      <c r="Y146" s="285"/>
      <c r="Z146" s="285"/>
      <c r="AA146" s="285"/>
      <c r="AB146" s="285"/>
      <c r="AC146" s="285"/>
      <c r="AD146" s="285"/>
      <c r="AE146" s="285"/>
      <c r="AF146" s="285"/>
      <c r="AG146" s="285"/>
      <c r="AH146" s="285"/>
      <c r="AI146" s="285"/>
      <c r="AJ146" s="285"/>
      <c r="AK146" s="285"/>
      <c r="AL146" s="285"/>
      <c r="AM146" s="285"/>
      <c r="AN146" s="285"/>
      <c r="AO146" s="285"/>
      <c r="AP146" s="285"/>
      <c r="AQ146" s="285"/>
      <c r="AR146" s="285"/>
      <c r="AS146" s="285"/>
      <c r="AT146" s="285"/>
      <c r="AU146" s="285"/>
      <c r="AV146" s="285"/>
      <c r="AW146" s="285"/>
      <c r="AX146" s="285"/>
      <c r="AY146" s="285"/>
      <c r="AZ146" s="285"/>
      <c r="BA146" s="285"/>
      <c r="BB146" s="285"/>
      <c r="BC146" s="285"/>
      <c r="BD146" s="285"/>
      <c r="BE146" s="285"/>
      <c r="BF146" s="285"/>
      <c r="BG146" s="285"/>
      <c r="BH146" s="285"/>
      <c r="BI146" s="285"/>
      <c r="BJ146" s="285"/>
      <c r="BK146" s="285"/>
      <c r="BL146" s="285"/>
      <c r="BM146" s="285"/>
      <c r="BN146" s="285"/>
      <c r="BO146" s="285"/>
      <c r="BP146" s="285"/>
      <c r="BQ146" s="285"/>
      <c r="BR146" s="285"/>
      <c r="BS146" s="285"/>
      <c r="BT146" s="285"/>
      <c r="BU146" s="285"/>
      <c r="BV146" s="285"/>
      <c r="BW146" s="285"/>
      <c r="BX146" s="285"/>
      <c r="BY146" s="285"/>
      <c r="BZ146" s="285"/>
      <c r="CA146" s="285"/>
      <c r="CB146" s="285"/>
      <c r="CC146" s="285"/>
      <c r="CD146" s="285"/>
      <c r="CE146" s="285"/>
      <c r="CF146" s="285"/>
      <c r="CG146" s="285"/>
      <c r="CH146" s="285"/>
      <c r="CI146" s="285"/>
      <c r="CJ146" s="285"/>
      <c r="CK146" s="285"/>
      <c r="CL146" s="285"/>
      <c r="CM146" s="285"/>
      <c r="CN146" s="285"/>
      <c r="CO146" s="285"/>
      <c r="CP146" s="285"/>
      <c r="CQ146" s="285"/>
      <c r="CR146" s="285"/>
    </row>
    <row r="147" spans="1:96" ht="15.6">
      <c r="A147" s="285"/>
      <c r="B147" s="285"/>
      <c r="C147" s="285"/>
      <c r="D147" s="285"/>
      <c r="E147" s="285"/>
      <c r="F147" s="285"/>
      <c r="G147" s="285"/>
      <c r="H147" s="285"/>
      <c r="I147" s="285"/>
      <c r="J147" s="285"/>
      <c r="K147" s="285"/>
      <c r="L147" s="285"/>
      <c r="M147" s="285"/>
      <c r="N147" s="285"/>
      <c r="O147" s="285"/>
      <c r="P147" s="285"/>
      <c r="Q147" s="285"/>
      <c r="R147" s="285"/>
      <c r="S147" s="285"/>
      <c r="T147" s="285"/>
      <c r="U147" s="285"/>
      <c r="V147" s="285"/>
      <c r="W147" s="285"/>
      <c r="X147" s="285"/>
      <c r="Y147" s="285"/>
      <c r="Z147" s="285"/>
      <c r="AA147" s="285"/>
      <c r="AB147" s="285"/>
      <c r="AC147" s="285"/>
      <c r="AD147" s="285"/>
      <c r="AE147" s="285"/>
      <c r="AF147" s="285"/>
      <c r="AG147" s="285"/>
      <c r="AH147" s="285"/>
      <c r="AI147" s="285"/>
      <c r="AJ147" s="285"/>
      <c r="AK147" s="285"/>
      <c r="AL147" s="285"/>
      <c r="AM147" s="285"/>
      <c r="AN147" s="285"/>
      <c r="AO147" s="285"/>
      <c r="AP147" s="285"/>
      <c r="AQ147" s="285"/>
      <c r="AR147" s="285"/>
      <c r="AS147" s="285"/>
      <c r="AT147" s="285"/>
      <c r="AU147" s="285"/>
      <c r="AV147" s="285"/>
      <c r="AW147" s="285"/>
      <c r="AX147" s="285"/>
      <c r="AY147" s="285"/>
      <c r="AZ147" s="285"/>
      <c r="BA147" s="285"/>
      <c r="BB147" s="285"/>
      <c r="BC147" s="285"/>
      <c r="BD147" s="285"/>
      <c r="BE147" s="285"/>
      <c r="BF147" s="285"/>
      <c r="BG147" s="285"/>
      <c r="BH147" s="285"/>
      <c r="BI147" s="285"/>
      <c r="BJ147" s="285"/>
      <c r="BK147" s="285"/>
      <c r="BL147" s="285"/>
      <c r="BM147" s="285"/>
      <c r="BN147" s="285"/>
      <c r="BO147" s="285"/>
      <c r="BP147" s="285"/>
      <c r="BQ147" s="285"/>
      <c r="BR147" s="285"/>
      <c r="BS147" s="285"/>
      <c r="BT147" s="285"/>
      <c r="BU147" s="285"/>
      <c r="BV147" s="285"/>
      <c r="BW147" s="285"/>
      <c r="BX147" s="285"/>
      <c r="BY147" s="285"/>
      <c r="BZ147" s="285"/>
      <c r="CA147" s="285"/>
      <c r="CB147" s="285"/>
      <c r="CC147" s="285"/>
      <c r="CD147" s="285"/>
      <c r="CE147" s="285"/>
      <c r="CF147" s="285"/>
      <c r="CG147" s="285"/>
      <c r="CH147" s="285"/>
      <c r="CI147" s="285"/>
      <c r="CJ147" s="285"/>
      <c r="CK147" s="285"/>
      <c r="CL147" s="285"/>
      <c r="CM147" s="285"/>
      <c r="CN147" s="285"/>
      <c r="CO147" s="285"/>
      <c r="CP147" s="285"/>
      <c r="CQ147" s="285"/>
      <c r="CR147" s="285"/>
    </row>
    <row r="148" spans="1:96" ht="15.6">
      <c r="A148" s="285"/>
      <c r="B148" s="285"/>
      <c r="C148" s="285"/>
      <c r="D148" s="285"/>
      <c r="E148" s="285"/>
      <c r="F148" s="285"/>
      <c r="G148" s="285"/>
      <c r="H148" s="285"/>
      <c r="I148" s="285"/>
      <c r="J148" s="285"/>
      <c r="K148" s="285"/>
      <c r="L148" s="285"/>
      <c r="M148" s="285"/>
      <c r="N148" s="285"/>
      <c r="O148" s="285"/>
      <c r="P148" s="285"/>
      <c r="Q148" s="285"/>
      <c r="R148" s="285"/>
      <c r="S148" s="285"/>
      <c r="T148" s="285"/>
      <c r="U148" s="285"/>
      <c r="V148" s="285"/>
      <c r="W148" s="285"/>
      <c r="X148" s="285"/>
      <c r="Y148" s="285"/>
      <c r="Z148" s="285"/>
      <c r="AA148" s="285"/>
      <c r="AB148" s="285"/>
      <c r="AC148" s="285"/>
      <c r="AD148" s="285"/>
      <c r="AE148" s="285"/>
      <c r="AF148" s="285"/>
      <c r="AG148" s="285"/>
      <c r="AH148" s="285"/>
      <c r="AI148" s="285"/>
      <c r="AJ148" s="285"/>
      <c r="AK148" s="285"/>
      <c r="AL148" s="285"/>
      <c r="AM148" s="285"/>
      <c r="AN148" s="285"/>
      <c r="AO148" s="285"/>
      <c r="AP148" s="285"/>
      <c r="AQ148" s="285"/>
      <c r="AR148" s="285"/>
      <c r="AS148" s="285"/>
      <c r="AT148" s="285"/>
      <c r="AU148" s="285"/>
      <c r="AV148" s="285"/>
      <c r="AW148" s="285"/>
      <c r="AX148" s="285"/>
      <c r="AY148" s="285"/>
      <c r="AZ148" s="285"/>
      <c r="BA148" s="285"/>
      <c r="BB148" s="285"/>
      <c r="BC148" s="285"/>
      <c r="BD148" s="285"/>
      <c r="BE148" s="285"/>
      <c r="BF148" s="285"/>
      <c r="BG148" s="285"/>
      <c r="BH148" s="285"/>
      <c r="BI148" s="285"/>
      <c r="BJ148" s="285"/>
      <c r="BK148" s="285"/>
      <c r="BL148" s="285"/>
      <c r="BM148" s="285"/>
      <c r="BN148" s="285"/>
      <c r="BO148" s="285"/>
      <c r="BP148" s="285"/>
      <c r="BQ148" s="285"/>
      <c r="BR148" s="285"/>
      <c r="BS148" s="285"/>
      <c r="BT148" s="285"/>
      <c r="BU148" s="285"/>
      <c r="BV148" s="285"/>
      <c r="BW148" s="285"/>
      <c r="BX148" s="285"/>
      <c r="BY148" s="285"/>
      <c r="BZ148" s="285"/>
      <c r="CA148" s="285"/>
      <c r="CB148" s="285"/>
      <c r="CC148" s="285"/>
      <c r="CD148" s="285"/>
      <c r="CE148" s="285"/>
      <c r="CF148" s="285"/>
      <c r="CG148" s="285"/>
      <c r="CH148" s="285"/>
      <c r="CI148" s="285"/>
      <c r="CJ148" s="285"/>
      <c r="CK148" s="285"/>
      <c r="CL148" s="285"/>
      <c r="CM148" s="285"/>
      <c r="CN148" s="285"/>
      <c r="CO148" s="285"/>
      <c r="CP148" s="285"/>
      <c r="CQ148" s="285"/>
      <c r="CR148" s="285"/>
    </row>
    <row r="149" spans="1:96" ht="15.6">
      <c r="A149" s="285"/>
      <c r="B149" s="285"/>
      <c r="C149" s="285"/>
      <c r="D149" s="285"/>
      <c r="E149" s="285"/>
      <c r="F149" s="285"/>
      <c r="G149" s="285"/>
      <c r="H149" s="285"/>
      <c r="I149" s="285"/>
      <c r="J149" s="285"/>
      <c r="K149" s="285"/>
      <c r="L149" s="285"/>
      <c r="M149" s="285"/>
      <c r="N149" s="285"/>
      <c r="O149" s="285"/>
      <c r="P149" s="285"/>
      <c r="Q149" s="285"/>
      <c r="R149" s="285"/>
      <c r="S149" s="285"/>
      <c r="T149" s="285"/>
      <c r="U149" s="285"/>
      <c r="V149" s="285"/>
      <c r="W149" s="285"/>
      <c r="X149" s="285"/>
      <c r="Y149" s="285"/>
      <c r="Z149" s="285"/>
      <c r="AA149" s="285"/>
      <c r="AB149" s="285"/>
      <c r="AC149" s="285"/>
      <c r="AD149" s="285"/>
      <c r="AE149" s="285"/>
      <c r="AF149" s="285"/>
      <c r="AG149" s="285"/>
      <c r="AH149" s="285"/>
      <c r="AI149" s="285"/>
      <c r="AJ149" s="285"/>
      <c r="AK149" s="285"/>
      <c r="AL149" s="285"/>
      <c r="AM149" s="285"/>
      <c r="AN149" s="285"/>
      <c r="AO149" s="285"/>
      <c r="AP149" s="285"/>
      <c r="AQ149" s="285"/>
      <c r="AR149" s="285"/>
      <c r="AS149" s="285"/>
      <c r="AT149" s="285"/>
      <c r="AU149" s="285"/>
      <c r="AV149" s="285"/>
      <c r="AW149" s="285"/>
      <c r="AX149" s="285"/>
      <c r="AY149" s="285"/>
      <c r="AZ149" s="285"/>
      <c r="BA149" s="285"/>
      <c r="BB149" s="285"/>
      <c r="BC149" s="285"/>
      <c r="BD149" s="285"/>
      <c r="BE149" s="285"/>
      <c r="BF149" s="285"/>
      <c r="BG149" s="285"/>
      <c r="BH149" s="285"/>
      <c r="BI149" s="285"/>
      <c r="BJ149" s="285"/>
      <c r="BK149" s="285"/>
      <c r="BL149" s="285"/>
      <c r="BM149" s="285"/>
      <c r="BN149" s="285"/>
      <c r="BO149" s="285"/>
      <c r="BP149" s="285"/>
      <c r="BQ149" s="285"/>
      <c r="BR149" s="285"/>
      <c r="BS149" s="285"/>
      <c r="BT149" s="285"/>
      <c r="BU149" s="285"/>
      <c r="BV149" s="285"/>
      <c r="BW149" s="285"/>
      <c r="BX149" s="285"/>
      <c r="BY149" s="285"/>
      <c r="BZ149" s="285"/>
      <c r="CA149" s="285"/>
      <c r="CB149" s="285"/>
      <c r="CC149" s="285"/>
      <c r="CD149" s="285"/>
      <c r="CE149" s="285"/>
      <c r="CF149" s="285"/>
      <c r="CG149" s="285"/>
      <c r="CH149" s="285"/>
      <c r="CI149" s="285"/>
      <c r="CJ149" s="285"/>
      <c r="CK149" s="285"/>
      <c r="CL149" s="285"/>
      <c r="CM149" s="285"/>
      <c r="CN149" s="285"/>
      <c r="CO149" s="285"/>
      <c r="CP149" s="285"/>
      <c r="CQ149" s="285"/>
      <c r="CR149" s="285"/>
    </row>
    <row r="150" spans="1:96" ht="15.6">
      <c r="A150" s="285"/>
      <c r="B150" s="285"/>
      <c r="C150" s="285"/>
      <c r="D150" s="285"/>
      <c r="E150" s="285"/>
      <c r="F150" s="285"/>
      <c r="G150" s="285"/>
      <c r="H150" s="285"/>
      <c r="I150" s="285"/>
      <c r="J150" s="285"/>
      <c r="K150" s="285"/>
      <c r="L150" s="285"/>
      <c r="M150" s="285"/>
      <c r="N150" s="285"/>
      <c r="O150" s="285"/>
      <c r="P150" s="285"/>
      <c r="Q150" s="285"/>
      <c r="R150" s="285"/>
      <c r="S150" s="285"/>
      <c r="T150" s="285"/>
      <c r="U150" s="285"/>
      <c r="V150" s="285"/>
      <c r="W150" s="285"/>
      <c r="X150" s="285"/>
      <c r="Y150" s="285"/>
      <c r="Z150" s="285"/>
      <c r="AA150" s="285"/>
      <c r="AB150" s="285"/>
      <c r="AC150" s="285"/>
      <c r="AD150" s="285"/>
      <c r="AE150" s="285"/>
      <c r="AF150" s="285"/>
      <c r="AG150" s="285"/>
      <c r="AH150" s="285"/>
      <c r="AI150" s="285"/>
      <c r="AJ150" s="285"/>
      <c r="AK150" s="285"/>
      <c r="AL150" s="285"/>
      <c r="AM150" s="285"/>
      <c r="AN150" s="285"/>
      <c r="AO150" s="285"/>
      <c r="AP150" s="285"/>
      <c r="AQ150" s="285"/>
      <c r="AR150" s="285"/>
      <c r="AS150" s="285"/>
      <c r="AT150" s="285"/>
      <c r="AU150" s="285"/>
      <c r="AV150" s="285"/>
      <c r="AW150" s="285"/>
      <c r="AX150" s="285"/>
      <c r="AY150" s="285"/>
      <c r="AZ150" s="285"/>
      <c r="BA150" s="285"/>
      <c r="BB150" s="285"/>
      <c r="BC150" s="285"/>
      <c r="BD150" s="285"/>
      <c r="BE150" s="285"/>
      <c r="BF150" s="285"/>
      <c r="BG150" s="285"/>
      <c r="BH150" s="285"/>
      <c r="BI150" s="285"/>
      <c r="BJ150" s="285"/>
      <c r="BK150" s="285"/>
      <c r="BL150" s="285"/>
      <c r="BM150" s="285"/>
      <c r="BN150" s="285"/>
      <c r="BO150" s="285"/>
      <c r="BP150" s="285"/>
      <c r="BQ150" s="285"/>
      <c r="BR150" s="285"/>
      <c r="BS150" s="285"/>
      <c r="BT150" s="285"/>
      <c r="BU150" s="285"/>
      <c r="BV150" s="285"/>
      <c r="BW150" s="285"/>
      <c r="BX150" s="285"/>
      <c r="BY150" s="285"/>
      <c r="BZ150" s="285"/>
      <c r="CA150" s="285"/>
      <c r="CB150" s="285"/>
      <c r="CC150" s="285"/>
      <c r="CD150" s="285"/>
      <c r="CE150" s="285"/>
      <c r="CF150" s="285"/>
      <c r="CG150" s="285"/>
      <c r="CH150" s="285"/>
      <c r="CI150" s="285"/>
      <c r="CJ150" s="285"/>
      <c r="CK150" s="285"/>
      <c r="CL150" s="285"/>
      <c r="CM150" s="285"/>
      <c r="CN150" s="285"/>
      <c r="CO150" s="285"/>
      <c r="CP150" s="285"/>
      <c r="CQ150" s="285"/>
      <c r="CR150" s="285"/>
    </row>
    <row r="151" spans="1:96" ht="15.6">
      <c r="A151" s="285"/>
      <c r="B151" s="285"/>
      <c r="C151" s="285"/>
      <c r="D151" s="285"/>
      <c r="E151" s="285"/>
      <c r="F151" s="285"/>
      <c r="G151" s="285"/>
      <c r="H151" s="285"/>
      <c r="I151" s="285"/>
      <c r="J151" s="285"/>
      <c r="K151" s="285"/>
      <c r="L151" s="285"/>
      <c r="M151" s="285"/>
      <c r="N151" s="285"/>
      <c r="O151" s="285"/>
      <c r="P151" s="285"/>
      <c r="Q151" s="285"/>
      <c r="R151" s="285"/>
      <c r="S151" s="285"/>
      <c r="T151" s="285"/>
      <c r="U151" s="285"/>
      <c r="V151" s="285"/>
      <c r="W151" s="285"/>
      <c r="X151" s="285"/>
      <c r="Y151" s="285"/>
      <c r="Z151" s="285"/>
      <c r="AA151" s="285"/>
      <c r="AB151" s="285"/>
      <c r="AC151" s="285"/>
      <c r="AD151" s="285"/>
      <c r="AE151" s="285"/>
      <c r="AF151" s="285"/>
      <c r="AG151" s="285"/>
      <c r="AH151" s="285"/>
      <c r="AI151" s="285"/>
      <c r="AJ151" s="285"/>
      <c r="AK151" s="285"/>
      <c r="AL151" s="285"/>
      <c r="AM151" s="285"/>
      <c r="AN151" s="285"/>
      <c r="AO151" s="285"/>
      <c r="AP151" s="285"/>
      <c r="AQ151" s="285"/>
      <c r="AR151" s="285"/>
      <c r="AS151" s="285"/>
      <c r="AT151" s="285"/>
      <c r="AU151" s="285"/>
      <c r="AV151" s="285"/>
      <c r="AW151" s="285"/>
      <c r="AX151" s="285"/>
      <c r="AY151" s="285"/>
      <c r="AZ151" s="285"/>
      <c r="BA151" s="285"/>
      <c r="BB151" s="285"/>
      <c r="BC151" s="285"/>
      <c r="BD151" s="285"/>
      <c r="BE151" s="285"/>
      <c r="BF151" s="285"/>
      <c r="BG151" s="285"/>
      <c r="BH151" s="285"/>
      <c r="BI151" s="285"/>
      <c r="BJ151" s="285"/>
      <c r="BK151" s="285"/>
      <c r="BL151" s="285"/>
      <c r="BM151" s="285"/>
      <c r="BN151" s="285"/>
      <c r="BO151" s="285"/>
      <c r="BP151" s="285"/>
      <c r="BQ151" s="285"/>
      <c r="BR151" s="285"/>
      <c r="BS151" s="285"/>
      <c r="BT151" s="285"/>
      <c r="BU151" s="285"/>
      <c r="BV151" s="285"/>
      <c r="BW151" s="285"/>
      <c r="BX151" s="285"/>
      <c r="BY151" s="285"/>
      <c r="BZ151" s="285"/>
      <c r="CA151" s="285"/>
      <c r="CB151" s="285"/>
      <c r="CC151" s="285"/>
      <c r="CD151" s="285"/>
      <c r="CE151" s="285"/>
      <c r="CF151" s="285"/>
      <c r="CG151" s="285"/>
      <c r="CH151" s="285"/>
      <c r="CI151" s="285"/>
      <c r="CJ151" s="285"/>
      <c r="CK151" s="285"/>
      <c r="CL151" s="285"/>
      <c r="CM151" s="285"/>
      <c r="CN151" s="285"/>
      <c r="CO151" s="285"/>
      <c r="CP151" s="285"/>
      <c r="CQ151" s="285"/>
      <c r="CR151" s="285"/>
    </row>
    <row r="152" spans="1:96" ht="15.6">
      <c r="A152" s="285"/>
      <c r="B152" s="285"/>
      <c r="C152" s="285"/>
      <c r="D152" s="285"/>
      <c r="E152" s="285"/>
      <c r="F152" s="285"/>
      <c r="G152" s="285"/>
      <c r="H152" s="285"/>
      <c r="I152" s="285"/>
      <c r="J152" s="285"/>
      <c r="K152" s="285"/>
      <c r="L152" s="285"/>
      <c r="M152" s="285"/>
      <c r="N152" s="285"/>
      <c r="O152" s="285"/>
      <c r="P152" s="285"/>
      <c r="Q152" s="285"/>
      <c r="R152" s="285"/>
      <c r="S152" s="285"/>
      <c r="T152" s="285"/>
      <c r="U152" s="285"/>
      <c r="V152" s="285"/>
      <c r="W152" s="285"/>
      <c r="X152" s="285"/>
      <c r="Y152" s="285"/>
      <c r="Z152" s="285"/>
      <c r="AA152" s="285"/>
      <c r="AB152" s="285"/>
      <c r="AC152" s="285"/>
      <c r="AD152" s="285"/>
      <c r="AE152" s="285"/>
      <c r="AF152" s="285"/>
      <c r="AG152" s="285"/>
      <c r="AH152" s="285"/>
      <c r="AI152" s="285"/>
      <c r="AJ152" s="285"/>
      <c r="AK152" s="285"/>
      <c r="AL152" s="285"/>
      <c r="AM152" s="285"/>
      <c r="AN152" s="285"/>
      <c r="AO152" s="285"/>
      <c r="AP152" s="285"/>
      <c r="AQ152" s="285"/>
      <c r="AR152" s="285"/>
      <c r="AS152" s="285"/>
      <c r="AT152" s="285"/>
      <c r="AU152" s="285"/>
      <c r="AV152" s="285"/>
      <c r="AW152" s="285"/>
      <c r="AX152" s="285"/>
      <c r="AY152" s="285"/>
      <c r="AZ152" s="285"/>
      <c r="BA152" s="285"/>
      <c r="BB152" s="285"/>
      <c r="BC152" s="285"/>
      <c r="BD152" s="285"/>
      <c r="BE152" s="285"/>
      <c r="BF152" s="285"/>
      <c r="BG152" s="285"/>
      <c r="BH152" s="285"/>
      <c r="BI152" s="285"/>
      <c r="BJ152" s="285"/>
      <c r="BK152" s="285"/>
      <c r="BL152" s="285"/>
      <c r="BM152" s="285"/>
      <c r="BN152" s="285"/>
      <c r="BO152" s="285"/>
      <c r="BP152" s="285"/>
      <c r="BQ152" s="285"/>
      <c r="BR152" s="285"/>
      <c r="BS152" s="285"/>
      <c r="BT152" s="285"/>
      <c r="BU152" s="285"/>
      <c r="BV152" s="285"/>
      <c r="BW152" s="285"/>
      <c r="BX152" s="285"/>
      <c r="BY152" s="285"/>
      <c r="BZ152" s="285"/>
      <c r="CA152" s="285"/>
      <c r="CB152" s="285"/>
      <c r="CC152" s="285"/>
      <c r="CD152" s="285"/>
      <c r="CE152" s="285"/>
      <c r="CF152" s="285"/>
      <c r="CG152" s="285"/>
      <c r="CH152" s="285"/>
      <c r="CI152" s="285"/>
      <c r="CJ152" s="285"/>
      <c r="CK152" s="285"/>
      <c r="CL152" s="285"/>
      <c r="CM152" s="285"/>
      <c r="CN152" s="285"/>
      <c r="CO152" s="285"/>
      <c r="CP152" s="285"/>
      <c r="CQ152" s="285"/>
      <c r="CR152" s="285"/>
    </row>
    <row r="153" spans="1:96" ht="15.6">
      <c r="A153" s="285"/>
      <c r="B153" s="285"/>
      <c r="C153" s="285"/>
      <c r="D153" s="285"/>
      <c r="E153" s="285"/>
      <c r="F153" s="285"/>
      <c r="G153" s="285"/>
      <c r="H153" s="285"/>
      <c r="I153" s="285"/>
      <c r="J153" s="285"/>
      <c r="K153" s="285"/>
      <c r="L153" s="285"/>
      <c r="M153" s="285"/>
      <c r="N153" s="285"/>
      <c r="O153" s="285"/>
      <c r="P153" s="285"/>
      <c r="Q153" s="285"/>
      <c r="R153" s="285"/>
      <c r="S153" s="285"/>
      <c r="T153" s="285"/>
      <c r="U153" s="285"/>
      <c r="V153" s="285"/>
      <c r="W153" s="285"/>
      <c r="X153" s="285"/>
      <c r="Y153" s="285"/>
      <c r="Z153" s="285"/>
      <c r="AA153" s="285"/>
      <c r="AB153" s="285"/>
      <c r="AC153" s="285"/>
      <c r="AD153" s="285"/>
      <c r="AE153" s="285"/>
      <c r="AF153" s="285"/>
      <c r="AG153" s="285"/>
      <c r="AH153" s="285"/>
      <c r="AI153" s="285"/>
      <c r="AJ153" s="285"/>
      <c r="AK153" s="285"/>
      <c r="AL153" s="285"/>
      <c r="AM153" s="285"/>
      <c r="AN153" s="285"/>
      <c r="AO153" s="285"/>
      <c r="AP153" s="285"/>
      <c r="AQ153" s="285"/>
      <c r="AR153" s="285"/>
      <c r="AS153" s="285"/>
      <c r="AT153" s="285"/>
      <c r="AU153" s="285"/>
      <c r="AV153" s="285"/>
      <c r="AW153" s="285"/>
      <c r="AX153" s="285"/>
      <c r="AY153" s="285"/>
      <c r="AZ153" s="285"/>
      <c r="BA153" s="285"/>
      <c r="BB153" s="285"/>
      <c r="BC153" s="285"/>
      <c r="BD153" s="285"/>
      <c r="BE153" s="285"/>
      <c r="BF153" s="285"/>
      <c r="BG153" s="285"/>
      <c r="BH153" s="285"/>
      <c r="BI153" s="285"/>
      <c r="BJ153" s="285"/>
      <c r="BK153" s="285"/>
      <c r="BL153" s="285"/>
      <c r="BM153" s="285"/>
      <c r="BN153" s="285"/>
      <c r="BO153" s="285"/>
      <c r="BP153" s="285"/>
      <c r="BQ153" s="285"/>
      <c r="BR153" s="285"/>
      <c r="BS153" s="285"/>
      <c r="BT153" s="285"/>
      <c r="BU153" s="285"/>
      <c r="BV153" s="285"/>
      <c r="BW153" s="285"/>
      <c r="BX153" s="285"/>
      <c r="BY153" s="285"/>
      <c r="BZ153" s="285"/>
      <c r="CA153" s="285"/>
      <c r="CB153" s="285"/>
      <c r="CC153" s="285"/>
      <c r="CD153" s="285"/>
      <c r="CE153" s="285"/>
      <c r="CF153" s="285"/>
      <c r="CG153" s="285"/>
      <c r="CH153" s="285"/>
      <c r="CI153" s="285"/>
      <c r="CJ153" s="285"/>
      <c r="CK153" s="285"/>
      <c r="CL153" s="285"/>
      <c r="CM153" s="285"/>
      <c r="CN153" s="285"/>
      <c r="CO153" s="285"/>
      <c r="CP153" s="285"/>
      <c r="CQ153" s="285"/>
      <c r="CR153" s="285"/>
    </row>
    <row r="154" spans="1:96" ht="15.6">
      <c r="A154" s="285"/>
      <c r="B154" s="285"/>
      <c r="C154" s="285"/>
      <c r="D154" s="285"/>
      <c r="E154" s="285"/>
      <c r="F154" s="285"/>
      <c r="G154" s="285"/>
      <c r="H154" s="285"/>
      <c r="I154" s="285"/>
      <c r="J154" s="285"/>
      <c r="K154" s="285"/>
      <c r="L154" s="285"/>
      <c r="M154" s="285"/>
      <c r="N154" s="285"/>
      <c r="O154" s="285"/>
      <c r="P154" s="285"/>
      <c r="Q154" s="285"/>
      <c r="R154" s="285"/>
      <c r="S154" s="285"/>
      <c r="T154" s="285"/>
      <c r="U154" s="285"/>
      <c r="V154" s="285"/>
      <c r="W154" s="285"/>
      <c r="X154" s="285"/>
      <c r="Y154" s="285"/>
      <c r="Z154" s="285"/>
      <c r="AA154" s="285"/>
      <c r="AB154" s="285"/>
      <c r="AC154" s="285"/>
      <c r="AD154" s="285"/>
      <c r="AE154" s="285"/>
      <c r="AF154" s="285"/>
      <c r="AG154" s="285"/>
      <c r="AH154" s="285"/>
      <c r="AI154" s="285"/>
      <c r="AJ154" s="285"/>
      <c r="AK154" s="285"/>
      <c r="AL154" s="285"/>
      <c r="AM154" s="285"/>
      <c r="AN154" s="285"/>
      <c r="AO154" s="285"/>
      <c r="AP154" s="285"/>
      <c r="AQ154" s="285"/>
      <c r="AR154" s="285"/>
      <c r="AS154" s="285"/>
      <c r="AT154" s="285"/>
      <c r="AU154" s="285"/>
      <c r="AV154" s="285"/>
      <c r="AW154" s="285"/>
      <c r="AX154" s="285"/>
      <c r="AY154" s="285"/>
      <c r="AZ154" s="285"/>
      <c r="BA154" s="285"/>
      <c r="BB154" s="285"/>
      <c r="BC154" s="285"/>
      <c r="BD154" s="285"/>
      <c r="BE154" s="285"/>
      <c r="BF154" s="285"/>
      <c r="BG154" s="285"/>
      <c r="BH154" s="285"/>
      <c r="BI154" s="285"/>
      <c r="BJ154" s="285"/>
      <c r="BK154" s="285"/>
      <c r="BL154" s="285"/>
      <c r="BM154" s="285"/>
      <c r="BN154" s="285"/>
      <c r="BO154" s="285"/>
      <c r="BP154" s="285"/>
      <c r="BQ154" s="285"/>
      <c r="BR154" s="285"/>
      <c r="BS154" s="285"/>
      <c r="BT154" s="285"/>
      <c r="BU154" s="285"/>
      <c r="BV154" s="285"/>
      <c r="BW154" s="285"/>
      <c r="BX154" s="285"/>
      <c r="BY154" s="285"/>
      <c r="BZ154" s="285"/>
      <c r="CA154" s="285"/>
      <c r="CB154" s="285"/>
      <c r="CC154" s="285"/>
      <c r="CD154" s="285"/>
      <c r="CE154" s="285"/>
      <c r="CF154" s="285"/>
      <c r="CG154" s="285"/>
      <c r="CH154" s="285"/>
      <c r="CI154" s="285"/>
      <c r="CJ154" s="285"/>
      <c r="CK154" s="285"/>
      <c r="CL154" s="285"/>
      <c r="CM154" s="285"/>
      <c r="CN154" s="285"/>
      <c r="CO154" s="285"/>
      <c r="CP154" s="285"/>
      <c r="CQ154" s="285"/>
      <c r="CR154" s="285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2" manualBreakCount="2">
    <brk id="106" max="65535" man="1"/>
    <brk id="149" max="6553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zoomScale="75" zoomScaleNormal="100" workbookViewId="0">
      <selection activeCell="C7" sqref="C7"/>
    </sheetView>
  </sheetViews>
  <sheetFormatPr defaultRowHeight="15.6"/>
  <cols>
    <col min="2" max="2" width="9.36328125" bestFit="1" customWidth="1"/>
  </cols>
  <sheetData>
    <row r="1" spans="1:39">
      <c r="A1" s="777" t="s">
        <v>421</v>
      </c>
      <c r="D1" s="772">
        <f>'ENA IDC'!D8</f>
        <v>36474</v>
      </c>
      <c r="E1" s="772">
        <f>'ENA IDC'!E8</f>
        <v>36495</v>
      </c>
      <c r="F1" s="772">
        <f>'ENA IDC'!F8</f>
        <v>36526</v>
      </c>
      <c r="G1" s="772">
        <f>'ENA IDC'!G8</f>
        <v>36557</v>
      </c>
      <c r="H1" s="772">
        <f>'ENA IDC'!H8</f>
        <v>36586</v>
      </c>
      <c r="I1" s="772">
        <f>'ENA IDC'!I8</f>
        <v>36617</v>
      </c>
      <c r="J1" s="772">
        <f>'ENA IDC'!J8</f>
        <v>36647</v>
      </c>
      <c r="K1" s="772">
        <f>'ENA IDC'!K8</f>
        <v>36678</v>
      </c>
      <c r="L1" s="772">
        <f>'ENA IDC'!L8</f>
        <v>36708</v>
      </c>
      <c r="M1" s="772">
        <f>'ENA IDC'!M8</f>
        <v>36739</v>
      </c>
      <c r="N1" s="772">
        <f>'ENA IDC'!N8</f>
        <v>36770</v>
      </c>
      <c r="O1" s="772">
        <f>'ENA IDC'!O8</f>
        <v>36800</v>
      </c>
      <c r="P1" s="772">
        <f>'ENA IDC'!P8</f>
        <v>36831</v>
      </c>
      <c r="Q1" s="772">
        <f>'ENA IDC'!Q8</f>
        <v>36861</v>
      </c>
      <c r="R1" s="772">
        <f>'ENA IDC'!R8</f>
        <v>36892</v>
      </c>
      <c r="S1" s="772">
        <f>'ENA IDC'!S8</f>
        <v>36923</v>
      </c>
      <c r="T1" s="772">
        <v>37073</v>
      </c>
      <c r="U1" s="772">
        <v>37438</v>
      </c>
      <c r="V1" s="772">
        <v>37803</v>
      </c>
      <c r="W1" s="772">
        <v>38169</v>
      </c>
      <c r="X1" s="772">
        <v>38534</v>
      </c>
      <c r="Y1" s="772">
        <v>38899</v>
      </c>
      <c r="Z1" s="772">
        <v>39264</v>
      </c>
      <c r="AA1" s="772">
        <v>39630</v>
      </c>
      <c r="AB1" s="772">
        <v>39995</v>
      </c>
      <c r="AC1" s="772">
        <v>40360</v>
      </c>
      <c r="AD1" s="772">
        <v>40725</v>
      </c>
      <c r="AE1" s="772">
        <v>41091</v>
      </c>
      <c r="AF1" s="772">
        <v>41456</v>
      </c>
      <c r="AG1" s="772">
        <v>41821</v>
      </c>
      <c r="AH1" s="772">
        <v>42186</v>
      </c>
      <c r="AI1" s="772">
        <v>42552</v>
      </c>
      <c r="AJ1" s="772">
        <v>42917</v>
      </c>
      <c r="AK1" s="772">
        <v>43282</v>
      </c>
      <c r="AL1" s="772">
        <v>43647</v>
      </c>
      <c r="AM1" s="772">
        <v>44013</v>
      </c>
    </row>
    <row r="3" spans="1:39">
      <c r="A3" t="s">
        <v>416</v>
      </c>
      <c r="D3" s="774">
        <f ca="1">-'ENA IDC'!D69</f>
        <v>-13111.953688293142</v>
      </c>
      <c r="E3" s="774">
        <f ca="1">-'ENA IDC'!E69</f>
        <v>-7313.5196917428566</v>
      </c>
      <c r="F3" s="774">
        <f ca="1">-'ENA IDC'!F69</f>
        <v>-7313.5196917428566</v>
      </c>
      <c r="G3" s="774">
        <f ca="1">-'ENA IDC'!G69</f>
        <v>-7313.5196917428566</v>
      </c>
      <c r="H3" s="774">
        <f ca="1">-'ENA IDC'!H69</f>
        <v>-8630.5196917428566</v>
      </c>
      <c r="I3" s="774">
        <f ca="1">-'ENA IDC'!I69</f>
        <v>43683.032455264562</v>
      </c>
      <c r="J3" s="774">
        <f ca="1">-'ENA IDC'!J69</f>
        <v>165.54187326881177</v>
      </c>
      <c r="K3" s="774">
        <f ca="1">-'ENA IDC'!K69</f>
        <v>141.87234134113677</v>
      </c>
      <c r="L3" s="774">
        <f ca="1">-'ENA IDC'!L69</f>
        <v>114.65317456759034</v>
      </c>
      <c r="M3" s="774">
        <f ca="1">-'ENA IDC'!M69</f>
        <v>87.434007794043893</v>
      </c>
      <c r="N3" s="774">
        <f ca="1">-'ENA IDC'!N69</f>
        <v>47.081192090773158</v>
      </c>
      <c r="O3" s="774">
        <f ca="1">-'ENA IDC'!O69</f>
        <v>-4718.2716236124979</v>
      </c>
      <c r="P3" s="774">
        <f ca="1">-'ENA IDC'!P69</f>
        <v>-15473.346975167799</v>
      </c>
      <c r="Q3" s="774">
        <f ca="1">-'ENA IDC'!Q69</f>
        <v>-11408.741554774104</v>
      </c>
      <c r="R3" s="774">
        <f ca="1">-'ENA IDC'!R69</f>
        <v>-11408.741554774104</v>
      </c>
      <c r="S3" s="774">
        <f ca="1">-'ENA IDC'!S69</f>
        <v>-13104.806205167926</v>
      </c>
      <c r="T3" s="774">
        <f ca="1">-'ENA IDC'!T69</f>
        <v>0</v>
      </c>
    </row>
    <row r="4" spans="1:39">
      <c r="A4" t="s">
        <v>417</v>
      </c>
      <c r="D4" s="775">
        <v>0</v>
      </c>
      <c r="E4" s="775">
        <v>0</v>
      </c>
      <c r="F4" s="775">
        <v>0</v>
      </c>
      <c r="G4" s="775">
        <v>0</v>
      </c>
      <c r="H4" s="775">
        <v>0</v>
      </c>
      <c r="I4" s="775">
        <v>0</v>
      </c>
      <c r="J4" s="775">
        <v>0</v>
      </c>
      <c r="K4" s="775">
        <v>0</v>
      </c>
      <c r="L4" s="775">
        <v>0</v>
      </c>
      <c r="M4" s="775">
        <v>0</v>
      </c>
      <c r="N4" s="775">
        <v>0</v>
      </c>
      <c r="O4" s="776">
        <f ca="1">'CSHFLO-ENA'!C36+0.5*OandM!C11*(1-'TAXES-ENA'!C26)</f>
        <v>9847.1464803670533</v>
      </c>
      <c r="P4" s="775">
        <v>0</v>
      </c>
      <c r="Q4" s="775">
        <v>0</v>
      </c>
      <c r="R4" s="775">
        <f>0</f>
        <v>0</v>
      </c>
      <c r="S4" s="775">
        <v>0</v>
      </c>
      <c r="T4" s="776">
        <f ca="1">'CSHFLO-ENA'!D36+0.5*OandM!D11*(1-'TAXES-ENA'!D26-'ASSUM 1'!$N$40)</f>
        <v>16019.501061718584</v>
      </c>
      <c r="U4" s="776">
        <f ca="1">'CSHFLO-ENA'!E36+0.5*OandM!E11*(1-'TAXES-ENA'!E26-'ASSUM 1'!$N$40)</f>
        <v>14473.731836136832</v>
      </c>
      <c r="V4" s="776">
        <f ca="1">'CSHFLO-ENA'!F36+0.5*OandM!F11*(1-'TAXES-ENA'!F26-'ASSUM 1'!$N$40)</f>
        <v>14384.630533273108</v>
      </c>
      <c r="W4" s="776">
        <f ca="1">'CSHFLO-ENA'!G36+0.5*OandM!G11*(1-'TAXES-ENA'!G26-'ASSUM 1'!$N$40)</f>
        <v>13902.334259907049</v>
      </c>
      <c r="X4" s="776">
        <f ca="1">'CSHFLO-ENA'!H36+0.5*OandM!H11*(1-'TAXES-ENA'!H26-'ASSUM 1'!$N$40)</f>
        <v>7639.3590864413354</v>
      </c>
      <c r="Y4" s="776">
        <f ca="1">'CSHFLO-ENA'!I36+0.5*OandM!I11*(1-'TAXES-ENA'!I26-'ASSUM 1'!$N$40)</f>
        <v>10565.114458763555</v>
      </c>
      <c r="Z4" s="776">
        <f ca="1">'CSHFLO-ENA'!J36+0.5*OandM!J11*(1-'TAXES-ENA'!J26-'ASSUM 1'!$N$40)</f>
        <v>15550.801249968543</v>
      </c>
      <c r="AA4" s="776">
        <f ca="1">'CSHFLO-ENA'!K36+0.5*OandM!K11*(1-'TAXES-ENA'!K26-'ASSUM 1'!$N$40)</f>
        <v>14736.826832773533</v>
      </c>
      <c r="AB4" s="776">
        <f ca="1">'CSHFLO-ENA'!L36+0.5*OandM!L11*(1-'TAXES-ENA'!L26-'ASSUM 1'!$N$40)</f>
        <v>13726.34249228228</v>
      </c>
      <c r="AC4" s="776">
        <f ca="1">'CSHFLO-ENA'!M36+0.5*OandM!M11*(1-'TAXES-ENA'!M26-'ASSUM 1'!$N$40)</f>
        <v>12887.318187849345</v>
      </c>
      <c r="AD4" s="776">
        <f ca="1">'CSHFLO-ENA'!N36+0.5*OandM!N11*(1-'TAXES-ENA'!N26-'ASSUM 1'!$N$40)</f>
        <v>12178.122899752751</v>
      </c>
      <c r="AE4" s="776">
        <f ca="1">'CSHFLO-ENA'!O36+0.5*OandM!O11*(1-'TAXES-ENA'!O26-'ASSUM 1'!$N$40)</f>
        <v>11603.892866121245</v>
      </c>
      <c r="AF4" s="776">
        <f ca="1">'CSHFLO-ENA'!P36+0.5*OandM!P11*(1-'TAXES-ENA'!P26-'ASSUM 1'!$N$40)</f>
        <v>10160.190404752582</v>
      </c>
      <c r="AG4" s="776">
        <f ca="1">'CSHFLO-ENA'!Q36+0.5*OandM!Q11*(1-'TAXES-ENA'!Q26-'ASSUM 1'!$N$40)</f>
        <v>12626.017039867618</v>
      </c>
      <c r="AH4" s="776">
        <f ca="1">'CSHFLO-ENA'!R36+0.5*OandM!R11*(1-'TAXES-ENA'!R26-'ASSUM 1'!$N$40)</f>
        <v>14798.063347379155</v>
      </c>
      <c r="AI4" s="776">
        <f ca="1">'CSHFLO-ENA'!S36+0.5*OandM!S11*(1-'TAXES-ENA'!S26-'ASSUM 1'!$N$40)</f>
        <v>16907.631364347402</v>
      </c>
      <c r="AJ4" s="776">
        <f ca="1">'CSHFLO-ENA'!T36+0.5*OandM!T11*(1-'TAXES-ENA'!T26-'ASSUM 1'!$N$40)</f>
        <v>17744.230903813157</v>
      </c>
      <c r="AK4" s="776">
        <f ca="1">'CSHFLO-ENA'!U36+0.5*OandM!U11*(1-'TAXES-ENA'!U26-'ASSUM 1'!$N$40)</f>
        <v>23173.643194347987</v>
      </c>
      <c r="AL4" s="776">
        <f ca="1">'CSHFLO-ENA'!V36+0.5*OandM!V11*(1-'TAXES-ENA'!V26-'ASSUM 1'!$N$40)</f>
        <v>35601.962633425297</v>
      </c>
      <c r="AM4" s="776">
        <f>'CSHFLO-ENA'!W36+0.5*OandM!W11*(1-'TAXES-ENA'!W26-'ASSUM 1'!$N$40)</f>
        <v>0</v>
      </c>
    </row>
    <row r="5" spans="1:39">
      <c r="A5" t="s">
        <v>420</v>
      </c>
      <c r="D5" s="774">
        <f ca="1">SUM(D3:D4)</f>
        <v>-13111.953688293142</v>
      </c>
      <c r="E5" s="774">
        <f t="shared" ref="E5:AM5" ca="1" si="0">SUM(E3:E4)</f>
        <v>-7313.5196917428566</v>
      </c>
      <c r="F5" s="774">
        <f t="shared" ca="1" si="0"/>
        <v>-7313.5196917428566</v>
      </c>
      <c r="G5" s="774">
        <f t="shared" ca="1" si="0"/>
        <v>-7313.5196917428566</v>
      </c>
      <c r="H5" s="774">
        <f t="shared" ca="1" si="0"/>
        <v>-8630.5196917428566</v>
      </c>
      <c r="I5" s="774">
        <f t="shared" ca="1" si="0"/>
        <v>43683.032455264562</v>
      </c>
      <c r="J5" s="774">
        <f t="shared" ca="1" si="0"/>
        <v>165.54187326881177</v>
      </c>
      <c r="K5" s="774">
        <f t="shared" ca="1" si="0"/>
        <v>141.87234134113677</v>
      </c>
      <c r="L5" s="774">
        <f t="shared" ca="1" si="0"/>
        <v>114.65317456759034</v>
      </c>
      <c r="M5" s="774">
        <f t="shared" ca="1" si="0"/>
        <v>87.434007794043893</v>
      </c>
      <c r="N5" s="774">
        <f t="shared" ca="1" si="0"/>
        <v>47.081192090773158</v>
      </c>
      <c r="O5" s="774">
        <f t="shared" ca="1" si="0"/>
        <v>5128.8748567545554</v>
      </c>
      <c r="P5" s="774">
        <f t="shared" ca="1" si="0"/>
        <v>-15473.346975167799</v>
      </c>
      <c r="Q5" s="774">
        <f t="shared" ca="1" si="0"/>
        <v>-11408.741554774104</v>
      </c>
      <c r="R5" s="774">
        <f t="shared" ca="1" si="0"/>
        <v>-11408.741554774104</v>
      </c>
      <c r="S5" s="774">
        <f t="shared" ca="1" si="0"/>
        <v>-13104.806205167926</v>
      </c>
      <c r="T5" s="774">
        <f t="shared" ca="1" si="0"/>
        <v>16019.501061718584</v>
      </c>
      <c r="U5" s="774">
        <f t="shared" ca="1" si="0"/>
        <v>14473.731836136832</v>
      </c>
      <c r="V5" s="774">
        <f t="shared" ca="1" si="0"/>
        <v>14384.630533273108</v>
      </c>
      <c r="W5" s="774">
        <f t="shared" ca="1" si="0"/>
        <v>13902.334259907049</v>
      </c>
      <c r="X5" s="774">
        <f t="shared" ca="1" si="0"/>
        <v>7639.3590864413354</v>
      </c>
      <c r="Y5" s="774">
        <f t="shared" ca="1" si="0"/>
        <v>10565.114458763555</v>
      </c>
      <c r="Z5" s="774">
        <f t="shared" ca="1" si="0"/>
        <v>15550.801249968543</v>
      </c>
      <c r="AA5" s="774">
        <f t="shared" ca="1" si="0"/>
        <v>14736.826832773533</v>
      </c>
      <c r="AB5" s="774">
        <f t="shared" ca="1" si="0"/>
        <v>13726.34249228228</v>
      </c>
      <c r="AC5" s="774">
        <f t="shared" ca="1" si="0"/>
        <v>12887.318187849345</v>
      </c>
      <c r="AD5" s="774">
        <f t="shared" ca="1" si="0"/>
        <v>12178.122899752751</v>
      </c>
      <c r="AE5" s="774">
        <f t="shared" ca="1" si="0"/>
        <v>11603.892866121245</v>
      </c>
      <c r="AF5" s="774">
        <f t="shared" ca="1" si="0"/>
        <v>10160.190404752582</v>
      </c>
      <c r="AG5" s="774">
        <f t="shared" ca="1" si="0"/>
        <v>12626.017039867618</v>
      </c>
      <c r="AH5" s="774">
        <f t="shared" ca="1" si="0"/>
        <v>14798.063347379155</v>
      </c>
      <c r="AI5" s="774">
        <f t="shared" ca="1" si="0"/>
        <v>16907.631364347402</v>
      </c>
      <c r="AJ5" s="774">
        <f t="shared" ca="1" si="0"/>
        <v>17744.230903813157</v>
      </c>
      <c r="AK5" s="774">
        <f t="shared" ca="1" si="0"/>
        <v>23173.643194347987</v>
      </c>
      <c r="AL5" s="774">
        <f t="shared" ca="1" si="0"/>
        <v>35601.962633425297</v>
      </c>
      <c r="AM5" s="774">
        <f t="shared" si="0"/>
        <v>0</v>
      </c>
    </row>
    <row r="7" spans="1:39">
      <c r="A7" t="s">
        <v>418</v>
      </c>
      <c r="B7" s="119">
        <f>'ENA-144A Comparison'!B9</f>
        <v>0.12</v>
      </c>
      <c r="C7" s="774">
        <f ca="1">XNPV(B7,D$5:AL$5,D$1:AL$1)</f>
        <v>54511.266294128232</v>
      </c>
    </row>
    <row r="8" spans="1:39">
      <c r="A8" t="s">
        <v>419</v>
      </c>
      <c r="B8" s="119">
        <f ca="1">XIRR(D$5:AL$5,D$1:AL$1)</f>
        <v>0.31914007067680372</v>
      </c>
    </row>
    <row r="11" spans="1:39">
      <c r="B11" s="773"/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1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zoomScale="75" zoomScaleNormal="100" workbookViewId="0">
      <selection activeCell="D16" sqref="D16"/>
    </sheetView>
  </sheetViews>
  <sheetFormatPr defaultColWidth="8.90625" defaultRowHeight="15.6"/>
  <cols>
    <col min="1" max="1" width="8.90625" style="782"/>
    <col min="2" max="2" width="4.08984375" style="782" customWidth="1"/>
    <col min="3" max="3" width="8.90625" style="782"/>
    <col min="4" max="4" width="12.08984375" style="782" bestFit="1" customWidth="1"/>
    <col min="5" max="6" width="13.36328125" style="782" customWidth="1"/>
    <col min="7" max="7" width="13.90625" style="782" customWidth="1"/>
    <col min="8" max="8" width="12.81640625" style="782" customWidth="1"/>
    <col min="9" max="13" width="10" style="782" bestFit="1" customWidth="1"/>
    <col min="14" max="24" width="9" style="782" bestFit="1" customWidth="1"/>
    <col min="25" max="25" width="8.54296875" style="782" bestFit="1" customWidth="1"/>
    <col min="26" max="26" width="7.54296875" style="782" bestFit="1" customWidth="1"/>
    <col min="27" max="27" width="4.453125" style="782" customWidth="1"/>
    <col min="28" max="16384" width="8.90625" style="782"/>
  </cols>
  <sheetData>
    <row r="1" spans="1:27">
      <c r="A1" s="781" t="s">
        <v>422</v>
      </c>
    </row>
    <row r="2" spans="1:27">
      <c r="A2" s="781" t="s">
        <v>423</v>
      </c>
    </row>
    <row r="3" spans="1:27">
      <c r="A3" s="783" t="s">
        <v>424</v>
      </c>
    </row>
    <row r="4" spans="1:27">
      <c r="A4" s="783"/>
    </row>
    <row r="5" spans="1:27" ht="16.2" thickBot="1">
      <c r="A5" s="782" t="s">
        <v>444</v>
      </c>
      <c r="B5" s="784"/>
      <c r="C5" s="784"/>
      <c r="D5" s="784">
        <v>1</v>
      </c>
      <c r="E5" s="784">
        <v>2</v>
      </c>
      <c r="F5" s="784">
        <v>3</v>
      </c>
      <c r="G5" s="784">
        <v>4</v>
      </c>
      <c r="H5" s="784">
        <v>5</v>
      </c>
      <c r="I5" s="784">
        <v>6</v>
      </c>
      <c r="J5" s="784">
        <v>7</v>
      </c>
      <c r="K5" s="784">
        <v>8</v>
      </c>
      <c r="L5" s="784">
        <v>9</v>
      </c>
      <c r="M5" s="784">
        <v>10</v>
      </c>
      <c r="N5" s="784">
        <v>11</v>
      </c>
      <c r="O5" s="784">
        <v>12</v>
      </c>
      <c r="P5" s="784">
        <v>13</v>
      </c>
      <c r="Q5" s="784">
        <v>14</v>
      </c>
      <c r="R5" s="784">
        <v>15</v>
      </c>
      <c r="S5" s="784">
        <v>16</v>
      </c>
      <c r="T5" s="784">
        <v>17</v>
      </c>
      <c r="U5" s="784">
        <v>18</v>
      </c>
      <c r="V5" s="784">
        <v>19</v>
      </c>
      <c r="W5" s="784">
        <v>20</v>
      </c>
      <c r="X5" s="784">
        <v>21</v>
      </c>
      <c r="Y5" s="784"/>
      <c r="Z5" s="784"/>
      <c r="AA5" s="784"/>
    </row>
    <row r="6" spans="1:27">
      <c r="A6" s="785"/>
      <c r="B6" s="785"/>
      <c r="C6" s="785"/>
      <c r="D6" s="786">
        <v>2000</v>
      </c>
      <c r="E6" s="786">
        <v>2001</v>
      </c>
      <c r="F6" s="786">
        <v>2002</v>
      </c>
      <c r="G6" s="786">
        <v>2003</v>
      </c>
      <c r="H6" s="786">
        <v>2004</v>
      </c>
      <c r="I6" s="786">
        <v>2005</v>
      </c>
      <c r="J6" s="786">
        <v>2006</v>
      </c>
      <c r="K6" s="786">
        <v>2007</v>
      </c>
      <c r="L6" s="786">
        <v>2008</v>
      </c>
      <c r="M6" s="786">
        <v>2009</v>
      </c>
      <c r="N6" s="786">
        <v>2010</v>
      </c>
      <c r="O6" s="786">
        <v>2011</v>
      </c>
      <c r="P6" s="786">
        <v>2012</v>
      </c>
      <c r="Q6" s="786">
        <v>2013</v>
      </c>
      <c r="R6" s="786">
        <v>2014</v>
      </c>
      <c r="S6" s="786">
        <v>2015</v>
      </c>
      <c r="T6" s="786">
        <v>2016</v>
      </c>
      <c r="U6" s="786">
        <v>2017</v>
      </c>
      <c r="V6" s="786">
        <v>2018</v>
      </c>
      <c r="W6" s="786">
        <v>2019</v>
      </c>
      <c r="X6" s="786">
        <v>2020</v>
      </c>
      <c r="Y6" s="785"/>
    </row>
    <row r="7" spans="1:27">
      <c r="A7" s="787"/>
      <c r="B7" s="787"/>
      <c r="C7" s="787"/>
      <c r="D7" s="788"/>
      <c r="E7" s="789"/>
      <c r="F7" s="789"/>
      <c r="G7" s="789"/>
      <c r="H7" s="789"/>
      <c r="I7" s="789"/>
      <c r="J7" s="789"/>
      <c r="K7" s="789"/>
      <c r="L7" s="789"/>
      <c r="M7" s="789"/>
      <c r="N7" s="789"/>
      <c r="O7" s="789"/>
      <c r="P7" s="789"/>
      <c r="Q7" s="789"/>
      <c r="R7" s="789"/>
      <c r="S7" s="789"/>
      <c r="T7" s="789"/>
      <c r="U7" s="789"/>
      <c r="V7" s="789"/>
      <c r="W7" s="789"/>
      <c r="X7" s="789"/>
      <c r="Y7" s="787"/>
    </row>
    <row r="8" spans="1:27">
      <c r="A8" s="790" t="s">
        <v>425</v>
      </c>
      <c r="B8" s="790"/>
      <c r="C8" s="790"/>
      <c r="D8" s="791">
        <v>135</v>
      </c>
      <c r="E8" s="792">
        <v>315</v>
      </c>
      <c r="F8" s="792">
        <v>315</v>
      </c>
      <c r="G8" s="792">
        <v>315</v>
      </c>
      <c r="H8" s="792">
        <v>315</v>
      </c>
      <c r="I8" s="792">
        <v>315</v>
      </c>
      <c r="J8" s="792">
        <v>315</v>
      </c>
      <c r="K8" s="792">
        <v>315</v>
      </c>
      <c r="L8" s="792">
        <v>315</v>
      </c>
      <c r="M8" s="792">
        <v>315</v>
      </c>
      <c r="N8" s="792">
        <v>315</v>
      </c>
      <c r="O8" s="792">
        <v>315</v>
      </c>
      <c r="P8" s="792">
        <v>315</v>
      </c>
      <c r="Q8" s="792">
        <v>315</v>
      </c>
      <c r="R8" s="792">
        <v>315</v>
      </c>
      <c r="S8" s="792">
        <v>315</v>
      </c>
      <c r="T8" s="792">
        <v>315</v>
      </c>
      <c r="U8" s="792">
        <v>315</v>
      </c>
      <c r="V8" s="792">
        <v>315</v>
      </c>
      <c r="W8" s="792">
        <v>315</v>
      </c>
      <c r="X8" s="792">
        <v>315</v>
      </c>
      <c r="Y8" s="792"/>
    </row>
    <row r="9" spans="1:27">
      <c r="A9" s="790" t="s">
        <v>426</v>
      </c>
      <c r="B9" s="790"/>
      <c r="C9" s="790"/>
      <c r="D9" s="793" t="s">
        <v>427</v>
      </c>
      <c r="E9" s="794" t="s">
        <v>428</v>
      </c>
      <c r="F9" s="794" t="s">
        <v>429</v>
      </c>
      <c r="G9" s="794" t="s">
        <v>429</v>
      </c>
      <c r="H9" s="794" t="s">
        <v>429</v>
      </c>
      <c r="I9" s="794" t="s">
        <v>429</v>
      </c>
      <c r="J9" s="794" t="s">
        <v>429</v>
      </c>
      <c r="K9" s="794" t="s">
        <v>429</v>
      </c>
      <c r="L9" s="794" t="s">
        <v>429</v>
      </c>
      <c r="M9" s="794" t="s">
        <v>429</v>
      </c>
      <c r="N9" s="794" t="s">
        <v>429</v>
      </c>
      <c r="O9" s="794" t="s">
        <v>429</v>
      </c>
      <c r="P9" s="794" t="s">
        <v>429</v>
      </c>
      <c r="Q9" s="794" t="s">
        <v>429</v>
      </c>
      <c r="R9" s="794" t="s">
        <v>429</v>
      </c>
      <c r="S9" s="794" t="s">
        <v>429</v>
      </c>
      <c r="T9" s="794" t="s">
        <v>429</v>
      </c>
      <c r="U9" s="794" t="s">
        <v>429</v>
      </c>
      <c r="V9" s="794" t="s">
        <v>429</v>
      </c>
      <c r="W9" s="794" t="s">
        <v>429</v>
      </c>
      <c r="X9" s="794" t="s">
        <v>429</v>
      </c>
      <c r="Y9" s="792"/>
    </row>
    <row r="10" spans="1:27">
      <c r="D10" s="795"/>
      <c r="I10" s="796"/>
    </row>
    <row r="11" spans="1:27">
      <c r="A11" s="782" t="s">
        <v>430</v>
      </c>
      <c r="D11" s="804">
        <f t="shared" ref="D11:X11" si="0">D13-D12</f>
        <v>3341.4719999999998</v>
      </c>
      <c r="E11" s="798">
        <f t="shared" si="0"/>
        <v>17254.768999999971</v>
      </c>
      <c r="F11" s="798">
        <f t="shared" si="0"/>
        <v>15355.241999999998</v>
      </c>
      <c r="G11" s="798">
        <f t="shared" si="0"/>
        <v>14371.159999999989</v>
      </c>
      <c r="H11" s="798">
        <f t="shared" si="0"/>
        <v>13450.762999999992</v>
      </c>
      <c r="I11" s="805">
        <f t="shared" si="0"/>
        <v>12527.356</v>
      </c>
      <c r="J11" s="798">
        <f t="shared" si="0"/>
        <v>11612.152000000002</v>
      </c>
      <c r="K11" s="798">
        <f t="shared" si="0"/>
        <v>10685.498000000007</v>
      </c>
      <c r="L11" s="798">
        <f t="shared" si="0"/>
        <v>9804.4630000000034</v>
      </c>
      <c r="M11" s="798">
        <f t="shared" si="0"/>
        <v>8926.9579999999987</v>
      </c>
      <c r="N11" s="798">
        <f t="shared" si="0"/>
        <v>8068.1710000000094</v>
      </c>
      <c r="O11" s="798">
        <f t="shared" si="0"/>
        <v>7227.7669999999998</v>
      </c>
      <c r="P11" s="798">
        <f t="shared" si="0"/>
        <v>6372.1080000000002</v>
      </c>
      <c r="Q11" s="798">
        <f t="shared" si="0"/>
        <v>5534.7790000000023</v>
      </c>
      <c r="R11" s="798">
        <f t="shared" si="0"/>
        <v>4692.5019999999968</v>
      </c>
      <c r="S11" s="798">
        <f t="shared" si="0"/>
        <v>3853.5870000000032</v>
      </c>
      <c r="T11" s="798">
        <f t="shared" si="0"/>
        <v>3047.5349999999999</v>
      </c>
      <c r="U11" s="798">
        <f t="shared" si="0"/>
        <v>2286.0679999999993</v>
      </c>
      <c r="V11" s="798">
        <f t="shared" si="0"/>
        <v>1572.8760000000002</v>
      </c>
      <c r="W11" s="798">
        <f t="shared" si="0"/>
        <v>868.67699999999968</v>
      </c>
      <c r="X11" s="798">
        <f t="shared" si="0"/>
        <v>184.82300000000001</v>
      </c>
    </row>
    <row r="12" spans="1:27" ht="16.8">
      <c r="A12" s="782" t="s">
        <v>431</v>
      </c>
      <c r="D12" s="806">
        <v>288.101</v>
      </c>
      <c r="E12" s="807">
        <f>138.127+156475.619</f>
        <v>156613.74600000001</v>
      </c>
      <c r="F12" s="807">
        <v>143047.427</v>
      </c>
      <c r="G12" s="807">
        <v>131042.379</v>
      </c>
      <c r="H12" s="807">
        <v>120001.458</v>
      </c>
      <c r="I12" s="808">
        <v>109628.626</v>
      </c>
      <c r="J12" s="807">
        <v>99448.612999999998</v>
      </c>
      <c r="K12" s="807">
        <v>89567.87</v>
      </c>
      <c r="L12" s="807">
        <v>79921.67</v>
      </c>
      <c r="M12" s="807">
        <v>70894.725999999995</v>
      </c>
      <c r="N12" s="807">
        <v>62109.470999999998</v>
      </c>
      <c r="O12" s="807">
        <v>53931.597999999998</v>
      </c>
      <c r="P12" s="807">
        <v>46251.211000000003</v>
      </c>
      <c r="Q12" s="807">
        <v>38977.478999999999</v>
      </c>
      <c r="R12" s="807">
        <v>32216.681</v>
      </c>
      <c r="S12" s="807">
        <v>25968.42</v>
      </c>
      <c r="T12" s="807">
        <v>19955.955000000002</v>
      </c>
      <c r="U12" s="807">
        <v>14413.088</v>
      </c>
      <c r="V12" s="807">
        <v>9206.4429999999993</v>
      </c>
      <c r="W12" s="807">
        <v>4390.7190000000001</v>
      </c>
      <c r="X12" s="807">
        <v>26.256</v>
      </c>
    </row>
    <row r="13" spans="1:27">
      <c r="B13" s="782" t="s">
        <v>432</v>
      </c>
      <c r="D13" s="804">
        <v>3629.5729999999999</v>
      </c>
      <c r="E13" s="809">
        <f>1308.656+172559.859</f>
        <v>173868.51499999998</v>
      </c>
      <c r="F13" s="809">
        <v>158402.66899999999</v>
      </c>
      <c r="G13" s="809">
        <v>145413.53899999999</v>
      </c>
      <c r="H13" s="809">
        <v>133452.22099999999</v>
      </c>
      <c r="I13" s="810">
        <v>122155.982</v>
      </c>
      <c r="J13" s="809">
        <v>111060.765</v>
      </c>
      <c r="K13" s="809">
        <v>100253.368</v>
      </c>
      <c r="L13" s="809">
        <v>89726.133000000002</v>
      </c>
      <c r="M13" s="809">
        <v>79821.683999999994</v>
      </c>
      <c r="N13" s="809">
        <v>70177.642000000007</v>
      </c>
      <c r="O13" s="809">
        <v>61159.364999999998</v>
      </c>
      <c r="P13" s="809">
        <v>52623.319000000003</v>
      </c>
      <c r="Q13" s="809">
        <v>44512.258000000002</v>
      </c>
      <c r="R13" s="809">
        <v>36909.182999999997</v>
      </c>
      <c r="S13" s="809">
        <v>29822.007000000001</v>
      </c>
      <c r="T13" s="809">
        <v>23003.49</v>
      </c>
      <c r="U13" s="809">
        <v>16699.155999999999</v>
      </c>
      <c r="V13" s="809">
        <v>10779.319</v>
      </c>
      <c r="W13" s="809">
        <v>5259.3959999999997</v>
      </c>
      <c r="X13" s="809">
        <v>211.07900000000001</v>
      </c>
    </row>
    <row r="14" spans="1:27">
      <c r="A14" s="797"/>
      <c r="B14" s="797"/>
      <c r="C14" s="797"/>
      <c r="D14" s="797"/>
      <c r="E14" s="797"/>
      <c r="F14" s="797"/>
      <c r="G14" s="797"/>
      <c r="H14" s="797"/>
      <c r="I14" s="797"/>
      <c r="J14" s="797"/>
      <c r="K14" s="797"/>
      <c r="L14" s="797"/>
      <c r="M14" s="797"/>
      <c r="N14" s="797"/>
      <c r="O14" s="797"/>
      <c r="P14" s="797"/>
      <c r="Q14" s="797"/>
      <c r="R14" s="797"/>
      <c r="S14" s="797"/>
      <c r="T14" s="797"/>
      <c r="U14" s="797"/>
      <c r="V14" s="797"/>
      <c r="W14" s="797"/>
      <c r="X14" s="797"/>
      <c r="Y14" s="797"/>
    </row>
    <row r="15" spans="1:27">
      <c r="I15" s="796"/>
    </row>
    <row r="16" spans="1:27">
      <c r="A16" s="782" t="s">
        <v>433</v>
      </c>
      <c r="D16" s="844">
        <f ca="1">OandM!C34-OandM!C21-OandM!C13-OandM!C11-OandM!C14-OandM!C16+OandM!C44</f>
        <v>986.97383617792377</v>
      </c>
      <c r="E16" s="844">
        <f ca="1">OandM!D34-OandM!D21-OandM!D13-OandM!D11-OandM!D16-OandM!D14+OandM!D44</f>
        <v>2791.3941350267269</v>
      </c>
      <c r="F16" s="844">
        <f ca="1">OandM!E34-OandM!E21-OandM!E13-OandM!E11-OandM!E16-OandM!E14+OandM!E44</f>
        <v>2842.4641539090062</v>
      </c>
      <c r="G16" s="798">
        <f ca="1">OandM!F34-OandM!F21-OandM!F13-OandM!F11-OandM!F16-OandM!F14+OandM!F44</f>
        <v>2658.1199210448749</v>
      </c>
      <c r="H16" s="798">
        <f ca="1">OandM!G34-OandM!G21-OandM!G13-OandM!G11-OandM!G16-OandM!G14+OandM!G44</f>
        <v>2714.9257780988901</v>
      </c>
      <c r="I16" s="798">
        <f ca="1">OandM!H34-OandM!H21-OandM!H13-OandM!H11-OandM!H16-OandM!H14+OandM!H44</f>
        <v>2719.4629941428752</v>
      </c>
      <c r="J16" s="798">
        <f ca="1">OandM!I34-OandM!I21-OandM!I13-OandM!I11-OandM!I16-OandM!I14+OandM!I44</f>
        <v>2822.9413915242176</v>
      </c>
      <c r="K16" s="798">
        <f ca="1">OandM!J34-OandM!J21-OandM!J13-OandM!J11-OandM!J16-OandM!J14+OandM!J44</f>
        <v>2932.7786202568104</v>
      </c>
      <c r="L16" s="798">
        <f ca="1">OandM!K34-OandM!K21-OandM!K13-OandM!K11-OandM!K16-OandM!K14+OandM!K44</f>
        <v>2998.3721567959601</v>
      </c>
      <c r="M16" s="798">
        <f ca="1">OandM!L34-OandM!L21-OandM!L13-OandM!L11-OandM!L16-OandM!L14+OandM!L44</f>
        <v>3049.1216947464745</v>
      </c>
      <c r="N16" s="798">
        <f ca="1">OandM!M34-OandM!M21-OandM!M13-OandM!M11-OandM!M16-OandM!M14+OandM!M44</f>
        <v>3119.2453620212746</v>
      </c>
      <c r="O16" s="798">
        <f ca="1">OandM!N34-OandM!N21-OandM!N13-OandM!N11-OandM!N16-OandM!N14+OandM!N44</f>
        <v>3175.829937050657</v>
      </c>
      <c r="P16" s="798">
        <f ca="1">OandM!O34-OandM!O21-OandM!O13-OandM!O11-OandM!O16-OandM!O14+OandM!O44</f>
        <v>23797.085157009093</v>
      </c>
      <c r="Q16" s="798">
        <f ca="1">OandM!P34-OandM!P21-OandM!P13-OandM!P11-OandM!P16-OandM!P14+OandM!P44</f>
        <v>3299.1815009428901</v>
      </c>
      <c r="R16" s="798">
        <f ca="1">OandM!Q34-OandM!Q21-OandM!Q13-OandM!Q11-OandM!Q16-OandM!Q14+OandM!Q44</f>
        <v>3406.7113985489277</v>
      </c>
      <c r="S16" s="798">
        <f ca="1">OandM!R34-OandM!R21-OandM!R13-OandM!R11-OandM!R16-OandM!R14+OandM!R44</f>
        <v>3516.4582074322207</v>
      </c>
      <c r="T16" s="798">
        <f ca="1">OandM!S34-OandM!S21-OandM!S13-OandM!S11-OandM!S16-OandM!S14+OandM!S44</f>
        <v>3628.649794694184</v>
      </c>
      <c r="U16" s="798">
        <f ca="1">OandM!T34-OandM!T21-OandM!T13-OandM!T11-OandM!T16-OandM!T14+OandM!T44</f>
        <v>3711.8920862405503</v>
      </c>
      <c r="V16" s="798">
        <f ca="1">OandM!U34-OandM!U21-OandM!U13-OandM!U11-OandM!U16-OandM!U14+OandM!U44</f>
        <v>3806.5145864687788</v>
      </c>
      <c r="W16" s="798">
        <f ca="1">OandM!V34-OandM!V21-OandM!V13-OandM!V11-OandM!V16-OandM!V14+OandM!V44</f>
        <v>3838.9581367304399</v>
      </c>
      <c r="X16" s="798">
        <f>OandM!W34-OandM!W21-OandM!W13-OandM!W11-OandM!W16-OandM!W14+OandM!W44</f>
        <v>0</v>
      </c>
    </row>
    <row r="17" spans="1:24">
      <c r="A17" s="782" t="s">
        <v>434</v>
      </c>
      <c r="C17" s="799">
        <v>7.0000000000000007E-2</v>
      </c>
      <c r="D17" s="800">
        <f ca="1">(NPV($C$17,D16:$X$16))/(1+$C$17)^D5</f>
        <v>36323.556323857578</v>
      </c>
      <c r="E17" s="800">
        <f ca="1">(NPV($C$17,E16:$X$16))/(1+$C$17)^E5</f>
        <v>35461.495151547417</v>
      </c>
      <c r="F17" s="800">
        <f ca="1">(NPV($C$17,F16:$X$16))/(1+$C$17)^F5</f>
        <v>33182.88604555952</v>
      </c>
      <c r="G17" s="800">
        <f ca="1">(NPV($C$17,G16:$X$16))/(1+$C$17)^G5</f>
        <v>31014.383752125621</v>
      </c>
      <c r="H17" s="800">
        <f ca="1">(NPV($C$17,H16:$X$16))/(1+$C$17)^H5</f>
        <v>29119.180985010404</v>
      </c>
      <c r="I17" s="800">
        <f ca="1">(NPV($C$17,I16:$X$16))/(1+$C$17)^I5</f>
        <v>27310.111304535218</v>
      </c>
      <c r="J17" s="800">
        <f ca="1">(NPV($C$17,J16:$X$16))/(1+$C$17)^J5</f>
        <v>25616.566426868045</v>
      </c>
      <c r="K17" s="800">
        <f ca="1">(NPV($C$17,K16:$X$16))/(1+$C$17)^K5</f>
        <v>23973.588835347455</v>
      </c>
      <c r="L17" s="800">
        <f ca="1">(NPV($C$17,L16:$X$16))/(1+$C$17)^L5</f>
        <v>22378.351584260392</v>
      </c>
      <c r="M17" s="800">
        <f ca="1">(NPV($C$17,M16:$X$16))/(1+$C$17)^M5</f>
        <v>20854.131220796724</v>
      </c>
      <c r="N17" s="800">
        <f ca="1">(NPV($C$17,N16:$X$16))/(1+$C$17)^N5</f>
        <v>19405.515468313559</v>
      </c>
      <c r="O17" s="800">
        <f ca="1">(NPV($C$17,O16:$X$16))/(1+$C$17)^O5</f>
        <v>18020.533223769922</v>
      </c>
      <c r="P17" s="800">
        <f ca="1">(NPV($C$17,P16:$X$16))/(1+$C$17)^P5</f>
        <v>16702.676707353807</v>
      </c>
      <c r="Q17" s="800">
        <f ca="1">(NPV($C$17,Q16:$X$16))/(1+$C$17)^Q5</f>
        <v>7473.7567975082093</v>
      </c>
      <c r="R17" s="800">
        <f ca="1">(NPV($C$17,R16:$X$16))/(1+$C$17)^R5</f>
        <v>6277.9815944137508</v>
      </c>
      <c r="S17" s="800">
        <f ca="1">(NPV($C$17,S16:$X$16))/(1+$C$17)^S5</f>
        <v>5124.0105790171965</v>
      </c>
      <c r="T17" s="800">
        <f ca="1">(NPV($C$17,T16:$X$16))/(1+$C$17)^T5</f>
        <v>4010.7899654068237</v>
      </c>
      <c r="U17" s="800">
        <f ca="1">(NPV($C$17,U16:$X$16))/(1+$C$17)^U5</f>
        <v>2937.203426189039</v>
      </c>
      <c r="V17" s="800">
        <f ca="1">(NPV($C$17,V16:$X$16))/(1+$C$17)^V5</f>
        <v>1910.8343331065369</v>
      </c>
      <c r="W17" s="800">
        <f ca="1">(NPV($C$17,W16:$X$16))/(1+$C$17)^W5</f>
        <v>927.15862947482958</v>
      </c>
      <c r="X17" s="800">
        <f>(NPV($C$17,X16:$X$16))/(1+$C$17)^X5</f>
        <v>0</v>
      </c>
    </row>
    <row r="18" spans="1:24">
      <c r="C18" s="799"/>
      <c r="D18" s="800"/>
      <c r="E18" s="800"/>
      <c r="F18" s="800"/>
      <c r="G18" s="800"/>
      <c r="H18" s="800"/>
      <c r="I18" s="800"/>
      <c r="J18" s="800"/>
      <c r="K18" s="800"/>
      <c r="L18" s="800"/>
      <c r="M18" s="800"/>
      <c r="N18" s="800"/>
      <c r="O18" s="800"/>
      <c r="P18" s="800"/>
      <c r="Q18" s="800"/>
      <c r="R18" s="800"/>
      <c r="S18" s="800"/>
      <c r="T18" s="800"/>
      <c r="U18" s="800"/>
      <c r="V18" s="800"/>
      <c r="W18" s="800"/>
      <c r="X18" s="800"/>
    </row>
    <row r="19" spans="1:24">
      <c r="D19" s="845">
        <f ca="1">D16</f>
        <v>986.97383617792377</v>
      </c>
      <c r="E19" s="823">
        <f ca="1">E16/2</f>
        <v>1395.6970675133634</v>
      </c>
      <c r="F19" s="823">
        <f ca="1">F16/2</f>
        <v>1421.2320769545031</v>
      </c>
      <c r="G19" s="823">
        <f t="shared" ref="G19:X19" ca="1" si="1">G16/2</f>
        <v>1329.0599605224374</v>
      </c>
      <c r="H19" s="823">
        <f t="shared" ca="1" si="1"/>
        <v>1357.462889049445</v>
      </c>
      <c r="I19" s="823">
        <f t="shared" ca="1" si="1"/>
        <v>1359.7314970714376</v>
      </c>
      <c r="J19" s="823">
        <f t="shared" ca="1" si="1"/>
        <v>1411.4706957621088</v>
      </c>
      <c r="K19" s="823">
        <f t="shared" ca="1" si="1"/>
        <v>1466.3893101284052</v>
      </c>
      <c r="L19" s="823">
        <f t="shared" ca="1" si="1"/>
        <v>1499.1860783979801</v>
      </c>
      <c r="M19" s="823">
        <f t="shared" ca="1" si="1"/>
        <v>1524.5608473732373</v>
      </c>
      <c r="N19" s="823">
        <f t="shared" ca="1" si="1"/>
        <v>1559.6226810106373</v>
      </c>
      <c r="O19" s="823">
        <f t="shared" ca="1" si="1"/>
        <v>1587.9149685253285</v>
      </c>
      <c r="P19" s="823">
        <f t="shared" ca="1" si="1"/>
        <v>11898.542578504546</v>
      </c>
      <c r="Q19" s="823">
        <f t="shared" ca="1" si="1"/>
        <v>1649.5907504714451</v>
      </c>
      <c r="R19" s="823">
        <f t="shared" ca="1" si="1"/>
        <v>1703.3556992744639</v>
      </c>
      <c r="S19" s="823">
        <f t="shared" ca="1" si="1"/>
        <v>1758.2291037161103</v>
      </c>
      <c r="T19" s="823">
        <f t="shared" ca="1" si="1"/>
        <v>1814.324897347092</v>
      </c>
      <c r="U19" s="823">
        <f t="shared" ca="1" si="1"/>
        <v>1855.9460431202751</v>
      </c>
      <c r="V19" s="823">
        <f t="shared" ca="1" si="1"/>
        <v>1903.2572932343894</v>
      </c>
      <c r="W19" s="823">
        <f t="shared" ca="1" si="1"/>
        <v>1919.47906836522</v>
      </c>
      <c r="X19" s="823">
        <f t="shared" si="1"/>
        <v>0</v>
      </c>
    </row>
    <row r="21" spans="1:24">
      <c r="A21" s="782" t="s">
        <v>435</v>
      </c>
      <c r="D21" s="798">
        <f>D13+E13</f>
        <v>177498.08799999999</v>
      </c>
      <c r="E21" s="798">
        <f>E13</f>
        <v>173868.51499999998</v>
      </c>
      <c r="F21" s="798">
        <f t="shared" ref="F21:W21" si="2">F13</f>
        <v>158402.66899999999</v>
      </c>
      <c r="G21" s="798">
        <f t="shared" si="2"/>
        <v>145413.53899999999</v>
      </c>
      <c r="H21" s="798">
        <f t="shared" si="2"/>
        <v>133452.22099999999</v>
      </c>
      <c r="I21" s="798">
        <f t="shared" si="2"/>
        <v>122155.982</v>
      </c>
      <c r="J21" s="798">
        <f t="shared" si="2"/>
        <v>111060.765</v>
      </c>
      <c r="K21" s="798">
        <f t="shared" si="2"/>
        <v>100253.368</v>
      </c>
      <c r="L21" s="798">
        <f t="shared" si="2"/>
        <v>89726.133000000002</v>
      </c>
      <c r="M21" s="798">
        <f t="shared" si="2"/>
        <v>79821.683999999994</v>
      </c>
      <c r="N21" s="798">
        <f t="shared" si="2"/>
        <v>70177.642000000007</v>
      </c>
      <c r="O21" s="798">
        <f t="shared" si="2"/>
        <v>61159.364999999998</v>
      </c>
      <c r="P21" s="798">
        <f t="shared" si="2"/>
        <v>52623.319000000003</v>
      </c>
      <c r="Q21" s="798">
        <f t="shared" si="2"/>
        <v>44512.258000000002</v>
      </c>
      <c r="R21" s="798">
        <f t="shared" si="2"/>
        <v>36909.182999999997</v>
      </c>
      <c r="S21" s="798">
        <f t="shared" si="2"/>
        <v>29822.007000000001</v>
      </c>
      <c r="T21" s="798">
        <f t="shared" si="2"/>
        <v>23003.49</v>
      </c>
      <c r="U21" s="798">
        <f t="shared" si="2"/>
        <v>16699.155999999999</v>
      </c>
      <c r="V21" s="798">
        <f t="shared" si="2"/>
        <v>10779.319</v>
      </c>
      <c r="W21" s="798">
        <f t="shared" si="2"/>
        <v>5259.3959999999997</v>
      </c>
      <c r="X21" s="798">
        <v>0</v>
      </c>
    </row>
    <row r="22" spans="1:24">
      <c r="A22" s="782" t="s">
        <v>436</v>
      </c>
      <c r="D22" s="800">
        <f ca="1">-D17</f>
        <v>-36323.556323857578</v>
      </c>
      <c r="E22" s="800">
        <f ca="1">-E17</f>
        <v>-35461.495151547417</v>
      </c>
      <c r="F22" s="800">
        <f t="shared" ref="F22:X22" ca="1" si="3">-F17</f>
        <v>-33182.88604555952</v>
      </c>
      <c r="G22" s="800">
        <f t="shared" ca="1" si="3"/>
        <v>-31014.383752125621</v>
      </c>
      <c r="H22" s="800">
        <f t="shared" ca="1" si="3"/>
        <v>-29119.180985010404</v>
      </c>
      <c r="I22" s="800">
        <f t="shared" ca="1" si="3"/>
        <v>-27310.111304535218</v>
      </c>
      <c r="J22" s="800">
        <f t="shared" ca="1" si="3"/>
        <v>-25616.566426868045</v>
      </c>
      <c r="K22" s="800">
        <f t="shared" ca="1" si="3"/>
        <v>-23973.588835347455</v>
      </c>
      <c r="L22" s="800">
        <f t="shared" ca="1" si="3"/>
        <v>-22378.351584260392</v>
      </c>
      <c r="M22" s="800">
        <f t="shared" ca="1" si="3"/>
        <v>-20854.131220796724</v>
      </c>
      <c r="N22" s="800">
        <f t="shared" ca="1" si="3"/>
        <v>-19405.515468313559</v>
      </c>
      <c r="O22" s="800">
        <f t="shared" ca="1" si="3"/>
        <v>-18020.533223769922</v>
      </c>
      <c r="P22" s="800">
        <f t="shared" ca="1" si="3"/>
        <v>-16702.676707353807</v>
      </c>
      <c r="Q22" s="800">
        <f t="shared" ca="1" si="3"/>
        <v>-7473.7567975082093</v>
      </c>
      <c r="R22" s="800">
        <f t="shared" ca="1" si="3"/>
        <v>-6277.9815944137508</v>
      </c>
      <c r="S22" s="800">
        <f t="shared" ca="1" si="3"/>
        <v>-5124.0105790171965</v>
      </c>
      <c r="T22" s="800">
        <f t="shared" ca="1" si="3"/>
        <v>-4010.7899654068237</v>
      </c>
      <c r="U22" s="800">
        <f t="shared" ca="1" si="3"/>
        <v>-2937.203426189039</v>
      </c>
      <c r="V22" s="800">
        <f t="shared" ca="1" si="3"/>
        <v>-1910.8343331065369</v>
      </c>
      <c r="W22" s="800">
        <f t="shared" ca="1" si="3"/>
        <v>-927.15862947482958</v>
      </c>
      <c r="X22" s="800">
        <f t="shared" si="3"/>
        <v>0</v>
      </c>
    </row>
    <row r="23" spans="1:24">
      <c r="A23" s="782" t="s">
        <v>437</v>
      </c>
      <c r="D23" s="801">
        <f ca="1">SUM(D21:D22)</f>
        <v>141174.53167614242</v>
      </c>
      <c r="E23" s="801">
        <f ca="1">SUM(E21:E22)</f>
        <v>138407.01984845256</v>
      </c>
      <c r="F23" s="801">
        <f t="shared" ref="F23:X23" ca="1" si="4">SUM(F21:F22)</f>
        <v>125219.78295444048</v>
      </c>
      <c r="G23" s="801">
        <f t="shared" ca="1" si="4"/>
        <v>114399.15524787437</v>
      </c>
      <c r="H23" s="801">
        <f t="shared" ca="1" si="4"/>
        <v>104333.04001498959</v>
      </c>
      <c r="I23" s="801">
        <f t="shared" ca="1" si="4"/>
        <v>94845.870695464779</v>
      </c>
      <c r="J23" s="801">
        <f t="shared" ca="1" si="4"/>
        <v>85444.198573131958</v>
      </c>
      <c r="K23" s="801">
        <f t="shared" ca="1" si="4"/>
        <v>76279.779164652544</v>
      </c>
      <c r="L23" s="801">
        <f t="shared" ca="1" si="4"/>
        <v>67347.781415739606</v>
      </c>
      <c r="M23" s="801">
        <f t="shared" ca="1" si="4"/>
        <v>58967.552779203266</v>
      </c>
      <c r="N23" s="801">
        <f t="shared" ca="1" si="4"/>
        <v>50772.126531686445</v>
      </c>
      <c r="O23" s="801">
        <f t="shared" ca="1" si="4"/>
        <v>43138.831776230072</v>
      </c>
      <c r="P23" s="801">
        <f t="shared" ca="1" si="4"/>
        <v>35920.642292646196</v>
      </c>
      <c r="Q23" s="801">
        <f t="shared" ca="1" si="4"/>
        <v>37038.501202491796</v>
      </c>
      <c r="R23" s="801">
        <f t="shared" ca="1" si="4"/>
        <v>30631.201405586246</v>
      </c>
      <c r="S23" s="801">
        <f t="shared" ca="1" si="4"/>
        <v>24697.996420982803</v>
      </c>
      <c r="T23" s="801">
        <f t="shared" ca="1" si="4"/>
        <v>18992.700034593177</v>
      </c>
      <c r="U23" s="801">
        <f t="shared" ca="1" si="4"/>
        <v>13761.952573810961</v>
      </c>
      <c r="V23" s="801">
        <f t="shared" ca="1" si="4"/>
        <v>8868.4846668934624</v>
      </c>
      <c r="W23" s="801">
        <f t="shared" ca="1" si="4"/>
        <v>4332.2373705251703</v>
      </c>
      <c r="X23" s="801">
        <f t="shared" si="4"/>
        <v>0</v>
      </c>
    </row>
    <row r="24" spans="1:24">
      <c r="A24" s="782" t="s">
        <v>438</v>
      </c>
      <c r="D24" s="802">
        <f ca="1">D23/315</f>
        <v>448.17311643219813</v>
      </c>
      <c r="E24" s="802">
        <f t="shared" ref="E24:X24" ca="1" si="5">E23/315</f>
        <v>439.38736459826208</v>
      </c>
      <c r="F24" s="802">
        <f t="shared" ca="1" si="5"/>
        <v>397.52312049028723</v>
      </c>
      <c r="G24" s="802">
        <f t="shared" ca="1" si="5"/>
        <v>363.17192142182341</v>
      </c>
      <c r="H24" s="802">
        <f t="shared" ca="1" si="5"/>
        <v>331.21600004758596</v>
      </c>
      <c r="I24" s="802">
        <f t="shared" ca="1" si="5"/>
        <v>301.09800220782472</v>
      </c>
      <c r="J24" s="802">
        <f t="shared" ca="1" si="5"/>
        <v>271.25142404168878</v>
      </c>
      <c r="K24" s="802">
        <f t="shared" ca="1" si="5"/>
        <v>242.15802909413506</v>
      </c>
      <c r="L24" s="802">
        <f t="shared" ca="1" si="5"/>
        <v>213.80248068488763</v>
      </c>
      <c r="M24" s="802">
        <f t="shared" ca="1" si="5"/>
        <v>187.19858025143893</v>
      </c>
      <c r="N24" s="802">
        <f t="shared" ca="1" si="5"/>
        <v>161.18135406884585</v>
      </c>
      <c r="O24" s="802">
        <f t="shared" ca="1" si="5"/>
        <v>136.94867230549229</v>
      </c>
      <c r="P24" s="802">
        <f t="shared" ca="1" si="5"/>
        <v>114.03378505601967</v>
      </c>
      <c r="Q24" s="802">
        <f t="shared" ca="1" si="5"/>
        <v>117.58254349997395</v>
      </c>
      <c r="R24" s="802">
        <f t="shared" ca="1" si="5"/>
        <v>97.241909224083315</v>
      </c>
      <c r="S24" s="802">
        <f t="shared" ca="1" si="5"/>
        <v>78.406337844389853</v>
      </c>
      <c r="T24" s="802">
        <f t="shared" ca="1" si="5"/>
        <v>60.294285824105323</v>
      </c>
      <c r="U24" s="802">
        <f t="shared" ca="1" si="5"/>
        <v>43.688738329558603</v>
      </c>
      <c r="V24" s="802">
        <f t="shared" ca="1" si="5"/>
        <v>28.153919577439563</v>
      </c>
      <c r="W24" s="802">
        <f t="shared" ca="1" si="5"/>
        <v>13.753134509603715</v>
      </c>
      <c r="X24" s="802">
        <f t="shared" si="5"/>
        <v>0</v>
      </c>
    </row>
    <row r="26" spans="1:24">
      <c r="A26" s="782" t="s">
        <v>439</v>
      </c>
      <c r="D26" s="798">
        <f>'ENA Debt'!C20</f>
        <v>118125</v>
      </c>
      <c r="E26" s="798">
        <f ca="1">'ENA Debt'!D20</f>
        <v>118125</v>
      </c>
      <c r="F26" s="798">
        <f ca="1">'ENA Debt'!E20</f>
        <v>116139.18709601989</v>
      </c>
      <c r="G26" s="798">
        <f ca="1">'ENA Debt'!F20</f>
        <v>113919.29186216624</v>
      </c>
      <c r="H26" s="798">
        <f ca="1">'ENA Debt'!G20</f>
        <v>111159.92158167947</v>
      </c>
      <c r="I26" s="798">
        <f ca="1">'ENA Debt'!H20</f>
        <v>107862.97055031684</v>
      </c>
      <c r="J26" s="798">
        <f ca="1">'ENA Debt'!I20</f>
        <v>104566.0195189542</v>
      </c>
      <c r="K26" s="798">
        <f ca="1">'ENA Debt'!J20</f>
        <v>100056.57736831481</v>
      </c>
      <c r="L26" s="798">
        <f ca="1">'ENA Debt'!K20</f>
        <v>95547.135217675401</v>
      </c>
      <c r="M26" s="798">
        <f ca="1">'ENA Debt'!L20</f>
        <v>89633.161382558668</v>
      </c>
      <c r="N26" s="798">
        <f ca="1">'ENA Debt'!M20</f>
        <v>83719.187547441936</v>
      </c>
      <c r="O26" s="798">
        <f ca="1">'ENA Debt'!N20</f>
        <v>76240.861017735515</v>
      </c>
      <c r="P26" s="798">
        <f ca="1">'ENA Debt'!O20</f>
        <v>68762.53448802908</v>
      </c>
      <c r="Q26" s="798">
        <f ca="1">'ENA Debt'!P20</f>
        <v>61084.40948802908</v>
      </c>
      <c r="R26" s="798">
        <f ca="1">'ENA Debt'!Q20</f>
        <v>53406.28448802908</v>
      </c>
      <c r="S26" s="798">
        <f ca="1">'ENA Debt'!R20</f>
        <v>44519.01724702007</v>
      </c>
      <c r="T26" s="798">
        <f ca="1">'ENA Debt'!S20</f>
        <v>35631.750006011047</v>
      </c>
      <c r="U26" s="798">
        <f ca="1">'ENA Debt'!T20</f>
        <v>26772.375006011047</v>
      </c>
      <c r="V26" s="798">
        <f ca="1">'ENA Debt'!U20</f>
        <v>17913.000006011047</v>
      </c>
      <c r="W26" s="798">
        <f ca="1">'ENA Debt'!V20</f>
        <v>12006.750006011047</v>
      </c>
      <c r="X26" s="798">
        <f ca="1">'ENA Debt'!W20</f>
        <v>6100.5000060110469</v>
      </c>
    </row>
    <row r="27" spans="1:24">
      <c r="A27" s="782" t="s">
        <v>438</v>
      </c>
      <c r="D27" s="802">
        <f>D26/315</f>
        <v>375</v>
      </c>
      <c r="E27" s="802">
        <f t="shared" ref="E27:X27" ca="1" si="6">E26/315</f>
        <v>375</v>
      </c>
      <c r="F27" s="802">
        <f t="shared" ca="1" si="6"/>
        <v>368.69583205085678</v>
      </c>
      <c r="G27" s="802">
        <f t="shared" ca="1" si="6"/>
        <v>361.64854559417853</v>
      </c>
      <c r="H27" s="802">
        <f t="shared" ca="1" si="6"/>
        <v>352.88863994183959</v>
      </c>
      <c r="I27" s="802">
        <f t="shared" ca="1" si="6"/>
        <v>342.42212873116455</v>
      </c>
      <c r="J27" s="802">
        <f t="shared" ca="1" si="6"/>
        <v>331.95561752048951</v>
      </c>
      <c r="K27" s="802">
        <f t="shared" ca="1" si="6"/>
        <v>317.63992815338037</v>
      </c>
      <c r="L27" s="802">
        <f t="shared" ca="1" si="6"/>
        <v>303.32423878627111</v>
      </c>
      <c r="M27" s="802">
        <f t="shared" ca="1" si="6"/>
        <v>284.5497186747894</v>
      </c>
      <c r="N27" s="802">
        <f t="shared" ca="1" si="6"/>
        <v>265.77519856330775</v>
      </c>
      <c r="O27" s="802">
        <f t="shared" ca="1" si="6"/>
        <v>242.0344794213826</v>
      </c>
      <c r="P27" s="802">
        <f t="shared" ca="1" si="6"/>
        <v>218.29376027945739</v>
      </c>
      <c r="Q27" s="802">
        <f t="shared" ca="1" si="6"/>
        <v>193.91876027945739</v>
      </c>
      <c r="R27" s="802">
        <f t="shared" ca="1" si="6"/>
        <v>169.54376027945739</v>
      </c>
      <c r="S27" s="802">
        <f t="shared" ca="1" si="6"/>
        <v>141.3302134826034</v>
      </c>
      <c r="T27" s="802">
        <f t="shared" ca="1" si="6"/>
        <v>113.11666668574935</v>
      </c>
      <c r="U27" s="802">
        <f t="shared" ca="1" si="6"/>
        <v>84.991666685749351</v>
      </c>
      <c r="V27" s="802">
        <f t="shared" ca="1" si="6"/>
        <v>56.866666685749358</v>
      </c>
      <c r="W27" s="802">
        <f t="shared" ca="1" si="6"/>
        <v>38.116666685749358</v>
      </c>
      <c r="X27" s="802">
        <f t="shared" ca="1" si="6"/>
        <v>19.366666685749355</v>
      </c>
    </row>
    <row r="29" spans="1:24">
      <c r="A29" s="782" t="s">
        <v>440</v>
      </c>
      <c r="D29" s="803">
        <f ca="1">D24-D27</f>
        <v>73.173116432198128</v>
      </c>
      <c r="E29" s="803">
        <f t="shared" ref="E29:X29" ca="1" si="7">E24-E27</f>
        <v>64.387364598262081</v>
      </c>
      <c r="F29" s="803">
        <f t="shared" ca="1" si="7"/>
        <v>28.827288439430447</v>
      </c>
      <c r="G29" s="803">
        <f t="shared" ca="1" si="7"/>
        <v>1.5233758276448839</v>
      </c>
      <c r="H29" s="803">
        <f t="shared" ca="1" si="7"/>
        <v>-21.672639894253621</v>
      </c>
      <c r="I29" s="803">
        <f t="shared" ca="1" si="7"/>
        <v>-41.324126523339828</v>
      </c>
      <c r="J29" s="803">
        <f t="shared" ca="1" si="7"/>
        <v>-60.704193478800732</v>
      </c>
      <c r="K29" s="803">
        <f t="shared" ca="1" si="7"/>
        <v>-75.481899059245308</v>
      </c>
      <c r="L29" s="803">
        <f t="shared" ca="1" si="7"/>
        <v>-89.521758101383483</v>
      </c>
      <c r="M29" s="803">
        <f t="shared" ca="1" si="7"/>
        <v>-97.351138423350477</v>
      </c>
      <c r="N29" s="803">
        <f t="shared" ca="1" si="7"/>
        <v>-104.59384449446191</v>
      </c>
      <c r="O29" s="803">
        <f t="shared" ca="1" si="7"/>
        <v>-105.0858071158903</v>
      </c>
      <c r="P29" s="803">
        <f t="shared" ca="1" si="7"/>
        <v>-104.25997522343772</v>
      </c>
      <c r="Q29" s="803">
        <f t="shared" ca="1" si="7"/>
        <v>-76.336216779483436</v>
      </c>
      <c r="R29" s="803">
        <f t="shared" ca="1" si="7"/>
        <v>-72.301851055374073</v>
      </c>
      <c r="S29" s="803">
        <f t="shared" ca="1" si="7"/>
        <v>-62.923875638213545</v>
      </c>
      <c r="T29" s="803">
        <f t="shared" ca="1" si="7"/>
        <v>-52.822380861644028</v>
      </c>
      <c r="U29" s="803">
        <f t="shared" ca="1" si="7"/>
        <v>-41.302928356190748</v>
      </c>
      <c r="V29" s="803">
        <f t="shared" ca="1" si="7"/>
        <v>-28.712747108309795</v>
      </c>
      <c r="W29" s="803">
        <f t="shared" ca="1" si="7"/>
        <v>-24.363532176145643</v>
      </c>
      <c r="X29" s="803">
        <f t="shared" ca="1" si="7"/>
        <v>-19.366666685749355</v>
      </c>
    </row>
    <row r="31" spans="1:24">
      <c r="D31" s="820">
        <v>99985999.839548931</v>
      </c>
      <c r="E31" s="782">
        <v>93551390.07684584</v>
      </c>
      <c r="F31" s="782">
        <v>87491484.602945432</v>
      </c>
      <c r="G31" s="782">
        <v>81828522.704920158</v>
      </c>
      <c r="H31" s="782">
        <v>76306112.916078985</v>
      </c>
      <c r="I31" s="782">
        <v>71014178.633394286</v>
      </c>
      <c r="J31" s="782">
        <v>65831615.613365315</v>
      </c>
      <c r="K31" s="782">
        <v>60732075.875586517</v>
      </c>
      <c r="L31" s="782">
        <v>55537158.461356468</v>
      </c>
      <c r="M31" s="782">
        <v>50579096.256008282</v>
      </c>
      <c r="N31" s="782">
        <v>45666421.137754805</v>
      </c>
      <c r="O31" s="782">
        <v>40888400.348361887</v>
      </c>
      <c r="P31" s="782">
        <v>36299226.474739678</v>
      </c>
      <c r="Q31" s="782">
        <v>31788400.242337156</v>
      </c>
      <c r="R31" s="782">
        <v>27459753.715427317</v>
      </c>
      <c r="S31" s="782">
        <v>23364865.931039035</v>
      </c>
      <c r="T31" s="782">
        <v>19414286.08395062</v>
      </c>
      <c r="U31" s="782">
        <v>15825613.038721051</v>
      </c>
      <c r="V31" s="782">
        <v>12518393.295802344</v>
      </c>
      <c r="W31" s="782">
        <v>9411917.5974087473</v>
      </c>
      <c r="X31" s="782">
        <v>6549851.1193869784</v>
      </c>
    </row>
    <row r="32" spans="1:24">
      <c r="D32" s="823">
        <f>D31-$X$31/2</f>
        <v>96711074.279855445</v>
      </c>
      <c r="E32" s="823">
        <f t="shared" ref="E32:X32" si="8">E31-$X$31/2</f>
        <v>90276464.517152354</v>
      </c>
      <c r="F32" s="823">
        <f t="shared" si="8"/>
        <v>84216559.043251947</v>
      </c>
      <c r="G32" s="823">
        <f t="shared" si="8"/>
        <v>78553597.145226672</v>
      </c>
      <c r="H32" s="823">
        <f t="shared" si="8"/>
        <v>73031187.356385499</v>
      </c>
      <c r="I32" s="823">
        <f t="shared" si="8"/>
        <v>67739253.073700801</v>
      </c>
      <c r="J32" s="823">
        <f t="shared" si="8"/>
        <v>62556690.053671822</v>
      </c>
      <c r="K32" s="823">
        <f t="shared" si="8"/>
        <v>57457150.315893024</v>
      </c>
      <c r="L32" s="823">
        <f t="shared" si="8"/>
        <v>52262232.901662976</v>
      </c>
      <c r="M32" s="823">
        <f t="shared" si="8"/>
        <v>47304170.696314797</v>
      </c>
      <c r="N32" s="823">
        <f t="shared" si="8"/>
        <v>42391495.578061312</v>
      </c>
      <c r="O32" s="823">
        <f t="shared" si="8"/>
        <v>37613474.788668394</v>
      </c>
      <c r="P32" s="823">
        <f t="shared" si="8"/>
        <v>33024300.915046189</v>
      </c>
      <c r="Q32" s="823">
        <f t="shared" si="8"/>
        <v>28513474.682643667</v>
      </c>
      <c r="R32" s="823">
        <f t="shared" si="8"/>
        <v>24184828.155733828</v>
      </c>
      <c r="S32" s="823">
        <f t="shared" si="8"/>
        <v>20089940.371345546</v>
      </c>
      <c r="T32" s="823">
        <f t="shared" si="8"/>
        <v>16139360.524257131</v>
      </c>
      <c r="U32" s="823">
        <f t="shared" si="8"/>
        <v>12550687.479027562</v>
      </c>
      <c r="V32" s="823">
        <f t="shared" si="8"/>
        <v>9243467.7361088544</v>
      </c>
      <c r="W32" s="823">
        <f t="shared" si="8"/>
        <v>6136992.0377152581</v>
      </c>
      <c r="X32" s="823">
        <f t="shared" si="8"/>
        <v>3274925.5596934892</v>
      </c>
    </row>
    <row r="34" spans="4:25">
      <c r="D34" s="782">
        <f>D32*118125000/$E$32</f>
        <v>126544561.86792059</v>
      </c>
      <c r="E34" s="782">
        <f t="shared" ref="E34:X34" si="9">E32*118125000/$E$32</f>
        <v>118125000</v>
      </c>
      <c r="F34" s="782">
        <f t="shared" si="9"/>
        <v>110195731.41451524</v>
      </c>
      <c r="G34" s="782">
        <f t="shared" si="9"/>
        <v>102785855.7865531</v>
      </c>
      <c r="H34" s="782">
        <f t="shared" si="9"/>
        <v>95559889.862921685</v>
      </c>
      <c r="I34" s="782">
        <f t="shared" si="9"/>
        <v>88635496.661597773</v>
      </c>
      <c r="J34" s="782">
        <f t="shared" si="9"/>
        <v>81854213.632679328</v>
      </c>
      <c r="K34" s="782">
        <f t="shared" si="9"/>
        <v>75181564.95567371</v>
      </c>
      <c r="L34" s="782">
        <f t="shared" si="9"/>
        <v>68384116.441954702</v>
      </c>
      <c r="M34" s="782">
        <f t="shared" si="9"/>
        <v>61896588.367619477</v>
      </c>
      <c r="N34" s="782">
        <f t="shared" si="9"/>
        <v>55468448.415002763</v>
      </c>
      <c r="O34" s="782">
        <f t="shared" si="9"/>
        <v>49216501.035740882</v>
      </c>
      <c r="P34" s="782">
        <f t="shared" si="9"/>
        <v>43211656.176994495</v>
      </c>
      <c r="Q34" s="782">
        <f t="shared" si="9"/>
        <v>37309327.684707239</v>
      </c>
      <c r="R34" s="782">
        <f t="shared" si="9"/>
        <v>31645377.79781203</v>
      </c>
      <c r="S34" s="782">
        <f t="shared" si="9"/>
        <v>26287296.684223864</v>
      </c>
      <c r="T34" s="782">
        <f t="shared" si="9"/>
        <v>21118039.703090604</v>
      </c>
      <c r="U34" s="782">
        <f t="shared" si="9"/>
        <v>16422330.741346756</v>
      </c>
      <c r="V34" s="782">
        <f t="shared" si="9"/>
        <v>12094897.95782158</v>
      </c>
      <c r="W34" s="782">
        <f t="shared" si="9"/>
        <v>8030134.8566588936</v>
      </c>
      <c r="X34" s="782">
        <f t="shared" si="9"/>
        <v>4285176.4721611645</v>
      </c>
    </row>
    <row r="36" spans="4:25">
      <c r="E36" s="822">
        <f>(E34-F34)/$E$34</f>
        <v>6.7126083263363029E-2</v>
      </c>
      <c r="F36" s="822">
        <f t="shared" ref="F36:X36" si="10">(F34-G34)/$E$34</f>
        <v>6.2729105845182154E-2</v>
      </c>
      <c r="G36" s="822">
        <f t="shared" si="10"/>
        <v>6.1172198295292399E-2</v>
      </c>
      <c r="H36" s="822">
        <f t="shared" si="10"/>
        <v>5.861920170432941E-2</v>
      </c>
      <c r="I36" s="822">
        <f t="shared" si="10"/>
        <v>5.7407687017299008E-2</v>
      </c>
      <c r="J36" s="822">
        <f t="shared" si="10"/>
        <v>5.6488031128089894E-2</v>
      </c>
      <c r="K36" s="822">
        <f t="shared" si="10"/>
        <v>5.7544537682277311E-2</v>
      </c>
      <c r="L36" s="822">
        <f t="shared" si="10"/>
        <v>5.4920872586964868E-2</v>
      </c>
      <c r="M36" s="822">
        <f t="shared" si="10"/>
        <v>5.4418116000988052E-2</v>
      </c>
      <c r="N36" s="822">
        <f t="shared" si="10"/>
        <v>5.2926538660418042E-2</v>
      </c>
      <c r="O36" s="822">
        <f t="shared" si="10"/>
        <v>5.0834665470868887E-2</v>
      </c>
      <c r="P36" s="822">
        <f t="shared" si="10"/>
        <v>4.9966802051109045E-2</v>
      </c>
      <c r="Q36" s="822">
        <f t="shared" si="10"/>
        <v>4.7948782111282194E-2</v>
      </c>
      <c r="R36" s="822">
        <f t="shared" si="10"/>
        <v>4.5359416834608805E-2</v>
      </c>
      <c r="S36" s="822">
        <f t="shared" si="10"/>
        <v>4.3760905660387386E-2</v>
      </c>
      <c r="T36" s="822">
        <f t="shared" si="10"/>
        <v>3.9752033538572262E-2</v>
      </c>
      <c r="U36" s="822">
        <f t="shared" si="10"/>
        <v>3.6634351606562338E-2</v>
      </c>
      <c r="V36" s="822">
        <f t="shared" si="10"/>
        <v>3.4410692919895756E-2</v>
      </c>
      <c r="W36" s="822">
        <f t="shared" si="10"/>
        <v>3.1703351403155382E-2</v>
      </c>
      <c r="X36" s="822">
        <f t="shared" si="10"/>
        <v>3.6276626219353771E-2</v>
      </c>
    </row>
    <row r="38" spans="4:25">
      <c r="D38" s="821">
        <f>D32*102375000/$E$32</f>
        <v>109671953.61886452</v>
      </c>
      <c r="E38" s="821">
        <f t="shared" ref="E38:X38" si="11">E32*102375000/$E$32</f>
        <v>102375000</v>
      </c>
      <c r="F38" s="821">
        <f t="shared" si="11"/>
        <v>95502967.225913212</v>
      </c>
      <c r="G38" s="821">
        <f t="shared" si="11"/>
        <v>89081075.015012696</v>
      </c>
      <c r="H38" s="821">
        <f t="shared" si="11"/>
        <v>82818571.214532122</v>
      </c>
      <c r="I38" s="821">
        <f t="shared" si="11"/>
        <v>76817430.440051392</v>
      </c>
      <c r="J38" s="821">
        <f t="shared" si="11"/>
        <v>70940318.481655419</v>
      </c>
      <c r="K38" s="821">
        <f t="shared" si="11"/>
        <v>65157356.294917218</v>
      </c>
      <c r="L38" s="821">
        <f t="shared" si="11"/>
        <v>59266234.249694079</v>
      </c>
      <c r="M38" s="821">
        <f t="shared" si="11"/>
        <v>53643709.918603547</v>
      </c>
      <c r="N38" s="821">
        <f t="shared" si="11"/>
        <v>48072655.293002397</v>
      </c>
      <c r="O38" s="821">
        <f t="shared" si="11"/>
        <v>42654300.897642098</v>
      </c>
      <c r="P38" s="821">
        <f t="shared" si="11"/>
        <v>37450102.020061895</v>
      </c>
      <c r="Q38" s="821">
        <f t="shared" si="11"/>
        <v>32334750.66007961</v>
      </c>
      <c r="R38" s="821">
        <f t="shared" si="11"/>
        <v>27425994.09143709</v>
      </c>
      <c r="S38" s="821">
        <f t="shared" si="11"/>
        <v>22782323.792994019</v>
      </c>
      <c r="T38" s="821">
        <f t="shared" si="11"/>
        <v>18302301.076011855</v>
      </c>
      <c r="U38" s="821">
        <f t="shared" si="11"/>
        <v>14232686.642500523</v>
      </c>
      <c r="V38" s="821">
        <f t="shared" si="11"/>
        <v>10482244.896778705</v>
      </c>
      <c r="W38" s="821">
        <f t="shared" si="11"/>
        <v>6959450.2091043731</v>
      </c>
      <c r="X38" s="821">
        <f t="shared" si="11"/>
        <v>3713819.6092063417</v>
      </c>
    </row>
    <row r="40" spans="4:25">
      <c r="E40" s="822">
        <f>(E38-F38)/$E38</f>
        <v>6.7126083263363015E-2</v>
      </c>
      <c r="F40" s="822">
        <f t="shared" ref="F40:X40" si="12">(F38-G38)/$E$38</f>
        <v>6.2729105845182084E-2</v>
      </c>
      <c r="G40" s="822">
        <f t="shared" si="12"/>
        <v>6.1172198295292544E-2</v>
      </c>
      <c r="H40" s="822">
        <f t="shared" si="12"/>
        <v>5.8619201704329479E-2</v>
      </c>
      <c r="I40" s="822">
        <f t="shared" si="12"/>
        <v>5.7407687017298883E-2</v>
      </c>
      <c r="J40" s="822">
        <f t="shared" si="12"/>
        <v>5.6488031128089873E-2</v>
      </c>
      <c r="K40" s="822">
        <f t="shared" si="12"/>
        <v>5.7544537682277304E-2</v>
      </c>
      <c r="L40" s="822">
        <f t="shared" si="12"/>
        <v>5.4920872586964903E-2</v>
      </c>
      <c r="M40" s="822">
        <f t="shared" si="12"/>
        <v>5.4418116000988039E-2</v>
      </c>
      <c r="N40" s="822">
        <f t="shared" si="12"/>
        <v>5.2926538660418056E-2</v>
      </c>
      <c r="O40" s="822">
        <f t="shared" si="12"/>
        <v>5.0834665470868894E-2</v>
      </c>
      <c r="P40" s="822">
        <f t="shared" si="12"/>
        <v>4.9966802051109017E-2</v>
      </c>
      <c r="Q40" s="822">
        <f t="shared" si="12"/>
        <v>4.7948782111282243E-2</v>
      </c>
      <c r="R40" s="822">
        <f t="shared" si="12"/>
        <v>4.5359416834608757E-2</v>
      </c>
      <c r="S40" s="822">
        <f t="shared" si="12"/>
        <v>4.3760905660387435E-2</v>
      </c>
      <c r="T40" s="822">
        <f t="shared" si="12"/>
        <v>3.9752033538572228E-2</v>
      </c>
      <c r="U40" s="822">
        <f t="shared" si="12"/>
        <v>3.6634351606562331E-2</v>
      </c>
      <c r="V40" s="822">
        <f t="shared" si="12"/>
        <v>3.4410692919895791E-2</v>
      </c>
      <c r="W40" s="822">
        <f t="shared" si="12"/>
        <v>3.1703351403155375E-2</v>
      </c>
      <c r="X40" s="822">
        <f t="shared" si="12"/>
        <v>3.6276626219353764E-2</v>
      </c>
    </row>
    <row r="43" spans="4:25">
      <c r="D43" s="825">
        <v>36617</v>
      </c>
      <c r="E43" s="825">
        <v>36982</v>
      </c>
      <c r="F43" s="825">
        <v>37347</v>
      </c>
      <c r="G43" s="825">
        <v>37712</v>
      </c>
      <c r="H43" s="825">
        <v>38078</v>
      </c>
      <c r="I43" s="825">
        <v>38444</v>
      </c>
      <c r="J43" s="825">
        <v>38808</v>
      </c>
      <c r="K43" s="825">
        <v>37347</v>
      </c>
      <c r="L43" s="825">
        <v>39539</v>
      </c>
      <c r="M43" s="825">
        <v>39904</v>
      </c>
      <c r="N43" s="825">
        <v>40269</v>
      </c>
      <c r="O43" s="825">
        <v>40634</v>
      </c>
      <c r="P43" s="825">
        <v>41000</v>
      </c>
      <c r="Q43" s="825">
        <v>41365</v>
      </c>
      <c r="R43" s="825">
        <v>41730</v>
      </c>
      <c r="S43" s="825">
        <v>42095</v>
      </c>
      <c r="T43" s="825">
        <v>42461</v>
      </c>
      <c r="U43" s="825">
        <v>42826</v>
      </c>
      <c r="V43" s="825">
        <v>43191</v>
      </c>
      <c r="W43" s="825">
        <v>43556</v>
      </c>
      <c r="X43" s="825">
        <v>43922</v>
      </c>
      <c r="Y43" s="825">
        <v>44105</v>
      </c>
    </row>
    <row r="44" spans="4:25">
      <c r="D44" s="782">
        <v>134921749.54653946</v>
      </c>
      <c r="E44" s="782">
        <v>131743725.11320361</v>
      </c>
      <c r="F44" s="782">
        <v>129528966.26157856</v>
      </c>
      <c r="G44" s="782">
        <v>127053137.54226491</v>
      </c>
      <c r="H44" s="782">
        <v>123975637.26952</v>
      </c>
      <c r="I44" s="782">
        <f>AVERAGE(H44,J44)</f>
        <v>120298578.13396417</v>
      </c>
      <c r="J44" s="782">
        <v>116621518.99840833</v>
      </c>
      <c r="K44" s="782">
        <f>AVERAGE(J44,L44)</f>
        <v>111592179.67897782</v>
      </c>
      <c r="L44" s="782">
        <v>106562840.35954729</v>
      </c>
      <c r="M44" s="782">
        <f>AVERAGE(L44,N44)</f>
        <v>99967039.781682327</v>
      </c>
      <c r="N44" s="782">
        <v>93371239.203817368</v>
      </c>
      <c r="O44" s="782">
        <f>AVERAGE(N44,P44)</f>
        <v>85030730.466154546</v>
      </c>
      <c r="P44" s="782">
        <v>76690221.728491709</v>
      </c>
      <c r="Q44" s="782">
        <f>AVERAGE(P44,R44)</f>
        <v>78366953.325643212</v>
      </c>
      <c r="R44" s="782">
        <v>80043684.922794715</v>
      </c>
      <c r="S44" s="782">
        <f>AVERAGE(R44,T44)</f>
        <v>70131797.579666078</v>
      </c>
      <c r="T44" s="782">
        <v>60219910.236537427</v>
      </c>
      <c r="U44" s="782">
        <f>AVERAGE(T44,V44)</f>
        <v>54365549.56701088</v>
      </c>
      <c r="V44" s="782">
        <v>48511188.897484325</v>
      </c>
      <c r="W44" s="782">
        <v>36519301.376975343</v>
      </c>
      <c r="X44" s="782">
        <v>24062331.709243521</v>
      </c>
      <c r="Y44" s="782">
        <v>6767554.5</v>
      </c>
    </row>
    <row r="45" spans="4:25">
      <c r="E45" s="822">
        <f>(E44-F44)/$E44</f>
        <v>1.6811114531048641E-2</v>
      </c>
      <c r="F45" s="822">
        <f t="shared" ref="F45:S45" si="13">(F44-G44)/$E44</f>
        <v>1.8792763884475275E-2</v>
      </c>
      <c r="G45" s="822">
        <f t="shared" si="13"/>
        <v>2.3359748406237193E-2</v>
      </c>
      <c r="H45" s="822">
        <f t="shared" si="13"/>
        <v>2.7910696561800129E-2</v>
      </c>
      <c r="I45" s="822">
        <f t="shared" si="13"/>
        <v>2.7910696561800129E-2</v>
      </c>
      <c r="J45" s="822">
        <f t="shared" si="13"/>
        <v>3.8175171645624471E-2</v>
      </c>
      <c r="K45" s="822">
        <f t="shared" si="13"/>
        <v>3.8175171645624582E-2</v>
      </c>
      <c r="L45" s="822">
        <f t="shared" si="13"/>
        <v>5.0065386963951242E-2</v>
      </c>
      <c r="M45" s="822">
        <f t="shared" si="13"/>
        <v>5.0065386963951242E-2</v>
      </c>
      <c r="N45" s="822">
        <f t="shared" si="13"/>
        <v>6.3308584378467064E-2</v>
      </c>
      <c r="O45" s="822">
        <f t="shared" si="13"/>
        <v>6.3308584378467175E-2</v>
      </c>
      <c r="P45" s="822">
        <v>6.5000000000000002E-2</v>
      </c>
      <c r="Q45" s="822">
        <v>6.5000000000000002E-2</v>
      </c>
      <c r="R45" s="822">
        <f t="shared" si="13"/>
        <v>7.523612479161064E-2</v>
      </c>
      <c r="S45" s="822">
        <f t="shared" si="13"/>
        <v>7.5236124791610764E-2</v>
      </c>
      <c r="T45" s="822">
        <v>7.4999999999999997E-2</v>
      </c>
      <c r="U45" s="822">
        <v>7.4999999999999997E-2</v>
      </c>
      <c r="V45" s="822">
        <v>0.05</v>
      </c>
      <c r="W45" s="822">
        <v>0.05</v>
      </c>
      <c r="X45" s="822">
        <v>5.16E-2</v>
      </c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62"/>
  <sheetViews>
    <sheetView showOutlineSymbols="0" view="pageBreakPreview" zoomScale="60" zoomScaleNormal="75" workbookViewId="0">
      <selection activeCell="C10" sqref="C10"/>
    </sheetView>
  </sheetViews>
  <sheetFormatPr defaultColWidth="9.81640625" defaultRowHeight="15.6"/>
  <cols>
    <col min="1" max="1" width="20.81640625" style="317" customWidth="1"/>
    <col min="2" max="2" width="5.81640625" style="317" customWidth="1"/>
    <col min="3" max="22" width="9.81640625" style="317" customWidth="1"/>
    <col min="23" max="23" width="3.6328125" style="317" customWidth="1"/>
    <col min="24" max="16384" width="9.81640625" style="317"/>
  </cols>
  <sheetData>
    <row r="1" spans="1:23" ht="22.2">
      <c r="A1" s="316" t="str">
        <f ca="1">'CSHFLO-ENA'!A1</f>
        <v>DELMARVA, VA</v>
      </c>
    </row>
    <row r="2" spans="1:23">
      <c r="A2" s="319" t="s">
        <v>135</v>
      </c>
      <c r="B2" s="320"/>
    </row>
    <row r="3" spans="1:23" ht="12.75" customHeight="1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23">
      <c r="A4" s="322"/>
      <c r="B4" s="322"/>
    </row>
    <row r="5" spans="1:23">
      <c r="A5" s="323" t="str">
        <f ca="1">'CSHFLO-ENA'!A5</f>
        <v>US $ 000s</v>
      </c>
      <c r="B5" s="322"/>
      <c r="C5" s="323">
        <f ca="1">'CSHFLO-ENA'!C5</f>
        <v>2000</v>
      </c>
      <c r="D5" s="323">
        <f ca="1">'CSHFLO-ENA'!D5</f>
        <v>2001</v>
      </c>
      <c r="E5" s="323">
        <f ca="1">'CSHFLO-ENA'!E5</f>
        <v>2002</v>
      </c>
      <c r="F5" s="323">
        <f ca="1">'CSHFLO-ENA'!F5</f>
        <v>2003</v>
      </c>
      <c r="G5" s="323">
        <f ca="1">'CSHFLO-ENA'!G5</f>
        <v>2004</v>
      </c>
      <c r="H5" s="323">
        <f ca="1">'CSHFLO-ENA'!H5</f>
        <v>2005</v>
      </c>
      <c r="I5" s="323">
        <f ca="1">'CSHFLO-ENA'!I5</f>
        <v>2006</v>
      </c>
      <c r="J5" s="323">
        <f ca="1">'CSHFLO-ENA'!J5</f>
        <v>2007</v>
      </c>
      <c r="K5" s="323">
        <f ca="1">'CSHFLO-ENA'!K5</f>
        <v>2008</v>
      </c>
      <c r="L5" s="323">
        <f ca="1">'CSHFLO-ENA'!L5</f>
        <v>2009</v>
      </c>
      <c r="M5" s="323">
        <f ca="1">'CSHFLO-ENA'!M5</f>
        <v>2010</v>
      </c>
      <c r="N5" s="323">
        <f ca="1">'CSHFLO-ENA'!N5</f>
        <v>2011</v>
      </c>
      <c r="O5" s="323">
        <f ca="1">'CSHFLO-ENA'!O5</f>
        <v>2012</v>
      </c>
      <c r="P5" s="323">
        <f ca="1">'CSHFLO-ENA'!P5</f>
        <v>2013</v>
      </c>
      <c r="Q5" s="323">
        <f ca="1">'CSHFLO-ENA'!Q5</f>
        <v>2014</v>
      </c>
      <c r="R5" s="323">
        <f ca="1">'CSHFLO-ENA'!R5</f>
        <v>2015</v>
      </c>
      <c r="S5" s="323">
        <f ca="1">'CSHFLO-ENA'!S5</f>
        <v>2016</v>
      </c>
      <c r="T5" s="323">
        <f ca="1">'CSHFLO-ENA'!T5</f>
        <v>2017</v>
      </c>
      <c r="U5" s="323">
        <f ca="1">'CSHFLO-ENA'!U5</f>
        <v>2018</v>
      </c>
      <c r="V5" s="323">
        <f ca="1">'CSHFLO-ENA'!V5</f>
        <v>2019</v>
      </c>
    </row>
    <row r="6" spans="1:23">
      <c r="A6" s="317" t="str">
        <f ca="1">'CSHFLO-ENA'!A6</f>
        <v>Year</v>
      </c>
      <c r="C6" s="322">
        <f ca="1">'CSHFLO-ENA'!C6</f>
        <v>1</v>
      </c>
      <c r="D6" s="322">
        <f ca="1">'CSHFLO-ENA'!D6</f>
        <v>2</v>
      </c>
      <c r="E6" s="322">
        <f ca="1">'CSHFLO-ENA'!E6</f>
        <v>3</v>
      </c>
      <c r="F6" s="322">
        <f ca="1">'CSHFLO-ENA'!F6</f>
        <v>4</v>
      </c>
      <c r="G6" s="322">
        <f ca="1">'CSHFLO-ENA'!G6</f>
        <v>5</v>
      </c>
      <c r="H6" s="322">
        <f ca="1">'CSHFLO-ENA'!H6</f>
        <v>6</v>
      </c>
      <c r="I6" s="322">
        <f ca="1">'CSHFLO-ENA'!I6</f>
        <v>7</v>
      </c>
      <c r="J6" s="322">
        <f ca="1">'CSHFLO-ENA'!J6</f>
        <v>8</v>
      </c>
      <c r="K6" s="322">
        <f ca="1">'CSHFLO-ENA'!K6</f>
        <v>9</v>
      </c>
      <c r="L6" s="322">
        <f ca="1">'CSHFLO-ENA'!L6</f>
        <v>10</v>
      </c>
      <c r="M6" s="322">
        <f ca="1">'CSHFLO-ENA'!M6</f>
        <v>11</v>
      </c>
      <c r="N6" s="322">
        <f ca="1">'CSHFLO-ENA'!N6</f>
        <v>12</v>
      </c>
      <c r="O6" s="322">
        <f ca="1">'CSHFLO-ENA'!O6</f>
        <v>13</v>
      </c>
      <c r="P6" s="322">
        <f ca="1">'CSHFLO-ENA'!P6</f>
        <v>14</v>
      </c>
      <c r="Q6" s="322">
        <f ca="1">'CSHFLO-ENA'!Q6</f>
        <v>15</v>
      </c>
      <c r="R6" s="322">
        <f ca="1">'CSHFLO-ENA'!R6</f>
        <v>16</v>
      </c>
      <c r="S6" s="322">
        <f ca="1">'CSHFLO-ENA'!S6</f>
        <v>17</v>
      </c>
      <c r="T6" s="322">
        <f ca="1">'CSHFLO-ENA'!T6</f>
        <v>18</v>
      </c>
      <c r="U6" s="322">
        <f ca="1">'CSHFLO-ENA'!U6</f>
        <v>19</v>
      </c>
      <c r="V6" s="322">
        <f ca="1">'CSHFLO-ENA'!V6</f>
        <v>20</v>
      </c>
    </row>
    <row r="7" spans="1:23">
      <c r="A7" s="317" t="str">
        <f ca="1">'CSHFLO-ENA'!A7</f>
        <v>Months of Operation</v>
      </c>
      <c r="C7" s="322">
        <f ca="1">'CSHFLO-ENA'!C7</f>
        <v>7</v>
      </c>
      <c r="D7" s="322">
        <f ca="1">'CSHFLO-ENA'!D7</f>
        <v>12</v>
      </c>
      <c r="E7" s="322">
        <f ca="1">'CSHFLO-ENA'!E7</f>
        <v>12</v>
      </c>
      <c r="F7" s="322">
        <f ca="1">'CSHFLO-ENA'!F7</f>
        <v>12</v>
      </c>
      <c r="G7" s="322">
        <f ca="1">'CSHFLO-ENA'!G7</f>
        <v>12</v>
      </c>
      <c r="H7" s="322">
        <f ca="1">'CSHFLO-ENA'!H7</f>
        <v>12</v>
      </c>
      <c r="I7" s="322">
        <f ca="1">'CSHFLO-ENA'!I7</f>
        <v>12</v>
      </c>
      <c r="J7" s="322">
        <f ca="1">'CSHFLO-ENA'!J7</f>
        <v>12</v>
      </c>
      <c r="K7" s="322">
        <f ca="1">'CSHFLO-ENA'!K7</f>
        <v>12</v>
      </c>
      <c r="L7" s="322">
        <f ca="1">'CSHFLO-ENA'!L7</f>
        <v>12</v>
      </c>
      <c r="M7" s="322">
        <f ca="1">'CSHFLO-ENA'!M7</f>
        <v>12</v>
      </c>
      <c r="N7" s="322">
        <f ca="1">'CSHFLO-ENA'!N7</f>
        <v>12</v>
      </c>
      <c r="O7" s="322">
        <f ca="1">'CSHFLO-ENA'!O7</f>
        <v>12</v>
      </c>
      <c r="P7" s="322">
        <f ca="1">'CSHFLO-ENA'!P7</f>
        <v>12</v>
      </c>
      <c r="Q7" s="322">
        <f ca="1">'CSHFLO-ENA'!Q7</f>
        <v>12</v>
      </c>
      <c r="R7" s="322">
        <f ca="1">'CSHFLO-ENA'!R7</f>
        <v>12</v>
      </c>
      <c r="S7" s="322">
        <f ca="1">'CSHFLO-ENA'!S7</f>
        <v>12</v>
      </c>
      <c r="T7" s="322">
        <f ca="1">'CSHFLO-ENA'!T7</f>
        <v>12</v>
      </c>
      <c r="U7" s="322">
        <f ca="1">'CSHFLO-ENA'!U7</f>
        <v>12</v>
      </c>
      <c r="V7" s="322">
        <f ca="1">'CSHFLO-ENA'!V7</f>
        <v>12</v>
      </c>
    </row>
    <row r="9" spans="1:23">
      <c r="A9" s="324" t="s">
        <v>281</v>
      </c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6"/>
    </row>
    <row r="10" spans="1:23">
      <c r="A10" s="326" t="str">
        <f ca="1">'CSHFLO-ENA'!A10</f>
        <v xml:space="preserve">    Capacity Charges</v>
      </c>
      <c r="C10" s="327">
        <f>'Co IS'!C10</f>
        <v>2670.6019857725</v>
      </c>
      <c r="D10" s="327">
        <f>'Co IS'!D10</f>
        <v>8535.1460549557978</v>
      </c>
      <c r="E10" s="327">
        <f>'Co IS'!E10</f>
        <v>8634.5230131309399</v>
      </c>
      <c r="F10" s="327">
        <f>'Co IS'!F10</f>
        <v>8843.4511175181378</v>
      </c>
      <c r="G10" s="327">
        <f>'Co IS'!G10</f>
        <v>9040.6333562818381</v>
      </c>
      <c r="H10" s="327">
        <f>'Co IS'!H10</f>
        <v>6618.2577418592673</v>
      </c>
      <c r="I10" s="327">
        <f>'Co IS'!I10</f>
        <v>8589.7344052949211</v>
      </c>
      <c r="J10" s="327">
        <f>'Co IS'!J10</f>
        <v>10759.145310641588</v>
      </c>
      <c r="K10" s="327">
        <f>'Co IS'!K10</f>
        <v>11016.859465760257</v>
      </c>
      <c r="L10" s="327">
        <f>'Co IS'!L10</f>
        <v>10402.806145686296</v>
      </c>
      <c r="M10" s="327">
        <f>'Co IS'!M10</f>
        <v>10613.950496424512</v>
      </c>
      <c r="N10" s="327">
        <f>'Co IS'!N10</f>
        <v>10065.807689282616</v>
      </c>
      <c r="O10" s="327">
        <f>'Co IS'!O10</f>
        <v>9828.1842643041964</v>
      </c>
      <c r="P10" s="327">
        <f>'Co IS'!P10</f>
        <v>9002.0239312495087</v>
      </c>
      <c r="Q10" s="327">
        <f>'Co IS'!Q10</f>
        <v>10633.654779665956</v>
      </c>
      <c r="R10" s="327">
        <f>'Co IS'!R10</f>
        <v>12213.685674306913</v>
      </c>
      <c r="S10" s="327">
        <f>'Co IS'!S10</f>
        <v>13797.396491410733</v>
      </c>
      <c r="T10" s="327">
        <f>'Co IS'!T10</f>
        <v>13904.796814559999</v>
      </c>
      <c r="U10" s="327">
        <f>'Co IS'!U10</f>
        <v>14388.47460655525</v>
      </c>
      <c r="V10" s="327">
        <f>'Co IS'!V10</f>
        <v>12153.671265220351</v>
      </c>
      <c r="W10" s="326"/>
    </row>
    <row r="11" spans="1:23">
      <c r="A11" s="326" t="str">
        <f ca="1">'CSHFLO-ENA'!A11</f>
        <v xml:space="preserve">    Option Revenue</v>
      </c>
      <c r="C11" s="327">
        <f>'Co IS'!C11</f>
        <v>3028.465486322194</v>
      </c>
      <c r="D11" s="327">
        <f>'Co IS'!D11</f>
        <v>7912.7499637431865</v>
      </c>
      <c r="E11" s="327">
        <f>'Co IS'!E11</f>
        <v>7655.4394924636754</v>
      </c>
      <c r="F11" s="327">
        <f>'Co IS'!F11</f>
        <v>8061.4198831599469</v>
      </c>
      <c r="G11" s="327">
        <f>'Co IS'!G11</f>
        <v>8083.526717476715</v>
      </c>
      <c r="H11" s="327">
        <f>'Co IS'!H11</f>
        <v>5828.1366763630331</v>
      </c>
      <c r="I11" s="327">
        <f>'Co IS'!I11</f>
        <v>7637.9174252096363</v>
      </c>
      <c r="J11" s="327">
        <f>'Co IS'!J11</f>
        <v>9845.3570906857767</v>
      </c>
      <c r="K11" s="327">
        <f>'Co IS'!K11</f>
        <v>9955.0231008411083</v>
      </c>
      <c r="L11" s="327">
        <f>'Co IS'!L11</f>
        <v>9220.6198012628774</v>
      </c>
      <c r="M11" s="327">
        <f>'Co IS'!M11</f>
        <v>9354.9875191446135</v>
      </c>
      <c r="N11" s="327">
        <f>'Co IS'!N11</f>
        <v>8831.3797809957505</v>
      </c>
      <c r="O11" s="327">
        <f>'Co IS'!O11</f>
        <v>8892.4466391200676</v>
      </c>
      <c r="P11" s="327">
        <f>'Co IS'!P11</f>
        <v>8043.9230909434364</v>
      </c>
      <c r="Q11" s="327">
        <f>'Co IS'!Q11</f>
        <v>9481.7601106008115</v>
      </c>
      <c r="R11" s="327">
        <f>'Co IS'!R11</f>
        <v>11224.822459980584</v>
      </c>
      <c r="S11" s="327">
        <f>'Co IS'!S11</f>
        <v>12855.472668114626</v>
      </c>
      <c r="T11" s="327">
        <f>'Co IS'!T11</f>
        <v>13011.623076007696</v>
      </c>
      <c r="U11" s="327">
        <f>'Co IS'!U11</f>
        <v>13549.976479515202</v>
      </c>
      <c r="V11" s="327">
        <f>'Co IS'!V11</f>
        <v>11043.297311110464</v>
      </c>
      <c r="W11" s="326"/>
    </row>
    <row r="12" spans="1:23">
      <c r="A12" s="326" t="str">
        <f ca="1">'CSHFLO-ENA'!A12</f>
        <v xml:space="preserve">    Spot Revenue</v>
      </c>
      <c r="C12" s="328">
        <f>'Co IS'!C12</f>
        <v>9096.9885575593562</v>
      </c>
      <c r="D12" s="328">
        <f>'Co IS'!D12</f>
        <v>24969.329618222044</v>
      </c>
      <c r="E12" s="328">
        <f>'Co IS'!E12</f>
        <v>24953.239630039927</v>
      </c>
      <c r="F12" s="328">
        <f>'Co IS'!F12</f>
        <v>25916.861991501624</v>
      </c>
      <c r="G12" s="328">
        <f>'Co IS'!G12</f>
        <v>26004.163136320436</v>
      </c>
      <c r="H12" s="328">
        <f>'Co IS'!H12</f>
        <v>22029.730420557811</v>
      </c>
      <c r="I12" s="328">
        <f>'Co IS'!I12</f>
        <v>25832.444698313033</v>
      </c>
      <c r="J12" s="328">
        <f>'Co IS'!J12</f>
        <v>29838.48549015119</v>
      </c>
      <c r="K12" s="328">
        <f>'Co IS'!K12</f>
        <v>30212.118526126778</v>
      </c>
      <c r="L12" s="328">
        <f>'Co IS'!L12</f>
        <v>29552.425024262608</v>
      </c>
      <c r="M12" s="328">
        <f>'Co IS'!M12</f>
        <v>30145.191414116238</v>
      </c>
      <c r="N12" s="328">
        <f>'Co IS'!N12</f>
        <v>29608.482059286162</v>
      </c>
      <c r="O12" s="328">
        <f>'Co IS'!O12</f>
        <v>30318.421751258113</v>
      </c>
      <c r="P12" s="328">
        <f>'Co IS'!P12</f>
        <v>29037.647071435193</v>
      </c>
      <c r="Q12" s="328">
        <f>'Co IS'!Q12</f>
        <v>31932.069320129191</v>
      </c>
      <c r="R12" s="328">
        <f>'Co IS'!R12</f>
        <v>34619.491899677727</v>
      </c>
      <c r="S12" s="328">
        <f>'Co IS'!S12</f>
        <v>37491.533048382487</v>
      </c>
      <c r="T12" s="328">
        <f>'Co IS'!T12</f>
        <v>38148.972588033845</v>
      </c>
      <c r="U12" s="328">
        <f>'Co IS'!U12</f>
        <v>39594.909535552164</v>
      </c>
      <c r="V12" s="328">
        <f>'Co IS'!V12</f>
        <v>36082.035749385941</v>
      </c>
      <c r="W12" s="326"/>
    </row>
    <row r="13" spans="1:23">
      <c r="A13" s="326" t="str">
        <f ca="1">'CSHFLO-ENA'!A13</f>
        <v>Total Project Revenues</v>
      </c>
      <c r="C13" s="327">
        <f t="shared" ref="C13:V13" si="0">SUM(C10:C12)</f>
        <v>14796.05602965405</v>
      </c>
      <c r="D13" s="327">
        <f t="shared" si="0"/>
        <v>41417.22563692103</v>
      </c>
      <c r="E13" s="327">
        <f t="shared" si="0"/>
        <v>41243.202135634543</v>
      </c>
      <c r="F13" s="327">
        <f t="shared" si="0"/>
        <v>42821.732992179706</v>
      </c>
      <c r="G13" s="327">
        <f t="shared" si="0"/>
        <v>43128.32321007899</v>
      </c>
      <c r="H13" s="327">
        <f t="shared" si="0"/>
        <v>34476.12483878011</v>
      </c>
      <c r="I13" s="327">
        <f t="shared" si="0"/>
        <v>42060.096528817594</v>
      </c>
      <c r="J13" s="327">
        <f t="shared" si="0"/>
        <v>50442.987891478551</v>
      </c>
      <c r="K13" s="327">
        <f t="shared" si="0"/>
        <v>51184.00109272814</v>
      </c>
      <c r="L13" s="327">
        <f t="shared" si="0"/>
        <v>49175.850971211781</v>
      </c>
      <c r="M13" s="327">
        <f t="shared" si="0"/>
        <v>50114.129429685359</v>
      </c>
      <c r="N13" s="327">
        <f t="shared" si="0"/>
        <v>48505.669529564533</v>
      </c>
      <c r="O13" s="327">
        <f t="shared" si="0"/>
        <v>49039.052654682382</v>
      </c>
      <c r="P13" s="327">
        <f t="shared" si="0"/>
        <v>46083.59409362814</v>
      </c>
      <c r="Q13" s="327">
        <f t="shared" si="0"/>
        <v>52047.484210395953</v>
      </c>
      <c r="R13" s="327">
        <f t="shared" si="0"/>
        <v>58058.000033965225</v>
      </c>
      <c r="S13" s="327">
        <f t="shared" si="0"/>
        <v>64144.402207907842</v>
      </c>
      <c r="T13" s="327">
        <f t="shared" si="0"/>
        <v>65065.392478601541</v>
      </c>
      <c r="U13" s="327">
        <f t="shared" si="0"/>
        <v>67533.360621622618</v>
      </c>
      <c r="V13" s="327">
        <f t="shared" si="0"/>
        <v>59279.004325716756</v>
      </c>
      <c r="W13" s="326"/>
    </row>
    <row r="14" spans="1:23">
      <c r="A14" s="329"/>
      <c r="C14" s="330"/>
      <c r="D14" s="330"/>
      <c r="E14" s="330"/>
      <c r="F14" s="330"/>
      <c r="G14" s="330"/>
      <c r="H14" s="330"/>
      <c r="I14" s="330"/>
      <c r="J14" s="330"/>
      <c r="K14" s="330"/>
      <c r="L14" s="330"/>
      <c r="M14" s="330"/>
      <c r="N14" s="330"/>
      <c r="O14" s="330"/>
      <c r="P14" s="330"/>
      <c r="Q14" s="330"/>
      <c r="R14" s="330"/>
      <c r="S14" s="330"/>
      <c r="T14" s="330"/>
      <c r="U14" s="330"/>
      <c r="V14" s="330"/>
      <c r="W14" s="326"/>
    </row>
    <row r="15" spans="1:23">
      <c r="A15" s="331" t="s">
        <v>286</v>
      </c>
      <c r="D15" s="332"/>
      <c r="E15" s="332"/>
      <c r="F15" s="332"/>
      <c r="G15" s="332"/>
      <c r="H15" s="332"/>
      <c r="I15" s="332"/>
      <c r="J15" s="332"/>
      <c r="W15" s="326"/>
    </row>
    <row r="16" spans="1:23">
      <c r="A16" s="331" t="s">
        <v>287</v>
      </c>
      <c r="C16" s="327">
        <f ca="1">'Co IS'!C16</f>
        <v>2422.5367338246688</v>
      </c>
      <c r="D16" s="327">
        <f ca="1">'Co IS'!D16</f>
        <v>7479.5135160014624</v>
      </c>
      <c r="E16" s="327">
        <f ca="1">'Co IS'!E16</f>
        <v>8363.3032782439604</v>
      </c>
      <c r="F16" s="327">
        <f ca="1">'Co IS'!F16</f>
        <v>8858.1597919343876</v>
      </c>
      <c r="G16" s="327">
        <f ca="1">'Co IS'!G16</f>
        <v>8649.2037442468663</v>
      </c>
      <c r="H16" s="327">
        <f ca="1">'Co IS'!H16</f>
        <v>8438.6746983976063</v>
      </c>
      <c r="I16" s="327">
        <f ca="1">'Co IS'!I16</f>
        <v>8939.7586871747171</v>
      </c>
      <c r="J16" s="327">
        <f ca="1">'Co IS'!J16</f>
        <v>9415.9209751249382</v>
      </c>
      <c r="K16" s="327">
        <f ca="1">'Co IS'!K16</f>
        <v>9597.1475971032123</v>
      </c>
      <c r="L16" s="327">
        <f ca="1">'Co IS'!L16</f>
        <v>9695.6894349314152</v>
      </c>
      <c r="M16" s="327">
        <f ca="1">'Co IS'!M16</f>
        <v>9878.0146321325083</v>
      </c>
      <c r="N16" s="327">
        <f ca="1">'Co IS'!N16</f>
        <v>10000.673485074472</v>
      </c>
      <c r="O16" s="327">
        <f ca="1">'Co IS'!O16</f>
        <v>10565.153439807755</v>
      </c>
      <c r="P16" s="327">
        <f ca="1">'Co IS'!P16</f>
        <v>10658.67603260217</v>
      </c>
      <c r="Q16" s="327">
        <f ca="1">'Co IS'!Q16</f>
        <v>11079.901920796188</v>
      </c>
      <c r="R16" s="327">
        <f ca="1">'Co IS'!R16</f>
        <v>11354.189170162097</v>
      </c>
      <c r="S16" s="327">
        <f ca="1">'Co IS'!S16</f>
        <v>11768.693325210694</v>
      </c>
      <c r="T16" s="327">
        <f ca="1">'Co IS'!T16</f>
        <v>12013.159254115955</v>
      </c>
      <c r="U16" s="327">
        <f ca="1">'Co IS'!U16</f>
        <v>12362.516756547986</v>
      </c>
      <c r="V16" s="327">
        <f ca="1">'Co IS'!V16</f>
        <v>12274.783414374866</v>
      </c>
      <c r="W16" s="326"/>
    </row>
    <row r="17" spans="1:23">
      <c r="A17" s="331" t="s">
        <v>304</v>
      </c>
      <c r="C17" s="327">
        <f ca="1">'Co IS'!C17</f>
        <v>2061.1030478623411</v>
      </c>
      <c r="D17" s="327">
        <f ca="1">'Co IS'!D17</f>
        <v>4979.7354441333791</v>
      </c>
      <c r="E17" s="327">
        <f ca="1">'Co IS'!E17</f>
        <v>5135.5445725448271</v>
      </c>
      <c r="F17" s="327">
        <f ca="1">'Co IS'!F17</f>
        <v>5273.9894022795052</v>
      </c>
      <c r="G17" s="327">
        <f ca="1">'Co IS'!G17</f>
        <v>5376.8765778589532</v>
      </c>
      <c r="H17" s="327">
        <f ca="1">'Co IS'!H17</f>
        <v>5482.6549400119911</v>
      </c>
      <c r="I17" s="327">
        <f ca="1">'Co IS'!I17</f>
        <v>5630.6645354992579</v>
      </c>
      <c r="J17" s="327">
        <f ca="1">'Co IS'!J17</f>
        <v>5780.5280022931474</v>
      </c>
      <c r="K17" s="327">
        <f ca="1">'Co IS'!K17</f>
        <v>5917.4266243063003</v>
      </c>
      <c r="L17" s="327">
        <f ca="1">'Co IS'!L17</f>
        <v>6053.339559167588</v>
      </c>
      <c r="M17" s="327">
        <f ca="1">'Co IS'!M17</f>
        <v>6197.3795394248273</v>
      </c>
      <c r="N17" s="327">
        <f ca="1">'Co IS'!N17</f>
        <v>6341.7743378657533</v>
      </c>
      <c r="O17" s="327">
        <f ca="1">'Co IS'!O17</f>
        <v>6514.1935527845626</v>
      </c>
      <c r="P17" s="327">
        <f ca="1">'Co IS'!P17</f>
        <v>6664.4097214151043</v>
      </c>
      <c r="Q17" s="327">
        <f ca="1">'Co IS'!Q17</f>
        <v>6836.5693008623712</v>
      </c>
      <c r="R17" s="327">
        <f ca="1">'Co IS'!R17</f>
        <v>6988.5864669146094</v>
      </c>
      <c r="S17" s="327">
        <f ca="1">'Co IS'!S17</f>
        <v>7168.0447029391062</v>
      </c>
      <c r="T17" s="327">
        <f ca="1">'Co IS'!T17</f>
        <v>7342.6304141428946</v>
      </c>
      <c r="U17" s="327">
        <f ca="1">'Co IS'!U17</f>
        <v>7527.1740338114059</v>
      </c>
      <c r="V17" s="327">
        <f ca="1">'Co IS'!V17</f>
        <v>7692.7422445834436</v>
      </c>
      <c r="W17" s="326"/>
    </row>
    <row r="18" spans="1:23">
      <c r="A18" s="331" t="str">
        <f ca="1">'CSHFLO-ENA'!A18</f>
        <v xml:space="preserve">   Other O&amp;M</v>
      </c>
      <c r="C18" s="327">
        <f ca="1">'Co IS'!C18</f>
        <v>180.5138361779243</v>
      </c>
      <c r="D18" s="327">
        <f ca="1">'Co IS'!D18</f>
        <v>1019.4494150267261</v>
      </c>
      <c r="E18" s="327">
        <f ca="1">'Co IS'!E18</f>
        <v>1022.6769264690072</v>
      </c>
      <c r="F18" s="327">
        <f ca="1">'Co IS'!F18</f>
        <v>789.19843846399613</v>
      </c>
      <c r="G18" s="327">
        <f ca="1">'Co IS'!G18</f>
        <v>795.54341548832792</v>
      </c>
      <c r="H18" s="327">
        <f ca="1">'Co IS'!H18</f>
        <v>748.25730774182796</v>
      </c>
      <c r="I18" s="327">
        <f ca="1">'Co IS'!I18</f>
        <v>798.51315159034107</v>
      </c>
      <c r="J18" s="327">
        <f ca="1">'Co IS'!J18</f>
        <v>853.69081784471882</v>
      </c>
      <c r="K18" s="327">
        <f ca="1">'Co IS'!K18</f>
        <v>863.14898371874551</v>
      </c>
      <c r="L18" s="327">
        <f ca="1">'Co IS'!L18</f>
        <v>856.2474959961728</v>
      </c>
      <c r="M18" s="327">
        <f ca="1">'Co IS'!M18</f>
        <v>867.16355990471584</v>
      </c>
      <c r="N18" s="327">
        <f ca="1">'Co IS'!N18</f>
        <v>862.94192627695031</v>
      </c>
      <c r="O18" s="327">
        <f ca="1">'Co IS'!O18</f>
        <v>871.7179371964869</v>
      </c>
      <c r="P18" s="327">
        <f ca="1">'Co IS'!P18</f>
        <v>859.71144222754924</v>
      </c>
      <c r="Q18" s="327">
        <f ca="1">'Co IS'!Q18</f>
        <v>901.37564824827359</v>
      </c>
      <c r="R18" s="327">
        <f ca="1">'Co IS'!R18</f>
        <v>943.47839187344971</v>
      </c>
      <c r="S18" s="327">
        <f ca="1">'Co IS'!S18</f>
        <v>986.19952411532734</v>
      </c>
      <c r="T18" s="327">
        <f ca="1">'Co IS'!T18</f>
        <v>998.0956583560635</v>
      </c>
      <c r="U18" s="327">
        <f ca="1">'Co IS'!U18</f>
        <v>1019.4456550314117</v>
      </c>
      <c r="V18" s="327">
        <f ca="1">'Co IS'!V18</f>
        <v>976.63834414426287</v>
      </c>
      <c r="W18" s="326"/>
    </row>
    <row r="19" spans="1:23">
      <c r="A19" s="331" t="s">
        <v>305</v>
      </c>
      <c r="C19" s="327">
        <f>OandM!C65</f>
        <v>0</v>
      </c>
      <c r="D19" s="327">
        <f ca="1">OandM!D65</f>
        <v>0</v>
      </c>
      <c r="E19" s="327">
        <f ca="1">OandM!E65</f>
        <v>121.9483600178628</v>
      </c>
      <c r="F19" s="327">
        <f ca="1">OandM!F65</f>
        <v>53.162309015630854</v>
      </c>
      <c r="G19" s="327">
        <f ca="1">OandM!G65</f>
        <v>-16.772231534086586</v>
      </c>
      <c r="H19" s="327">
        <f ca="1">OandM!H65</f>
        <v>-21.133578182123301</v>
      </c>
      <c r="I19" s="327">
        <f ca="1">OandM!I65</f>
        <v>78.019829363568761</v>
      </c>
      <c r="J19" s="327">
        <f ca="1">OandM!J65</f>
        <v>75.50591909434047</v>
      </c>
      <c r="K19" s="327">
        <f ca="1">OandM!K65</f>
        <v>34.348806641033889</v>
      </c>
      <c r="L19" s="327">
        <f ca="1">OandM!L65</f>
        <v>22.737100934786213</v>
      </c>
      <c r="M19" s="327">
        <f ca="1">OandM!M65</f>
        <v>35.190459134901175</v>
      </c>
      <c r="N19" s="327">
        <f ca="1">OandM!N65</f>
        <v>26.625169956970012</v>
      </c>
      <c r="O19" s="327">
        <f ca="1">OandM!O65</f>
        <v>84.428349727989144</v>
      </c>
      <c r="P19" s="327">
        <f ca="1">OandM!P65</f>
        <v>22.874214608067632</v>
      </c>
      <c r="Q19" s="327">
        <f ca="1">OandM!Q65</f>
        <v>69.458941910391786</v>
      </c>
      <c r="R19" s="327">
        <f ca="1">OandM!R65</f>
        <v>49.737230696203369</v>
      </c>
      <c r="S19" s="327">
        <f ca="1">OandM!S65</f>
        <v>69.317092471398155</v>
      </c>
      <c r="T19" s="327">
        <f ca="1">OandM!T65</f>
        <v>45.435789634695084</v>
      </c>
      <c r="U19" s="327">
        <f ca="1">OandM!U65</f>
        <v>59.95317207325752</v>
      </c>
      <c r="V19" s="327">
        <f ca="1">OandM!V65</f>
        <v>-2225.083763750702</v>
      </c>
      <c r="W19" s="326"/>
    </row>
    <row r="20" spans="1:23">
      <c r="A20" s="331" t="s">
        <v>306</v>
      </c>
      <c r="C20" s="328">
        <f ca="1">IF(C6='ASSUM 1'!$D$36,-OandM!C45,0)</f>
        <v>0</v>
      </c>
      <c r="D20" s="328">
        <f ca="1">IF(D6='ASSUM 1'!$D$36,-OandM!D45,0)</f>
        <v>0</v>
      </c>
      <c r="E20" s="328">
        <f ca="1">IF(E6='ASSUM 1'!$D$36,-OandM!E45,0)</f>
        <v>0</v>
      </c>
      <c r="F20" s="328">
        <f ca="1">IF(F6='ASSUM 1'!$D$36,-OandM!F45,0)</f>
        <v>0</v>
      </c>
      <c r="G20" s="328">
        <f ca="1">IF(G6='ASSUM 1'!$D$36,-OandM!G45,0)</f>
        <v>0</v>
      </c>
      <c r="H20" s="328">
        <f ca="1">IF(H6='ASSUM 1'!$D$36,-OandM!H45,0)</f>
        <v>0</v>
      </c>
      <c r="I20" s="328">
        <f ca="1">IF(I6='ASSUM 1'!$D$36,-OandM!I45,0)</f>
        <v>0</v>
      </c>
      <c r="J20" s="328">
        <f ca="1">IF(J6='ASSUM 1'!$D$36,-OandM!J45,0)</f>
        <v>0</v>
      </c>
      <c r="K20" s="328">
        <f ca="1">IF(K6='ASSUM 1'!$D$36,-OandM!K45,0)</f>
        <v>0</v>
      </c>
      <c r="L20" s="328">
        <f ca="1">IF(L6='ASSUM 1'!$D$36,-OandM!L45,0)</f>
        <v>0</v>
      </c>
      <c r="M20" s="328">
        <f ca="1">IF(M6='ASSUM 1'!$D$36,-OandM!M45,0)</f>
        <v>0</v>
      </c>
      <c r="N20" s="328">
        <f ca="1">IF(N6='ASSUM 1'!$D$36,-OandM!N45,0)</f>
        <v>0</v>
      </c>
      <c r="O20" s="328">
        <f ca="1">IF(O6='ASSUM 1'!$D$36,-OandM!O45,0)</f>
        <v>0</v>
      </c>
      <c r="P20" s="328">
        <f ca="1">IF(P6='ASSUM 1'!$D$36,-OandM!P45,0)</f>
        <v>0</v>
      </c>
      <c r="Q20" s="328">
        <f ca="1">IF(Q6='ASSUM 1'!$D$36,-OandM!Q45,0)</f>
        <v>0</v>
      </c>
      <c r="R20" s="328">
        <f ca="1">IF(R6='ASSUM 1'!$D$36,-OandM!R45,0)</f>
        <v>0</v>
      </c>
      <c r="S20" s="328">
        <f ca="1">IF(S6='ASSUM 1'!$D$36,-OandM!S45,0)</f>
        <v>0</v>
      </c>
      <c r="T20" s="328">
        <f ca="1">IF(T6='ASSUM 1'!$D$36,-OandM!T45,0)</f>
        <v>0</v>
      </c>
      <c r="U20" s="328">
        <f ca="1">IF(U6='ASSUM 1'!$D$36,-OandM!U45,0)</f>
        <v>0</v>
      </c>
      <c r="V20" s="328">
        <f ca="1">IF(V6='ASSUM 1'!$D$36,-OandM!V45,0)</f>
        <v>-15127.460521767012</v>
      </c>
      <c r="W20" s="326"/>
    </row>
    <row r="21" spans="1:23">
      <c r="A21" s="331" t="str">
        <f>'CSHFLO-ENA'!A19</f>
        <v xml:space="preserve">   Working Capital Changes</v>
      </c>
      <c r="C21" s="327">
        <f t="shared" ref="C21:V21" ca="1" si="1">SUM(C16:C20)</f>
        <v>4664.1536178649349</v>
      </c>
      <c r="D21" s="327">
        <f t="shared" ca="1" si="1"/>
        <v>13478.698375161568</v>
      </c>
      <c r="E21" s="327">
        <f t="shared" ca="1" si="1"/>
        <v>14643.473137275658</v>
      </c>
      <c r="F21" s="327">
        <f t="shared" ca="1" si="1"/>
        <v>14974.509941693519</v>
      </c>
      <c r="G21" s="327">
        <f t="shared" ca="1" si="1"/>
        <v>14804.85150606006</v>
      </c>
      <c r="H21" s="327">
        <f t="shared" ca="1" si="1"/>
        <v>14648.453367969301</v>
      </c>
      <c r="I21" s="327">
        <f t="shared" ca="1" si="1"/>
        <v>15446.956203627886</v>
      </c>
      <c r="J21" s="327">
        <f t="shared" ca="1" si="1"/>
        <v>16125.645714357146</v>
      </c>
      <c r="K21" s="327">
        <f t="shared" ca="1" si="1"/>
        <v>16412.072011769291</v>
      </c>
      <c r="L21" s="327">
        <f t="shared" ca="1" si="1"/>
        <v>16628.013591029965</v>
      </c>
      <c r="M21" s="327">
        <f t="shared" ca="1" si="1"/>
        <v>16977.748190596951</v>
      </c>
      <c r="N21" s="327">
        <f t="shared" ca="1" si="1"/>
        <v>17232.014919174148</v>
      </c>
      <c r="O21" s="327">
        <f t="shared" ca="1" si="1"/>
        <v>18035.493279516795</v>
      </c>
      <c r="P21" s="327">
        <f t="shared" ca="1" si="1"/>
        <v>18205.67141085289</v>
      </c>
      <c r="Q21" s="327">
        <f t="shared" ca="1" si="1"/>
        <v>18887.305811817227</v>
      </c>
      <c r="R21" s="327">
        <f t="shared" ca="1" si="1"/>
        <v>19335.991259646358</v>
      </c>
      <c r="S21" s="327">
        <f t="shared" ca="1" si="1"/>
        <v>19992.254644736528</v>
      </c>
      <c r="T21" s="327">
        <f t="shared" ca="1" si="1"/>
        <v>20399.321116249608</v>
      </c>
      <c r="U21" s="327">
        <f t="shared" ca="1" si="1"/>
        <v>20969.089617464058</v>
      </c>
      <c r="V21" s="327">
        <f t="shared" ca="1" si="1"/>
        <v>3591.6197175848556</v>
      </c>
      <c r="W21" s="326"/>
    </row>
    <row r="22" spans="1:23">
      <c r="A22" s="331"/>
      <c r="C22" s="327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6"/>
    </row>
    <row r="23" spans="1:23">
      <c r="A23" s="331" t="s">
        <v>307</v>
      </c>
      <c r="C23" s="327">
        <f t="shared" ref="C23:V23" ca="1" si="2">C13-C21</f>
        <v>10131.902411789115</v>
      </c>
      <c r="D23" s="327">
        <f t="shared" ca="1" si="2"/>
        <v>27938.52726175946</v>
      </c>
      <c r="E23" s="327">
        <f t="shared" ca="1" si="2"/>
        <v>26599.728998358885</v>
      </c>
      <c r="F23" s="327">
        <f t="shared" ca="1" si="2"/>
        <v>27847.223050486187</v>
      </c>
      <c r="G23" s="327">
        <f t="shared" ca="1" si="2"/>
        <v>28323.471704018928</v>
      </c>
      <c r="H23" s="327">
        <f t="shared" ca="1" si="2"/>
        <v>19827.671470810808</v>
      </c>
      <c r="I23" s="327">
        <f t="shared" ca="1" si="2"/>
        <v>26613.140325189706</v>
      </c>
      <c r="J23" s="327">
        <f t="shared" ca="1" si="2"/>
        <v>34317.342177121405</v>
      </c>
      <c r="K23" s="327">
        <f t="shared" ca="1" si="2"/>
        <v>34771.929080958849</v>
      </c>
      <c r="L23" s="327">
        <f t="shared" ca="1" si="2"/>
        <v>32547.837380181816</v>
      </c>
      <c r="M23" s="327">
        <f t="shared" ca="1" si="2"/>
        <v>33136.381239088412</v>
      </c>
      <c r="N23" s="327">
        <f t="shared" ca="1" si="2"/>
        <v>31273.654610390386</v>
      </c>
      <c r="O23" s="327">
        <f t="shared" ca="1" si="2"/>
        <v>31003.559375165587</v>
      </c>
      <c r="P23" s="327">
        <f t="shared" ca="1" si="2"/>
        <v>27877.92268277525</v>
      </c>
      <c r="Q23" s="327">
        <f t="shared" ca="1" si="2"/>
        <v>33160.178398578726</v>
      </c>
      <c r="R23" s="327">
        <f t="shared" ca="1" si="2"/>
        <v>38722.008774318863</v>
      </c>
      <c r="S23" s="327">
        <f t="shared" ca="1" si="2"/>
        <v>44152.147563171311</v>
      </c>
      <c r="T23" s="327">
        <f t="shared" ca="1" si="2"/>
        <v>44666.071362351933</v>
      </c>
      <c r="U23" s="327">
        <f t="shared" ca="1" si="2"/>
        <v>46564.27100415856</v>
      </c>
      <c r="V23" s="327">
        <f t="shared" ca="1" si="2"/>
        <v>55687.384608131899</v>
      </c>
      <c r="W23" s="326"/>
    </row>
    <row r="24" spans="1:23">
      <c r="A24" s="326"/>
      <c r="W24" s="326"/>
    </row>
    <row r="25" spans="1:23">
      <c r="A25" s="326" t="s">
        <v>308</v>
      </c>
      <c r="V25" s="327"/>
      <c r="W25" s="326"/>
    </row>
    <row r="26" spans="1:23">
      <c r="A26" s="326" t="s">
        <v>309</v>
      </c>
      <c r="C26" s="327">
        <f ca="1">'IS-ENA'!C24</f>
        <v>0</v>
      </c>
      <c r="D26" s="327">
        <f ca="1">'IS-ENA'!D24</f>
        <v>9426.17</v>
      </c>
      <c r="E26" s="327">
        <f ca="1">'IS-ENA'!E24</f>
        <v>9264.5</v>
      </c>
      <c r="F26" s="327">
        <f ca="1">'IS-ENA'!F24</f>
        <v>9080.43</v>
      </c>
      <c r="G26" s="327">
        <f ca="1">'IS-ENA'!G24</f>
        <v>8853.23</v>
      </c>
      <c r="H26" s="327">
        <f ca="1">'IS-ENA'!H24</f>
        <v>8589.4699999999993</v>
      </c>
      <c r="I26" s="327">
        <f ca="1">'IS-ENA'!I24</f>
        <v>8311.17</v>
      </c>
      <c r="J26" s="327">
        <f ca="1">'IS-ENA'!J24</f>
        <v>7950.41</v>
      </c>
      <c r="K26" s="327">
        <f ca="1">'IS-ENA'!K24</f>
        <v>7572.8</v>
      </c>
      <c r="L26" s="327">
        <f ca="1">'IS-ENA'!L24</f>
        <v>7099.69</v>
      </c>
      <c r="M26" s="327">
        <f ca="1">'IS-ENA'!M24</f>
        <v>6607.8</v>
      </c>
      <c r="N26" s="327">
        <f ca="1">'IS-ENA'!N24</f>
        <v>6009.53</v>
      </c>
      <c r="O26" s="327">
        <f ca="1">'IS-ENA'!O24</f>
        <v>5408.87</v>
      </c>
      <c r="P26" s="327">
        <f ca="1">'IS-ENA'!P24</f>
        <v>4794.62</v>
      </c>
      <c r="Q26" s="327">
        <f ca="1">'IS-ENA'!Q24</f>
        <v>4165.8599999999997</v>
      </c>
      <c r="R26" s="327">
        <f ca="1">'IS-ENA'!R24</f>
        <v>3454.87</v>
      </c>
      <c r="S26" s="327">
        <f ca="1">'IS-ENA'!S24</f>
        <v>2744.23</v>
      </c>
      <c r="T26" s="327">
        <f ca="1">'IS-ENA'!T24</f>
        <v>2035.48</v>
      </c>
      <c r="U26" s="327">
        <f>'IS-ENA'!U24</f>
        <v>0</v>
      </c>
      <c r="V26" s="327">
        <f>'IS-ENA'!V24</f>
        <v>0</v>
      </c>
      <c r="W26" s="326"/>
    </row>
    <row r="27" spans="1:23">
      <c r="A27" s="326" t="s">
        <v>310</v>
      </c>
      <c r="C27" s="327">
        <f ca="1">'ENA Debt'!C35</f>
        <v>0</v>
      </c>
      <c r="D27" s="327">
        <f ca="1">'ENA Debt'!D35</f>
        <v>1985.8129039801206</v>
      </c>
      <c r="E27" s="327">
        <f ca="1">'ENA Debt'!E35</f>
        <v>2219.8952338536419</v>
      </c>
      <c r="F27" s="327">
        <f ca="1">'ENA Debt'!F35</f>
        <v>2759.370280486768</v>
      </c>
      <c r="G27" s="327">
        <f ca="1">'ENA Debt'!G35</f>
        <v>3296.9510313626406</v>
      </c>
      <c r="H27" s="327">
        <f ca="1">'ENA Debt'!H35</f>
        <v>3296.9510313626406</v>
      </c>
      <c r="I27" s="327">
        <f ca="1">'ENA Debt'!I35</f>
        <v>4509.4421506393901</v>
      </c>
      <c r="J27" s="327">
        <f ca="1">'ENA Debt'!J35</f>
        <v>4509.4421506394037</v>
      </c>
      <c r="K27" s="327">
        <f ca="1">'ENA Debt'!K35</f>
        <v>5913.9738351167398</v>
      </c>
      <c r="L27" s="327">
        <f ca="1">'ENA Debt'!L35</f>
        <v>5913.9738351167398</v>
      </c>
      <c r="M27" s="327">
        <f ca="1">'ENA Debt'!M35</f>
        <v>7478.3265297064227</v>
      </c>
      <c r="N27" s="327">
        <f ca="1">'ENA Debt'!N35</f>
        <v>7478.3265297064354</v>
      </c>
      <c r="O27" s="327">
        <f ca="1">'ENA Debt'!O35</f>
        <v>7678.125</v>
      </c>
      <c r="P27" s="327">
        <f ca="1">'ENA Debt'!P35</f>
        <v>7678.125</v>
      </c>
      <c r="Q27" s="327">
        <f ca="1">'ENA Debt'!Q35</f>
        <v>8887.2672410090072</v>
      </c>
      <c r="R27" s="327">
        <f ca="1">'ENA Debt'!R35</f>
        <v>8887.2672410090217</v>
      </c>
      <c r="S27" s="327">
        <f ca="1">'ENA Debt'!S35</f>
        <v>8859.375</v>
      </c>
      <c r="T27" s="327">
        <f ca="1">'ENA Debt'!T35</f>
        <v>8859.375</v>
      </c>
      <c r="U27" s="327">
        <f ca="1">'ENA Debt'!U35</f>
        <v>5906.25</v>
      </c>
      <c r="V27" s="327">
        <f ca="1">'ENA Debt'!V35</f>
        <v>5906.25</v>
      </c>
      <c r="W27" s="326"/>
    </row>
    <row r="28" spans="1:23">
      <c r="A28" s="326" t="s">
        <v>294</v>
      </c>
      <c r="C28" s="327">
        <f ca="1">'IS-ENA'!C25</f>
        <v>94.036448769673299</v>
      </c>
      <c r="D28" s="327">
        <f ca="1">'IS-ENA'!D25</f>
        <v>96.29025556432812</v>
      </c>
      <c r="E28" s="327">
        <f ca="1">'IS-ENA'!E25</f>
        <v>97.850986631185336</v>
      </c>
      <c r="F28" s="327">
        <f ca="1">'IS-ENA'!F25</f>
        <v>100.48614431859328</v>
      </c>
      <c r="G28" s="327">
        <f ca="1">'IS-ENA'!G25</f>
        <v>101.86771680459985</v>
      </c>
      <c r="H28" s="327">
        <f ca="1">'IS-ENA'!H25</f>
        <v>105.38724560194991</v>
      </c>
      <c r="I28" s="327">
        <f ca="1">'IS-ENA'!I25</f>
        <v>106.45483660845719</v>
      </c>
      <c r="J28" s="327">
        <f ca="1">'IS-ENA'!J25</f>
        <v>107.45826516743416</v>
      </c>
      <c r="K28" s="327">
        <f ca="1">'IS-ENA'!K25</f>
        <v>105.83581903124734</v>
      </c>
      <c r="L28" s="327">
        <f ca="1">'IS-ENA'!L25</f>
        <v>105.89896048067494</v>
      </c>
      <c r="M28" s="327">
        <f ca="1">'IS-ENA'!M25</f>
        <v>103.10857761875917</v>
      </c>
      <c r="N28" s="327">
        <f ca="1">'IS-ENA'!N25</f>
        <v>100.09377517122884</v>
      </c>
      <c r="O28" s="327">
        <f ca="1">'IS-ENA'!O25</f>
        <v>96.586351171228841</v>
      </c>
      <c r="P28" s="327">
        <f ca="1">'IS-ENA'!P25</f>
        <v>88.25943117122884</v>
      </c>
      <c r="Q28" s="327">
        <f ca="1">'IS-ENA'!Q25</f>
        <v>78.247899585614419</v>
      </c>
      <c r="R28" s="327">
        <f ca="1">'IS-ENA'!R25</f>
        <v>68.526287999999994</v>
      </c>
      <c r="S28" s="327">
        <f ca="1">'IS-ENA'!S25</f>
        <v>62.450650000000003</v>
      </c>
      <c r="T28" s="327">
        <f ca="1">'IS-ENA'!T25</f>
        <v>54.214586666666669</v>
      </c>
      <c r="U28" s="327">
        <f ca="1">'IS-ENA'!U25</f>
        <v>52.24819999999999</v>
      </c>
      <c r="V28" s="327">
        <f ca="1">'IS-ENA'!V25</f>
        <v>50.129040000000003</v>
      </c>
      <c r="W28" s="326"/>
    </row>
    <row r="29" spans="1:23">
      <c r="A29" s="326" t="s">
        <v>295</v>
      </c>
      <c r="C29" s="328">
        <f ca="1">'Co IS'!C26</f>
        <v>-17.9725</v>
      </c>
      <c r="D29" s="328">
        <f ca="1">'Co IS'!D26</f>
        <v>-90.326909399999991</v>
      </c>
      <c r="E29" s="328">
        <f ca="1">'Co IS'!E26</f>
        <v>-164.6348878538</v>
      </c>
      <c r="F29" s="328">
        <f ca="1">'Co IS'!F26</f>
        <v>-240.94918172585255</v>
      </c>
      <c r="G29" s="328">
        <f ca="1">'Co IS'!G26</f>
        <v>-319.32396153245054</v>
      </c>
      <c r="H29" s="328">
        <f ca="1">'Co IS'!H26</f>
        <v>-399.81486039382662</v>
      </c>
      <c r="I29" s="328">
        <f ca="1">'Co IS'!I26</f>
        <v>-482.4790135244599</v>
      </c>
      <c r="J29" s="328">
        <f ca="1">'Co IS'!J26</f>
        <v>-567.37509878962021</v>
      </c>
      <c r="K29" s="328">
        <f ca="1">'Co IS'!K26</f>
        <v>-654.56337835693989</v>
      </c>
      <c r="L29" s="328">
        <f ca="1">'Co IS'!L26</f>
        <v>-744.10574147257717</v>
      </c>
      <c r="M29" s="328">
        <f ca="1">'Co IS'!M26</f>
        <v>-836.06574839233656</v>
      </c>
      <c r="N29" s="328">
        <f ca="1">'Co IS'!N26</f>
        <v>-930.50867549892962</v>
      </c>
      <c r="O29" s="328">
        <f ca="1">'Co IS'!O26</f>
        <v>0</v>
      </c>
      <c r="P29" s="328">
        <f ca="1">'Co IS'!P26</f>
        <v>-99.611694064209701</v>
      </c>
      <c r="Q29" s="328">
        <f ca="1">'Co IS'!Q26</f>
        <v>-201.91290386815305</v>
      </c>
      <c r="R29" s="328">
        <f ca="1">'Co IS'!R26</f>
        <v>-306.97624633680289</v>
      </c>
      <c r="S29" s="328">
        <f ca="1">'Co IS'!S26</f>
        <v>-414.87629905210616</v>
      </c>
      <c r="T29" s="328">
        <f ca="1">'Co IS'!T26</f>
        <v>-525.68965319072265</v>
      </c>
      <c r="U29" s="328">
        <f ca="1">'Co IS'!U26</f>
        <v>-639.49496789108184</v>
      </c>
      <c r="V29" s="328">
        <f ca="1">'Co IS'!V26</f>
        <v>-756.37302608835068</v>
      </c>
      <c r="W29" s="326"/>
    </row>
    <row r="30" spans="1:23">
      <c r="A30" s="326" t="s">
        <v>311</v>
      </c>
      <c r="C30" s="327">
        <f t="shared" ref="C30:V30" ca="1" si="3">SUM(C26:C29)</f>
        <v>76.063948769673303</v>
      </c>
      <c r="D30" s="327">
        <f t="shared" ca="1" si="3"/>
        <v>11417.946250144449</v>
      </c>
      <c r="E30" s="327">
        <f t="shared" ca="1" si="3"/>
        <v>11417.611332631028</v>
      </c>
      <c r="F30" s="327">
        <f t="shared" ca="1" si="3"/>
        <v>11699.337243079508</v>
      </c>
      <c r="G30" s="327">
        <f t="shared" ca="1" si="3"/>
        <v>11932.72478663479</v>
      </c>
      <c r="H30" s="327">
        <f t="shared" ca="1" si="3"/>
        <v>11591.993416570764</v>
      </c>
      <c r="I30" s="327">
        <f t="shared" ca="1" si="3"/>
        <v>12444.587973723386</v>
      </c>
      <c r="J30" s="327">
        <f t="shared" ca="1" si="3"/>
        <v>11999.935317017216</v>
      </c>
      <c r="K30" s="327">
        <f t="shared" ca="1" si="3"/>
        <v>12938.046275791046</v>
      </c>
      <c r="L30" s="327">
        <f t="shared" ca="1" si="3"/>
        <v>12375.457054124838</v>
      </c>
      <c r="M30" s="327">
        <f t="shared" ca="1" si="3"/>
        <v>13353.169358932846</v>
      </c>
      <c r="N30" s="327">
        <f t="shared" ca="1" si="3"/>
        <v>12657.441629378733</v>
      </c>
      <c r="O30" s="327">
        <f t="shared" ca="1" si="3"/>
        <v>13183.581351171228</v>
      </c>
      <c r="P30" s="327">
        <f t="shared" ca="1" si="3"/>
        <v>12461.392737107019</v>
      </c>
      <c r="Q30" s="327">
        <f t="shared" ca="1" si="3"/>
        <v>12929.462236726467</v>
      </c>
      <c r="R30" s="327">
        <f t="shared" ca="1" si="3"/>
        <v>12103.687282672219</v>
      </c>
      <c r="S30" s="327">
        <f t="shared" ca="1" si="3"/>
        <v>11251.179350947894</v>
      </c>
      <c r="T30" s="327">
        <f t="shared" ca="1" si="3"/>
        <v>10423.379933475944</v>
      </c>
      <c r="U30" s="327">
        <f t="shared" ca="1" si="3"/>
        <v>5319.0032321089184</v>
      </c>
      <c r="V30" s="327">
        <f t="shared" ca="1" si="3"/>
        <v>5200.0060139116495</v>
      </c>
      <c r="W30" s="326"/>
    </row>
    <row r="31" spans="1:23">
      <c r="A31" s="326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W31" s="326"/>
    </row>
    <row r="32" spans="1:23">
      <c r="A32" s="622" t="str">
        <f>+'Co IS'!A35</f>
        <v>VA Income Taxes</v>
      </c>
      <c r="C32" s="327">
        <f>+'IS-ENA'!C35</f>
        <v>325.51323265238909</v>
      </c>
      <c r="D32" s="327">
        <f ca="1">+'IS-ENA'!D35</f>
        <v>111.36912903510456</v>
      </c>
      <c r="E32" s="327">
        <f ca="1">+'IS-ENA'!E35</f>
        <v>138.83497364761334</v>
      </c>
      <c r="F32" s="327">
        <f ca="1">+'IS-ENA'!F35</f>
        <v>302.33822649295035</v>
      </c>
      <c r="G32" s="327">
        <f ca="1">+'IS-ENA'!G35</f>
        <v>415.00770682552138</v>
      </c>
      <c r="H32" s="327">
        <f ca="1">+'IS-ENA'!H35</f>
        <v>124.01021597455178</v>
      </c>
      <c r="I32" s="327">
        <f ca="1">+'IS-ENA'!I35</f>
        <v>588.69807732362676</v>
      </c>
      <c r="J32" s="327">
        <f ca="1">+'IS-ENA'!J35</f>
        <v>1077.4785132257459</v>
      </c>
      <c r="K32" s="327">
        <f ca="1">+'IS-ENA'!K35</f>
        <v>1129.3599463144546</v>
      </c>
      <c r="L32" s="327">
        <f ca="1">+'IS-ENA'!L35</f>
        <v>1029.8826931619806</v>
      </c>
      <c r="M32" s="327">
        <f ca="1">+'IS-ENA'!M35</f>
        <v>1100.2313516387335</v>
      </c>
      <c r="N32" s="327">
        <f ca="1">+'IS-ENA'!N35</f>
        <v>1030.6070982759734</v>
      </c>
      <c r="O32" s="327">
        <f ca="1">+'IS-ENA'!O35</f>
        <v>997.37950192226083</v>
      </c>
      <c r="P32" s="327">
        <f ca="1">+'IS-ENA'!P35</f>
        <v>850.38896705204797</v>
      </c>
      <c r="Q32" s="327">
        <f ca="1">+'IS-ENA'!Q35</f>
        <v>1213.6741601852193</v>
      </c>
      <c r="R32" s="327">
        <f ca="1">+'IS-ENA'!R35</f>
        <v>1864.9881665188473</v>
      </c>
      <c r="S32" s="327">
        <f ca="1">+'IS-ENA'!S35</f>
        <v>2509.7796182816892</v>
      </c>
      <c r="T32" s="327">
        <f ca="1">+'IS-ENA'!T35</f>
        <v>2588.8501331106413</v>
      </c>
      <c r="U32" s="327">
        <f ca="1">+'IS-ENA'!U35</f>
        <v>2832.6882566473737</v>
      </c>
      <c r="V32" s="327">
        <f ca="1">+'IS-ENA'!V35</f>
        <v>2342.465058522152</v>
      </c>
      <c r="W32" s="326"/>
    </row>
    <row r="33" spans="1:23">
      <c r="A33" s="326" t="s">
        <v>312</v>
      </c>
      <c r="C33" s="328">
        <f ca="1">+'TAXES-ENA'!C33</f>
        <v>0</v>
      </c>
      <c r="D33" s="328">
        <f ca="1">+'TAXES-ENA'!D33</f>
        <v>576.39785386132246</v>
      </c>
      <c r="E33" s="328">
        <f ca="1">+'TAXES-ENA'!E33</f>
        <v>761.27843883441301</v>
      </c>
      <c r="F33" s="328">
        <f ca="1">+'TAXES-ENA'!F33</f>
        <v>1657.8212752696775</v>
      </c>
      <c r="G33" s="328">
        <f ca="1">+'TAXES-ENA'!G33</f>
        <v>2275.6255924266088</v>
      </c>
      <c r="H33" s="328">
        <f ca="1">+'TAXES-ENA'!H33</f>
        <v>679.98935092712566</v>
      </c>
      <c r="I33" s="328">
        <f ca="1">+'TAXES-ENA'!I33</f>
        <v>3228.0277906578867</v>
      </c>
      <c r="J33" s="328">
        <f ca="1">+'TAXES-ENA'!J33</f>
        <v>5908.1738475211732</v>
      </c>
      <c r="K33" s="328">
        <f ca="1">+'TAXES-ENA'!K33</f>
        <v>6192.6570389575936</v>
      </c>
      <c r="L33" s="328">
        <f ca="1">+'TAXES-ENA'!L33</f>
        <v>5647.1901008381928</v>
      </c>
      <c r="M33" s="328">
        <f ca="1">+'TAXES-ENA'!M33</f>
        <v>6032.9352448190548</v>
      </c>
      <c r="N33" s="328">
        <f ca="1">+'TAXES-ENA'!N33</f>
        <v>5651.1622555465874</v>
      </c>
      <c r="O33" s="328">
        <f ca="1">+'TAXES-ENA'!O33</f>
        <v>5468.9642688737295</v>
      </c>
      <c r="P33" s="328">
        <f ca="1">+'TAXES-ENA'!P33</f>
        <v>4662.9661693353964</v>
      </c>
      <c r="Q33" s="328">
        <f ca="1">+'TAXES-ENA'!Q33</f>
        <v>6654.9799783489534</v>
      </c>
      <c r="R33" s="328">
        <f ca="1">+'TAXES-ENA'!R33</f>
        <v>10226.351779745013</v>
      </c>
      <c r="S33" s="328">
        <f ca="1">+'TAXES-ENA'!S33</f>
        <v>13761.958240244596</v>
      </c>
      <c r="T33" s="328">
        <f ca="1">+'TAXES-ENA'!T33</f>
        <v>14195.528229890017</v>
      </c>
      <c r="U33" s="328">
        <f ca="1">+'TAXES-ENA'!U33</f>
        <v>15532.573940616434</v>
      </c>
      <c r="V33" s="328">
        <f ca="1">+'TAXES-ENA'!V33</f>
        <v>12844.516737563134</v>
      </c>
      <c r="W33" s="326"/>
    </row>
    <row r="34" spans="1:23">
      <c r="A34" s="622" t="str">
        <f>+'Co IS'!A37</f>
        <v>Total Taxes</v>
      </c>
      <c r="C34" s="327">
        <f t="shared" ref="C34:V34" ca="1" si="4">SUM(C32:C33)</f>
        <v>325.51323265238909</v>
      </c>
      <c r="D34" s="327">
        <f t="shared" ca="1" si="4"/>
        <v>687.76698289642707</v>
      </c>
      <c r="E34" s="327">
        <f t="shared" ca="1" si="4"/>
        <v>900.11341248202632</v>
      </c>
      <c r="F34" s="327">
        <f t="shared" ca="1" si="4"/>
        <v>1960.1595017626278</v>
      </c>
      <c r="G34" s="327">
        <f t="shared" ca="1" si="4"/>
        <v>2690.6332992521302</v>
      </c>
      <c r="H34" s="327">
        <f t="shared" ca="1" si="4"/>
        <v>803.99956690167744</v>
      </c>
      <c r="I34" s="327">
        <f t="shared" ca="1" si="4"/>
        <v>3816.7258679815136</v>
      </c>
      <c r="J34" s="327">
        <f t="shared" ca="1" si="4"/>
        <v>6985.6523607469189</v>
      </c>
      <c r="K34" s="327">
        <f t="shared" ca="1" si="4"/>
        <v>7322.0169852720483</v>
      </c>
      <c r="L34" s="327">
        <f t="shared" ca="1" si="4"/>
        <v>6677.0727940001734</v>
      </c>
      <c r="M34" s="327">
        <f t="shared" ca="1" si="4"/>
        <v>7133.1665964577878</v>
      </c>
      <c r="N34" s="327">
        <f t="shared" ca="1" si="4"/>
        <v>6681.7693538225612</v>
      </c>
      <c r="O34" s="327">
        <f t="shared" ca="1" si="4"/>
        <v>6466.3437707959902</v>
      </c>
      <c r="P34" s="327">
        <f t="shared" ca="1" si="4"/>
        <v>5513.3551363874449</v>
      </c>
      <c r="Q34" s="327">
        <f t="shared" ca="1" si="4"/>
        <v>7868.6541385341725</v>
      </c>
      <c r="R34" s="327">
        <f t="shared" ca="1" si="4"/>
        <v>12091.339946263861</v>
      </c>
      <c r="S34" s="327">
        <f t="shared" ca="1" si="4"/>
        <v>16271.737858526285</v>
      </c>
      <c r="T34" s="327">
        <f t="shared" ca="1" si="4"/>
        <v>16784.378363000658</v>
      </c>
      <c r="U34" s="327">
        <f t="shared" ca="1" si="4"/>
        <v>18365.262197263808</v>
      </c>
      <c r="V34" s="327">
        <f t="shared" ca="1" si="4"/>
        <v>15186.981796085285</v>
      </c>
      <c r="W34" s="326"/>
    </row>
    <row r="35" spans="1:23">
      <c r="A35" s="333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26"/>
    </row>
    <row r="36" spans="1:23">
      <c r="A36" s="333" t="s">
        <v>313</v>
      </c>
      <c r="C36" s="335">
        <f t="shared" ref="C36:V36" ca="1" si="5">C13-C21-C30-C34</f>
        <v>9730.3252303670524</v>
      </c>
      <c r="D36" s="335">
        <f t="shared" ca="1" si="5"/>
        <v>15832.814028718583</v>
      </c>
      <c r="E36" s="335">
        <f t="shared" ca="1" si="5"/>
        <v>14282.004253245832</v>
      </c>
      <c r="F36" s="335">
        <f t="shared" ca="1" si="5"/>
        <v>14187.726305644052</v>
      </c>
      <c r="G36" s="335">
        <f t="shared" ca="1" si="5"/>
        <v>13700.113618132007</v>
      </c>
      <c r="H36" s="335">
        <f t="shared" ca="1" si="5"/>
        <v>7431.6784873383676</v>
      </c>
      <c r="I36" s="335">
        <f t="shared" ca="1" si="5"/>
        <v>10351.826483484807</v>
      </c>
      <c r="J36" s="335">
        <f t="shared" ca="1" si="5"/>
        <v>15331.754499357268</v>
      </c>
      <c r="K36" s="335">
        <f t="shared" ca="1" si="5"/>
        <v>14511.865819895755</v>
      </c>
      <c r="L36" s="335">
        <f t="shared" ca="1" si="5"/>
        <v>13495.307532056802</v>
      </c>
      <c r="M36" s="335">
        <f t="shared" ca="1" si="5"/>
        <v>12650.045283697778</v>
      </c>
      <c r="N36" s="335">
        <f t="shared" ca="1" si="5"/>
        <v>11934.443627189092</v>
      </c>
      <c r="O36" s="335">
        <f t="shared" ca="1" si="5"/>
        <v>11353.634253198368</v>
      </c>
      <c r="P36" s="335">
        <f t="shared" ca="1" si="5"/>
        <v>9903.1748092807866</v>
      </c>
      <c r="Q36" s="335">
        <f t="shared" ca="1" si="5"/>
        <v>12362.062023318085</v>
      </c>
      <c r="R36" s="335">
        <f t="shared" ca="1" si="5"/>
        <v>14526.981545382785</v>
      </c>
      <c r="S36" s="335">
        <f t="shared" ca="1" si="5"/>
        <v>16629.23035369713</v>
      </c>
      <c r="T36" s="335">
        <f t="shared" ca="1" si="5"/>
        <v>17458.313065875329</v>
      </c>
      <c r="U36" s="335">
        <f t="shared" ca="1" si="5"/>
        <v>22880.005574785835</v>
      </c>
      <c r="V36" s="335">
        <f t="shared" ca="1" si="5"/>
        <v>35300.396798134971</v>
      </c>
      <c r="W36" s="326"/>
    </row>
    <row r="37" spans="1:23">
      <c r="A37" s="762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0"/>
      <c r="N37" s="330"/>
      <c r="O37" s="330"/>
      <c r="P37" s="330"/>
      <c r="Q37" s="330"/>
      <c r="R37" s="330"/>
      <c r="S37" s="330"/>
      <c r="T37" s="330"/>
      <c r="U37" s="330"/>
      <c r="V37" s="330"/>
      <c r="W37" s="326"/>
    </row>
    <row r="38" spans="1:23" ht="16.8" thickTop="1" thickBot="1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5"/>
    </row>
    <row r="39" spans="1:23">
      <c r="A39" s="674"/>
      <c r="B39" s="675"/>
      <c r="C39" s="675"/>
      <c r="D39" s="675"/>
      <c r="E39" s="676"/>
      <c r="F39" s="675"/>
      <c r="G39" s="675"/>
      <c r="H39" s="675"/>
      <c r="I39" s="675"/>
      <c r="J39" s="675"/>
      <c r="K39" s="675"/>
      <c r="L39" s="675"/>
      <c r="M39" s="675"/>
      <c r="N39" s="675"/>
      <c r="O39" s="675"/>
      <c r="P39" s="675"/>
      <c r="Q39" s="675"/>
      <c r="R39" s="675"/>
      <c r="S39" s="675"/>
      <c r="T39" s="675"/>
      <c r="U39" s="675"/>
      <c r="V39" s="677"/>
      <c r="W39" s="673"/>
    </row>
    <row r="40" spans="1:23">
      <c r="A40" s="678" t="s">
        <v>314</v>
      </c>
      <c r="B40" s="679"/>
      <c r="C40" s="680">
        <f t="shared" ref="C40:V40" ca="1" si="6">C5</f>
        <v>2000</v>
      </c>
      <c r="D40" s="680">
        <f t="shared" ca="1" si="6"/>
        <v>2001</v>
      </c>
      <c r="E40" s="680">
        <f t="shared" ca="1" si="6"/>
        <v>2002</v>
      </c>
      <c r="F40" s="680">
        <f t="shared" ca="1" si="6"/>
        <v>2003</v>
      </c>
      <c r="G40" s="680">
        <f t="shared" ca="1" si="6"/>
        <v>2004</v>
      </c>
      <c r="H40" s="680">
        <f t="shared" ca="1" si="6"/>
        <v>2005</v>
      </c>
      <c r="I40" s="680">
        <f t="shared" ca="1" si="6"/>
        <v>2006</v>
      </c>
      <c r="J40" s="680">
        <f t="shared" ca="1" si="6"/>
        <v>2007</v>
      </c>
      <c r="K40" s="680">
        <f t="shared" ca="1" si="6"/>
        <v>2008</v>
      </c>
      <c r="L40" s="680">
        <f t="shared" ca="1" si="6"/>
        <v>2009</v>
      </c>
      <c r="M40" s="680">
        <f t="shared" ca="1" si="6"/>
        <v>2010</v>
      </c>
      <c r="N40" s="680">
        <f t="shared" ca="1" si="6"/>
        <v>2011</v>
      </c>
      <c r="O40" s="680">
        <f t="shared" ca="1" si="6"/>
        <v>2012</v>
      </c>
      <c r="P40" s="680">
        <f t="shared" ca="1" si="6"/>
        <v>2013</v>
      </c>
      <c r="Q40" s="680">
        <f t="shared" ca="1" si="6"/>
        <v>2014</v>
      </c>
      <c r="R40" s="680">
        <f t="shared" ca="1" si="6"/>
        <v>2015</v>
      </c>
      <c r="S40" s="680">
        <f t="shared" ca="1" si="6"/>
        <v>2016</v>
      </c>
      <c r="T40" s="680">
        <f t="shared" ca="1" si="6"/>
        <v>2017</v>
      </c>
      <c r="U40" s="680">
        <f t="shared" ca="1" si="6"/>
        <v>2018</v>
      </c>
      <c r="V40" s="681">
        <f t="shared" ca="1" si="6"/>
        <v>2019</v>
      </c>
      <c r="W40" s="673"/>
    </row>
    <row r="41" spans="1:23">
      <c r="A41" s="682" t="s">
        <v>315</v>
      </c>
      <c r="B41" s="679"/>
      <c r="C41" s="683">
        <f ca="1">IF(B41&gt;1,B41+1,IF(C45&gt;0,1,0))*0+C6</f>
        <v>1</v>
      </c>
      <c r="D41" s="679">
        <f t="shared" ref="D41:U41" ca="1" si="7">IF(C41&gt;=1,C41+1,IF(D45&gt;0,1,0))</f>
        <v>2</v>
      </c>
      <c r="E41" s="679">
        <f t="shared" ca="1" si="7"/>
        <v>3</v>
      </c>
      <c r="F41" s="679">
        <f t="shared" ca="1" si="7"/>
        <v>4</v>
      </c>
      <c r="G41" s="679">
        <f t="shared" ca="1" si="7"/>
        <v>5</v>
      </c>
      <c r="H41" s="679">
        <f t="shared" ca="1" si="7"/>
        <v>6</v>
      </c>
      <c r="I41" s="679">
        <f t="shared" ca="1" si="7"/>
        <v>7</v>
      </c>
      <c r="J41" s="679">
        <f t="shared" ca="1" si="7"/>
        <v>8</v>
      </c>
      <c r="K41" s="679">
        <f t="shared" ca="1" si="7"/>
        <v>9</v>
      </c>
      <c r="L41" s="679">
        <f t="shared" ca="1" si="7"/>
        <v>10</v>
      </c>
      <c r="M41" s="679">
        <f t="shared" ca="1" si="7"/>
        <v>11</v>
      </c>
      <c r="N41" s="679">
        <f t="shared" ca="1" si="7"/>
        <v>12</v>
      </c>
      <c r="O41" s="679">
        <f t="shared" ca="1" si="7"/>
        <v>13</v>
      </c>
      <c r="P41" s="679">
        <f t="shared" ca="1" si="7"/>
        <v>14</v>
      </c>
      <c r="Q41" s="679">
        <f t="shared" ca="1" si="7"/>
        <v>15</v>
      </c>
      <c r="R41" s="679">
        <f t="shared" ca="1" si="7"/>
        <v>16</v>
      </c>
      <c r="S41" s="679">
        <f t="shared" ca="1" si="7"/>
        <v>17</v>
      </c>
      <c r="T41" s="679">
        <f t="shared" ca="1" si="7"/>
        <v>18</v>
      </c>
      <c r="U41" s="679">
        <f t="shared" ca="1" si="7"/>
        <v>19</v>
      </c>
      <c r="V41" s="681"/>
      <c r="W41" s="673"/>
    </row>
    <row r="42" spans="1:23">
      <c r="A42" s="682"/>
      <c r="B42" s="679"/>
      <c r="C42" s="679"/>
      <c r="D42" s="679"/>
      <c r="E42" s="679"/>
      <c r="F42" s="679"/>
      <c r="G42" s="679"/>
      <c r="H42" s="679"/>
      <c r="I42" s="679"/>
      <c r="J42" s="679"/>
      <c r="K42" s="679"/>
      <c r="L42" s="679"/>
      <c r="M42" s="679"/>
      <c r="N42" s="679"/>
      <c r="O42" s="679"/>
      <c r="P42" s="679"/>
      <c r="Q42" s="679"/>
      <c r="R42" s="679"/>
      <c r="S42" s="679"/>
      <c r="T42" s="679"/>
      <c r="U42" s="679"/>
      <c r="V42" s="684"/>
      <c r="W42" s="673"/>
    </row>
    <row r="43" spans="1:23">
      <c r="A43" s="682" t="s">
        <v>316</v>
      </c>
      <c r="B43" s="679"/>
      <c r="C43" s="679"/>
      <c r="D43" s="679"/>
      <c r="E43" s="679"/>
      <c r="F43" s="679"/>
      <c r="G43" s="679"/>
      <c r="H43" s="679"/>
      <c r="I43" s="679"/>
      <c r="J43" s="679"/>
      <c r="K43" s="679"/>
      <c r="L43" s="679"/>
      <c r="M43" s="679"/>
      <c r="N43" s="679"/>
      <c r="O43" s="679"/>
      <c r="P43" s="679"/>
      <c r="Q43" s="679"/>
      <c r="R43" s="679"/>
      <c r="S43" s="679"/>
      <c r="T43" s="679"/>
      <c r="U43" s="679"/>
      <c r="V43" s="684"/>
      <c r="W43" s="673"/>
    </row>
    <row r="44" spans="1:23">
      <c r="A44" s="682" t="s">
        <v>317</v>
      </c>
      <c r="B44" s="679"/>
      <c r="C44" s="685">
        <f ca="1">'ENA Debt'!C34</f>
        <v>0</v>
      </c>
      <c r="D44" s="685">
        <f ca="1">'ENA Debt'!D34</f>
        <v>9426.17</v>
      </c>
      <c r="E44" s="685">
        <f ca="1">'ENA Debt'!E34</f>
        <v>9264.5</v>
      </c>
      <c r="F44" s="685">
        <f ca="1">'ENA Debt'!F34</f>
        <v>9080.43</v>
      </c>
      <c r="G44" s="685">
        <f ca="1">'ENA Debt'!G34</f>
        <v>8853.23</v>
      </c>
      <c r="H44" s="685">
        <f ca="1">'ENA Debt'!H34</f>
        <v>8589.4699999999993</v>
      </c>
      <c r="I44" s="685">
        <f ca="1">'ENA Debt'!I34</f>
        <v>8311.17</v>
      </c>
      <c r="J44" s="685">
        <f ca="1">'ENA Debt'!J34</f>
        <v>7950.41</v>
      </c>
      <c r="K44" s="685">
        <f ca="1">'ENA Debt'!K34</f>
        <v>7572.8</v>
      </c>
      <c r="L44" s="685">
        <f ca="1">'ENA Debt'!L34</f>
        <v>7099.69</v>
      </c>
      <c r="M44" s="685">
        <f ca="1">'ENA Debt'!M34</f>
        <v>6607.8</v>
      </c>
      <c r="N44" s="685">
        <f ca="1">'ENA Debt'!N34</f>
        <v>6009.53</v>
      </c>
      <c r="O44" s="685">
        <f ca="1">'ENA Debt'!O34</f>
        <v>5408.87</v>
      </c>
      <c r="P44" s="685">
        <f ca="1">'ENA Debt'!P34</f>
        <v>4794.62</v>
      </c>
      <c r="Q44" s="685">
        <f ca="1">'ENA Debt'!Q34</f>
        <v>4165.8599999999997</v>
      </c>
      <c r="R44" s="685">
        <f ca="1">'ENA Debt'!R34</f>
        <v>3454.87</v>
      </c>
      <c r="S44" s="685">
        <f ca="1">'ENA Debt'!S34</f>
        <v>2744.23</v>
      </c>
      <c r="T44" s="685">
        <f ca="1">'ENA Debt'!T34</f>
        <v>2035.48</v>
      </c>
      <c r="U44" s="685">
        <f ca="1">'ENA Debt'!U34</f>
        <v>1362.17</v>
      </c>
      <c r="V44" s="685">
        <f ca="1">'ENA Debt'!V34</f>
        <v>889.67</v>
      </c>
      <c r="W44" s="673"/>
    </row>
    <row r="45" spans="1:23">
      <c r="A45" s="686" t="s">
        <v>318</v>
      </c>
      <c r="B45" s="673"/>
      <c r="C45" s="687">
        <f ca="1">'ENA Debt'!C35</f>
        <v>0</v>
      </c>
      <c r="D45" s="687">
        <f ca="1">'ENA Debt'!D35</f>
        <v>1985.8129039801206</v>
      </c>
      <c r="E45" s="687">
        <f ca="1">'ENA Debt'!E35</f>
        <v>2219.8952338536419</v>
      </c>
      <c r="F45" s="687">
        <f ca="1">'ENA Debt'!F35</f>
        <v>2759.370280486768</v>
      </c>
      <c r="G45" s="687">
        <f ca="1">'ENA Debt'!G35</f>
        <v>3296.9510313626406</v>
      </c>
      <c r="H45" s="687">
        <f ca="1">'ENA Debt'!H35</f>
        <v>3296.9510313626406</v>
      </c>
      <c r="I45" s="687">
        <f ca="1">'ENA Debt'!I35</f>
        <v>4509.4421506393901</v>
      </c>
      <c r="J45" s="687">
        <f ca="1">'ENA Debt'!J35</f>
        <v>4509.4421506394037</v>
      </c>
      <c r="K45" s="687">
        <f ca="1">'ENA Debt'!K35</f>
        <v>5913.9738351167398</v>
      </c>
      <c r="L45" s="687">
        <f ca="1">'ENA Debt'!L35</f>
        <v>5913.9738351167398</v>
      </c>
      <c r="M45" s="687">
        <f ca="1">'ENA Debt'!M35</f>
        <v>7478.3265297064227</v>
      </c>
      <c r="N45" s="687">
        <f ca="1">'ENA Debt'!N35</f>
        <v>7478.3265297064354</v>
      </c>
      <c r="O45" s="687">
        <f ca="1">'ENA Debt'!O35</f>
        <v>7678.125</v>
      </c>
      <c r="P45" s="687">
        <f ca="1">'ENA Debt'!P35</f>
        <v>7678.125</v>
      </c>
      <c r="Q45" s="687">
        <f ca="1">'ENA Debt'!Q35</f>
        <v>8887.2672410090072</v>
      </c>
      <c r="R45" s="687">
        <f ca="1">'ENA Debt'!R35</f>
        <v>8887.2672410090217</v>
      </c>
      <c r="S45" s="687">
        <f ca="1">'ENA Debt'!S35</f>
        <v>8859.375</v>
      </c>
      <c r="T45" s="687">
        <f ca="1">'ENA Debt'!T35</f>
        <v>8859.375</v>
      </c>
      <c r="U45" s="687">
        <f ca="1">'ENA Debt'!U35</f>
        <v>5906.25</v>
      </c>
      <c r="V45" s="687">
        <f ca="1">'ENA Debt'!V35</f>
        <v>5906.25</v>
      </c>
      <c r="W45" s="673"/>
    </row>
    <row r="46" spans="1:23">
      <c r="A46" s="686" t="s">
        <v>319</v>
      </c>
      <c r="B46" s="673"/>
      <c r="C46" s="685">
        <f t="shared" ref="C46:S46" ca="1" si="8">C45+C44</f>
        <v>0</v>
      </c>
      <c r="D46" s="685">
        <f t="shared" ca="1" si="8"/>
        <v>11411.982903980121</v>
      </c>
      <c r="E46" s="685">
        <f t="shared" ca="1" si="8"/>
        <v>11484.395233853642</v>
      </c>
      <c r="F46" s="685">
        <f t="shared" ca="1" si="8"/>
        <v>11839.800280486768</v>
      </c>
      <c r="G46" s="685">
        <f t="shared" ca="1" si="8"/>
        <v>12150.181031362641</v>
      </c>
      <c r="H46" s="685">
        <f t="shared" ca="1" si="8"/>
        <v>11886.421031362639</v>
      </c>
      <c r="I46" s="685">
        <f t="shared" ca="1" si="8"/>
        <v>12820.61215063939</v>
      </c>
      <c r="J46" s="685">
        <f t="shared" ca="1" si="8"/>
        <v>12459.852150639403</v>
      </c>
      <c r="K46" s="685">
        <f t="shared" ca="1" si="8"/>
        <v>13486.773835116739</v>
      </c>
      <c r="L46" s="685">
        <f t="shared" ca="1" si="8"/>
        <v>13013.663835116738</v>
      </c>
      <c r="M46" s="685">
        <f t="shared" ca="1" si="8"/>
        <v>14086.126529706424</v>
      </c>
      <c r="N46" s="685">
        <f t="shared" ca="1" si="8"/>
        <v>13487.856529706434</v>
      </c>
      <c r="O46" s="685">
        <f t="shared" ca="1" si="8"/>
        <v>13086.994999999999</v>
      </c>
      <c r="P46" s="685">
        <f t="shared" ca="1" si="8"/>
        <v>12472.744999999999</v>
      </c>
      <c r="Q46" s="685">
        <f t="shared" ca="1" si="8"/>
        <v>13053.127241009006</v>
      </c>
      <c r="R46" s="685">
        <f t="shared" ca="1" si="8"/>
        <v>12342.137241009023</v>
      </c>
      <c r="S46" s="685">
        <f t="shared" ca="1" si="8"/>
        <v>11603.605</v>
      </c>
      <c r="T46" s="685">
        <f ca="1">T45+T44</f>
        <v>10894.855</v>
      </c>
      <c r="U46" s="685">
        <f ca="1">U45+U44</f>
        <v>7268.42</v>
      </c>
      <c r="V46" s="685">
        <f ca="1">V45+V44</f>
        <v>6795.92</v>
      </c>
      <c r="W46" s="673"/>
    </row>
    <row r="47" spans="1:23">
      <c r="A47" s="686"/>
      <c r="B47" s="673"/>
      <c r="C47" s="685"/>
      <c r="D47" s="685"/>
      <c r="E47" s="685"/>
      <c r="F47" s="685"/>
      <c r="G47" s="685"/>
      <c r="H47" s="685"/>
      <c r="I47" s="685"/>
      <c r="J47" s="685"/>
      <c r="K47" s="685"/>
      <c r="L47" s="685"/>
      <c r="M47" s="685"/>
      <c r="N47" s="685"/>
      <c r="O47" s="685"/>
      <c r="P47" s="685"/>
      <c r="Q47" s="685"/>
      <c r="R47" s="685"/>
      <c r="S47" s="685"/>
      <c r="T47" s="685"/>
      <c r="U47" s="685"/>
      <c r="V47" s="688"/>
      <c r="W47" s="673"/>
    </row>
    <row r="48" spans="1:23">
      <c r="A48" s="686"/>
      <c r="B48" s="673"/>
      <c r="C48" s="687"/>
      <c r="D48" s="687"/>
      <c r="E48" s="687"/>
      <c r="F48" s="687"/>
      <c r="G48" s="687"/>
      <c r="H48" s="687"/>
      <c r="I48" s="687"/>
      <c r="J48" s="687"/>
      <c r="K48" s="687"/>
      <c r="L48" s="687"/>
      <c r="M48" s="687"/>
      <c r="N48" s="687"/>
      <c r="O48" s="687"/>
      <c r="P48" s="687"/>
      <c r="Q48" s="687"/>
      <c r="R48" s="687"/>
      <c r="S48" s="687"/>
      <c r="T48" s="687"/>
      <c r="U48" s="687"/>
      <c r="V48" s="689"/>
      <c r="W48" s="673"/>
    </row>
    <row r="49" spans="1:23">
      <c r="A49" s="678" t="s">
        <v>320</v>
      </c>
      <c r="B49" s="679"/>
      <c r="C49" s="690">
        <f t="shared" ref="C49:R49" ca="1" si="9">SUM(C46:C47)</f>
        <v>0</v>
      </c>
      <c r="D49" s="690">
        <f t="shared" ca="1" si="9"/>
        <v>11411.982903980121</v>
      </c>
      <c r="E49" s="690">
        <f t="shared" ca="1" si="9"/>
        <v>11484.395233853642</v>
      </c>
      <c r="F49" s="690">
        <f t="shared" ca="1" si="9"/>
        <v>11839.800280486768</v>
      </c>
      <c r="G49" s="690">
        <f t="shared" ca="1" si="9"/>
        <v>12150.181031362641</v>
      </c>
      <c r="H49" s="690">
        <f t="shared" ca="1" si="9"/>
        <v>11886.421031362639</v>
      </c>
      <c r="I49" s="690">
        <f t="shared" ca="1" si="9"/>
        <v>12820.61215063939</v>
      </c>
      <c r="J49" s="690">
        <f t="shared" ca="1" si="9"/>
        <v>12459.852150639403</v>
      </c>
      <c r="K49" s="690">
        <f t="shared" ca="1" si="9"/>
        <v>13486.773835116739</v>
      </c>
      <c r="L49" s="690">
        <f t="shared" ca="1" si="9"/>
        <v>13013.663835116738</v>
      </c>
      <c r="M49" s="690">
        <f t="shared" ca="1" si="9"/>
        <v>14086.126529706424</v>
      </c>
      <c r="N49" s="690">
        <f t="shared" ca="1" si="9"/>
        <v>13487.856529706434</v>
      </c>
      <c r="O49" s="690">
        <f t="shared" ca="1" si="9"/>
        <v>13086.994999999999</v>
      </c>
      <c r="P49" s="690">
        <f t="shared" ca="1" si="9"/>
        <v>12472.744999999999</v>
      </c>
      <c r="Q49" s="690">
        <f t="shared" ca="1" si="9"/>
        <v>13053.127241009006</v>
      </c>
      <c r="R49" s="690">
        <f t="shared" ca="1" si="9"/>
        <v>12342.137241009023</v>
      </c>
      <c r="S49" s="690"/>
      <c r="T49" s="690"/>
      <c r="U49" s="690"/>
      <c r="V49" s="691"/>
      <c r="W49" s="673"/>
    </row>
    <row r="50" spans="1:23">
      <c r="A50" s="682"/>
      <c r="B50" s="679"/>
      <c r="C50" s="679"/>
      <c r="D50" s="679"/>
      <c r="E50" s="679"/>
      <c r="F50" s="679"/>
      <c r="G50" s="679"/>
      <c r="H50" s="679"/>
      <c r="I50" s="679"/>
      <c r="J50" s="679"/>
      <c r="K50" s="679"/>
      <c r="L50" s="679"/>
      <c r="M50" s="679"/>
      <c r="N50" s="679"/>
      <c r="O50" s="679"/>
      <c r="P50" s="679"/>
      <c r="Q50" s="679"/>
      <c r="R50" s="679"/>
      <c r="S50" s="679"/>
      <c r="T50" s="679"/>
      <c r="U50" s="679"/>
      <c r="V50" s="684"/>
      <c r="W50" s="673"/>
    </row>
    <row r="51" spans="1:23">
      <c r="A51" s="686" t="s">
        <v>321</v>
      </c>
      <c r="B51" s="692"/>
      <c r="C51" s="673"/>
      <c r="D51" s="673"/>
      <c r="E51" s="673"/>
      <c r="F51" s="693"/>
      <c r="G51" s="693"/>
      <c r="H51" s="693"/>
      <c r="I51" s="693"/>
      <c r="J51" s="693"/>
      <c r="K51" s="693"/>
      <c r="L51" s="693"/>
      <c r="M51" s="693"/>
      <c r="N51" s="693"/>
      <c r="O51" s="693"/>
      <c r="P51" s="693"/>
      <c r="Q51" s="693"/>
      <c r="R51" s="693"/>
      <c r="S51" s="693"/>
      <c r="T51" s="693"/>
      <c r="U51" s="693"/>
      <c r="V51" s="694"/>
      <c r="W51" s="673"/>
    </row>
    <row r="52" spans="1:23">
      <c r="A52" s="686" t="s">
        <v>322</v>
      </c>
      <c r="B52" s="695"/>
      <c r="C52" s="693">
        <f t="shared" ref="C52:R52" ca="1" si="10">IF(C49&gt;1,(C23)/C46,0)</f>
        <v>0</v>
      </c>
      <c r="D52" s="693">
        <f t="shared" ca="1" si="10"/>
        <v>2.4481746508764424</v>
      </c>
      <c r="E52" s="693">
        <f t="shared" ca="1" si="10"/>
        <v>2.316162798015549</v>
      </c>
      <c r="F52" s="693">
        <f t="shared" ca="1" si="10"/>
        <v>2.3520010803206985</v>
      </c>
      <c r="G52" s="693">
        <f t="shared" ca="1" si="10"/>
        <v>2.3311152015685197</v>
      </c>
      <c r="H52" s="693">
        <f t="shared" ca="1" si="10"/>
        <v>1.6680943253225651</v>
      </c>
      <c r="I52" s="693">
        <f t="shared" ca="1" si="10"/>
        <v>2.0758088625169475</v>
      </c>
      <c r="J52" s="693">
        <f t="shared" ca="1" si="10"/>
        <v>2.7542334982971961</v>
      </c>
      <c r="K52" s="693">
        <f t="shared" ca="1" si="10"/>
        <v>2.5782243779027434</v>
      </c>
      <c r="L52" s="693">
        <f t="shared" ca="1" si="10"/>
        <v>2.5010510331727689</v>
      </c>
      <c r="M52" s="693">
        <f t="shared" ca="1" si="10"/>
        <v>2.3524125790867099</v>
      </c>
      <c r="N52" s="693">
        <f t="shared" ca="1" si="10"/>
        <v>2.318652674093284</v>
      </c>
      <c r="O52" s="693">
        <f t="shared" ca="1" si="10"/>
        <v>2.3690357775154336</v>
      </c>
      <c r="P52" s="693">
        <f t="shared" ca="1" si="10"/>
        <v>2.2351072424534659</v>
      </c>
      <c r="Q52" s="693">
        <f t="shared" ca="1" si="10"/>
        <v>2.5404010691322614</v>
      </c>
      <c r="R52" s="693">
        <f t="shared" ca="1" si="10"/>
        <v>3.1373827740026958</v>
      </c>
      <c r="S52" s="693"/>
      <c r="T52" s="693"/>
      <c r="U52" s="693"/>
      <c r="V52" s="694"/>
      <c r="W52" s="673"/>
    </row>
    <row r="53" spans="1:23">
      <c r="A53" s="686" t="s">
        <v>323</v>
      </c>
      <c r="B53" s="696">
        <f ca="1">IF('ASSUM 1'!N26=1,AVERAGE(D52:R52),AVERAGE(C52:Q58))</f>
        <v>2.3985238629518184</v>
      </c>
      <c r="C53" s="693"/>
      <c r="D53" s="693"/>
      <c r="E53" s="693"/>
      <c r="F53" s="693"/>
      <c r="G53" s="693"/>
      <c r="H53" s="693"/>
      <c r="I53" s="693"/>
      <c r="J53" s="693"/>
      <c r="K53" s="693"/>
      <c r="L53" s="693"/>
      <c r="M53" s="693"/>
      <c r="N53" s="693"/>
      <c r="O53" s="693"/>
      <c r="P53" s="693"/>
      <c r="Q53" s="693"/>
      <c r="R53" s="693"/>
      <c r="S53" s="693"/>
      <c r="T53" s="693"/>
      <c r="U53" s="693"/>
      <c r="V53" s="694"/>
      <c r="W53" s="673"/>
    </row>
    <row r="54" spans="1:23">
      <c r="A54" s="686" t="s">
        <v>324</v>
      </c>
      <c r="B54" s="696">
        <f ca="1">IF('ASSUM 1'!N26=1,MIN(D52:R52),MIN(C52:R52))</f>
        <v>1.6680943253225651</v>
      </c>
      <c r="C54" s="693"/>
      <c r="D54" s="693"/>
      <c r="E54" s="693"/>
      <c r="F54" s="693"/>
      <c r="G54" s="693"/>
      <c r="H54" s="693"/>
      <c r="I54" s="693"/>
      <c r="J54" s="693"/>
      <c r="K54" s="693"/>
      <c r="L54" s="693"/>
      <c r="M54" s="693"/>
      <c r="N54" s="693"/>
      <c r="O54" s="693"/>
      <c r="P54" s="693"/>
      <c r="Q54" s="693"/>
      <c r="R54" s="693"/>
      <c r="S54" s="693"/>
      <c r="T54" s="693"/>
      <c r="U54" s="693"/>
      <c r="V54" s="694"/>
      <c r="W54" s="673"/>
    </row>
    <row r="55" spans="1:23">
      <c r="A55" s="686" t="s">
        <v>325</v>
      </c>
      <c r="B55" s="696"/>
      <c r="C55" s="697">
        <f ca="1">1-SUM($C$45:C45)/('ASSUM 1'!$S$29*1000)</f>
        <v>1</v>
      </c>
      <c r="D55" s="697">
        <f ca="1">1-SUM($C$45:D45)/('ASSUM 1'!$S$29*1000)</f>
        <v>0.97793541217799862</v>
      </c>
      <c r="E55" s="697">
        <f ca="1">1-SUM($C$45:E45)/('ASSUM 1'!$S$29*1000)</f>
        <v>0.95326990957962487</v>
      </c>
      <c r="F55" s="697">
        <f ca="1">1-SUM($C$45:F45)/('ASSUM 1'!$S$29*1000)</f>
        <v>0.92261023979643852</v>
      </c>
      <c r="G55" s="697">
        <f ca="1">1-SUM($C$45:G45)/('ASSUM 1'!$S$29*1000)</f>
        <v>0.88597745055907584</v>
      </c>
      <c r="H55" s="697">
        <f ca="1">1-SUM($C$45:H45)/('ASSUM 1'!$S$29*1000)</f>
        <v>0.84934466132171327</v>
      </c>
      <c r="I55" s="697">
        <f ca="1">1-SUM($C$45:I45)/('ASSUM 1'!$S$29*1000)</f>
        <v>0.79923974853683111</v>
      </c>
      <c r="J55" s="697">
        <f ca="1">1-SUM($C$45:J45)/('ASSUM 1'!$S$29*1000)</f>
        <v>0.74913483575194884</v>
      </c>
      <c r="K55" s="697">
        <f ca="1">1-SUM($C$45:K45)/('ASSUM 1'!$S$29*1000)</f>
        <v>0.68342401536176278</v>
      </c>
      <c r="L55" s="697">
        <f ca="1">1-SUM($C$45:L45)/('ASSUM 1'!$S$29*1000)</f>
        <v>0.61771319497157684</v>
      </c>
      <c r="M55" s="697">
        <f ca="1">1-SUM($C$45:M45)/('ASSUM 1'!$S$29*1000)</f>
        <v>0.53462067797483892</v>
      </c>
      <c r="N55" s="697">
        <f ca="1">1-SUM($C$45:N45)/('ASSUM 1'!$S$29*1000)</f>
        <v>0.45152816097810067</v>
      </c>
      <c r="O55" s="697">
        <f ca="1">1-SUM($C$45:O45)/('ASSUM 1'!$S$29*1000)</f>
        <v>0.36621566097810077</v>
      </c>
      <c r="P55" s="697">
        <f ca="1">1-SUM($C$45:P45)/('ASSUM 1'!$S$29*1000)</f>
        <v>0.28090316097810075</v>
      </c>
      <c r="Q55" s="697">
        <f ca="1">1-SUM($C$45:Q45)/('ASSUM 1'!$S$29*1000)</f>
        <v>0.18215574718911176</v>
      </c>
      <c r="R55" s="697">
        <f ca="1">1-SUM($C$45:R45)/('ASSUM 1'!$S$29*1000)</f>
        <v>8.3408333400122769E-2</v>
      </c>
      <c r="S55" s="697"/>
      <c r="T55" s="693"/>
      <c r="U55" s="693"/>
      <c r="V55" s="694"/>
      <c r="W55" s="673"/>
    </row>
    <row r="56" spans="1:23">
      <c r="A56" s="686"/>
      <c r="B56" s="696"/>
      <c r="C56" s="693"/>
      <c r="D56" s="693"/>
      <c r="E56" s="693"/>
      <c r="F56" s="693"/>
      <c r="G56" s="693"/>
      <c r="H56" s="693"/>
      <c r="I56" s="693"/>
      <c r="J56" s="693"/>
      <c r="K56" s="693"/>
      <c r="L56" s="693"/>
      <c r="M56" s="693"/>
      <c r="N56" s="693"/>
      <c r="O56" s="693"/>
      <c r="P56" s="693"/>
      <c r="Q56" s="693"/>
      <c r="R56" s="693"/>
      <c r="S56" s="693"/>
      <c r="T56" s="693"/>
      <c r="U56" s="693"/>
      <c r="V56" s="694"/>
      <c r="W56" s="673"/>
    </row>
    <row r="57" spans="1:23">
      <c r="A57" s="686" t="s">
        <v>326</v>
      </c>
      <c r="B57" s="696"/>
      <c r="C57" s="693">
        <f t="shared" ref="C57:Q57" ca="1" si="11">IF(C49&gt;1,(C23)/C49,0)</f>
        <v>0</v>
      </c>
      <c r="D57" s="693">
        <f t="shared" ca="1" si="11"/>
        <v>2.4481746508764424</v>
      </c>
      <c r="E57" s="693">
        <f t="shared" ca="1" si="11"/>
        <v>2.316162798015549</v>
      </c>
      <c r="F57" s="693">
        <f t="shared" ca="1" si="11"/>
        <v>2.3520010803206985</v>
      </c>
      <c r="G57" s="693">
        <f t="shared" ca="1" si="11"/>
        <v>2.3311152015685197</v>
      </c>
      <c r="H57" s="693">
        <f t="shared" ca="1" si="11"/>
        <v>1.6680943253225651</v>
      </c>
      <c r="I57" s="693">
        <f t="shared" ca="1" si="11"/>
        <v>2.0758088625169475</v>
      </c>
      <c r="J57" s="693">
        <f t="shared" ca="1" si="11"/>
        <v>2.7542334982971961</v>
      </c>
      <c r="K57" s="693">
        <f t="shared" ca="1" si="11"/>
        <v>2.5782243779027434</v>
      </c>
      <c r="L57" s="693">
        <f t="shared" ca="1" si="11"/>
        <v>2.5010510331727689</v>
      </c>
      <c r="M57" s="693">
        <f t="shared" ca="1" si="11"/>
        <v>2.3524125790867099</v>
      </c>
      <c r="N57" s="693">
        <f t="shared" ca="1" si="11"/>
        <v>2.318652674093284</v>
      </c>
      <c r="O57" s="693">
        <f t="shared" ca="1" si="11"/>
        <v>2.3690357775154336</v>
      </c>
      <c r="P57" s="693">
        <f t="shared" ca="1" si="11"/>
        <v>2.2351072424534659</v>
      </c>
      <c r="Q57" s="693">
        <f t="shared" ca="1" si="11"/>
        <v>2.5404010691322614</v>
      </c>
      <c r="R57" s="693">
        <f ca="1">IF(R49&gt;1,(R13-R21)/R49,0)</f>
        <v>3.1373827740026958</v>
      </c>
      <c r="S57" s="693"/>
      <c r="T57" s="693"/>
      <c r="U57" s="693"/>
      <c r="V57" s="694"/>
      <c r="W57" s="673"/>
    </row>
    <row r="58" spans="1:23" ht="16.2" thickBot="1">
      <c r="A58" s="698"/>
      <c r="B58" s="699"/>
      <c r="C58" s="699"/>
      <c r="D58" s="699"/>
      <c r="E58" s="699"/>
      <c r="F58" s="699"/>
      <c r="G58" s="699"/>
      <c r="H58" s="699"/>
      <c r="I58" s="699"/>
      <c r="J58" s="699"/>
      <c r="K58" s="699"/>
      <c r="L58" s="699"/>
      <c r="M58" s="699"/>
      <c r="N58" s="699"/>
      <c r="O58" s="699"/>
      <c r="P58" s="699"/>
      <c r="Q58" s="699"/>
      <c r="R58" s="699"/>
      <c r="S58" s="699"/>
      <c r="T58" s="699"/>
      <c r="U58" s="699"/>
      <c r="V58" s="700"/>
      <c r="W58" s="673"/>
    </row>
    <row r="59" spans="1:23">
      <c r="A59" s="673"/>
      <c r="B59" s="673"/>
      <c r="C59" s="673"/>
      <c r="D59" s="673"/>
      <c r="E59" s="673"/>
      <c r="F59" s="673"/>
      <c r="G59" s="673"/>
      <c r="H59" s="673"/>
      <c r="I59" s="673"/>
      <c r="J59" s="673"/>
      <c r="K59" s="673"/>
      <c r="L59" s="673"/>
      <c r="M59" s="673"/>
      <c r="N59" s="673"/>
      <c r="O59" s="673"/>
      <c r="P59" s="673"/>
      <c r="Q59" s="673"/>
      <c r="R59" s="673"/>
      <c r="S59" s="673"/>
      <c r="T59" s="673"/>
      <c r="U59" s="673"/>
      <c r="V59" s="673"/>
    </row>
    <row r="60" spans="1:23">
      <c r="A60" s="318"/>
      <c r="B60" s="318"/>
      <c r="C60" s="318">
        <v>0.5</v>
      </c>
      <c r="D60" s="318">
        <v>1.5</v>
      </c>
      <c r="E60" s="318">
        <v>2.5</v>
      </c>
      <c r="F60" s="318">
        <v>3.5</v>
      </c>
      <c r="G60" s="318">
        <v>4.5</v>
      </c>
      <c r="H60" s="318">
        <v>5.5</v>
      </c>
      <c r="I60" s="318">
        <v>6.5</v>
      </c>
      <c r="J60" s="318">
        <v>7.5</v>
      </c>
      <c r="K60" s="318">
        <v>8.5</v>
      </c>
      <c r="L60" s="318">
        <v>9.5</v>
      </c>
      <c r="M60" s="318">
        <v>10.5</v>
      </c>
      <c r="N60" s="318">
        <v>11.5</v>
      </c>
      <c r="O60" s="318">
        <v>12.5</v>
      </c>
      <c r="P60" s="318">
        <v>13.5</v>
      </c>
      <c r="Q60" s="318">
        <v>14.5</v>
      </c>
      <c r="R60" s="318">
        <v>15.5</v>
      </c>
      <c r="S60" s="318">
        <v>16.5</v>
      </c>
      <c r="T60" s="318">
        <v>17.5</v>
      </c>
      <c r="U60" s="318">
        <v>18.5</v>
      </c>
      <c r="V60" s="318">
        <v>19.5</v>
      </c>
    </row>
    <row r="61" spans="1:23">
      <c r="C61" s="761">
        <f t="shared" ref="C61:R61" ca="1" si="12">C60*C45</f>
        <v>0</v>
      </c>
      <c r="D61" s="761">
        <f t="shared" ca="1" si="12"/>
        <v>2978.7193559701809</v>
      </c>
      <c r="E61" s="761">
        <f t="shared" ca="1" si="12"/>
        <v>5549.7380846341048</v>
      </c>
      <c r="F61" s="761">
        <f t="shared" ca="1" si="12"/>
        <v>9657.7959817036881</v>
      </c>
      <c r="G61" s="761">
        <f t="shared" ca="1" si="12"/>
        <v>14836.279641131883</v>
      </c>
      <c r="H61" s="761">
        <f t="shared" ca="1" si="12"/>
        <v>18133.230672494523</v>
      </c>
      <c r="I61" s="761">
        <f t="shared" ca="1" si="12"/>
        <v>29311.373979156037</v>
      </c>
      <c r="J61" s="761">
        <f t="shared" ca="1" si="12"/>
        <v>33820.81612979553</v>
      </c>
      <c r="K61" s="761">
        <f t="shared" ca="1" si="12"/>
        <v>50268.777598492292</v>
      </c>
      <c r="L61" s="761">
        <f t="shared" ca="1" si="12"/>
        <v>56182.751433609024</v>
      </c>
      <c r="M61" s="761">
        <f t="shared" ca="1" si="12"/>
        <v>78522.428561917433</v>
      </c>
      <c r="N61" s="761">
        <f t="shared" ca="1" si="12"/>
        <v>86000.755091624014</v>
      </c>
      <c r="O61" s="761">
        <f t="shared" ca="1" si="12"/>
        <v>95976.5625</v>
      </c>
      <c r="P61" s="761">
        <f t="shared" ca="1" si="12"/>
        <v>103654.6875</v>
      </c>
      <c r="Q61" s="761">
        <f t="shared" ca="1" si="12"/>
        <v>128865.37499463061</v>
      </c>
      <c r="R61" s="761">
        <f t="shared" ca="1" si="12"/>
        <v>137752.64223563983</v>
      </c>
      <c r="S61" s="761">
        <f ca="1">S60*S45</f>
        <v>146179.6875</v>
      </c>
      <c r="T61" s="761">
        <f ca="1">T60*T45</f>
        <v>155039.0625</v>
      </c>
      <c r="U61" s="761">
        <f ca="1">U60*U45</f>
        <v>109265.625</v>
      </c>
      <c r="V61" s="761">
        <f ca="1">V60*V45</f>
        <v>115171.875</v>
      </c>
    </row>
    <row r="62" spans="1:23">
      <c r="C62" s="330">
        <f ca="1">SUM(C61:V61)/'ENA Assumptions'!B2</f>
        <v>11.658566635012056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66"/>
  <sheetViews>
    <sheetView showOutlineSymbols="0" view="pageBreakPreview" zoomScale="60" zoomScaleNormal="75" workbookViewId="0">
      <selection activeCell="D13" sqref="D13"/>
    </sheetView>
  </sheetViews>
  <sheetFormatPr defaultColWidth="9.81640625" defaultRowHeight="15.6"/>
  <cols>
    <col min="1" max="1" width="20.81640625" style="317" customWidth="1"/>
    <col min="2" max="2" width="5.81640625" style="317" customWidth="1"/>
    <col min="3" max="22" width="9.81640625" style="317" customWidth="1"/>
    <col min="23" max="23" width="3.6328125" style="317" customWidth="1"/>
    <col min="24" max="16384" width="9.81640625" style="317"/>
  </cols>
  <sheetData>
    <row r="1" spans="1:23" ht="22.2">
      <c r="A1" s="316" t="str">
        <f ca="1">'CSHFLO w ePUP'!A1</f>
        <v>DELMARVA, VA</v>
      </c>
    </row>
    <row r="2" spans="1:23">
      <c r="A2" s="319" t="s">
        <v>135</v>
      </c>
      <c r="B2" s="320"/>
    </row>
    <row r="3" spans="1:23" ht="12.75" customHeight="1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23">
      <c r="A4" s="322"/>
      <c r="B4" s="322"/>
    </row>
    <row r="5" spans="1:23">
      <c r="A5" s="323" t="str">
        <f ca="1">'CSHFLO w ePUP'!A5</f>
        <v>US $ 000s</v>
      </c>
      <c r="B5" s="322"/>
      <c r="C5" s="323">
        <f ca="1">'CSHFLO w ePUP'!C5</f>
        <v>2000</v>
      </c>
      <c r="D5" s="323">
        <f ca="1">'CSHFLO w ePUP'!D5</f>
        <v>2001</v>
      </c>
      <c r="E5" s="323">
        <f ca="1">'CSHFLO w ePUP'!E5</f>
        <v>2002</v>
      </c>
      <c r="F5" s="323">
        <f ca="1">'CSHFLO w ePUP'!F5</f>
        <v>2003</v>
      </c>
      <c r="G5" s="323">
        <f ca="1">'CSHFLO w ePUP'!G5</f>
        <v>2004</v>
      </c>
      <c r="H5" s="323">
        <f ca="1">'CSHFLO w ePUP'!H5</f>
        <v>2005</v>
      </c>
      <c r="I5" s="323">
        <f ca="1">'CSHFLO w ePUP'!I5</f>
        <v>2006</v>
      </c>
      <c r="J5" s="323">
        <f ca="1">'CSHFLO w ePUP'!J5</f>
        <v>2007</v>
      </c>
      <c r="K5" s="323">
        <f ca="1">'CSHFLO w ePUP'!K5</f>
        <v>2008</v>
      </c>
      <c r="L5" s="323">
        <f ca="1">'CSHFLO w ePUP'!L5</f>
        <v>2009</v>
      </c>
      <c r="M5" s="323">
        <f ca="1">'CSHFLO w ePUP'!M5</f>
        <v>2010</v>
      </c>
      <c r="N5" s="323">
        <f ca="1">'CSHFLO w ePUP'!N5</f>
        <v>2011</v>
      </c>
      <c r="O5" s="323">
        <f ca="1">'CSHFLO w ePUP'!O5</f>
        <v>2012</v>
      </c>
      <c r="P5" s="323">
        <f ca="1">'CSHFLO w ePUP'!P5</f>
        <v>2013</v>
      </c>
      <c r="Q5" s="323">
        <f ca="1">'CSHFLO w ePUP'!Q5</f>
        <v>2014</v>
      </c>
      <c r="R5" s="323">
        <f ca="1">'CSHFLO w ePUP'!R5</f>
        <v>2015</v>
      </c>
      <c r="S5" s="323">
        <f ca="1">'CSHFLO w ePUP'!S5</f>
        <v>2016</v>
      </c>
      <c r="T5" s="323">
        <f ca="1">'CSHFLO w ePUP'!T5</f>
        <v>2017</v>
      </c>
      <c r="U5" s="323">
        <f ca="1">'CSHFLO w ePUP'!U5</f>
        <v>2018</v>
      </c>
      <c r="V5" s="323">
        <f ca="1">'CSHFLO w ePUP'!V5</f>
        <v>2019</v>
      </c>
    </row>
    <row r="6" spans="1:23">
      <c r="A6" s="317" t="str">
        <f ca="1">'CSHFLO w ePUP'!A6</f>
        <v>Year</v>
      </c>
      <c r="C6" s="322">
        <f ca="1">'CSHFLO w ePUP'!C6</f>
        <v>1</v>
      </c>
      <c r="D6" s="322">
        <f ca="1">'CSHFLO w ePUP'!D6</f>
        <v>2</v>
      </c>
      <c r="E6" s="322">
        <f ca="1">'CSHFLO w ePUP'!E6</f>
        <v>3</v>
      </c>
      <c r="F6" s="322">
        <f ca="1">'CSHFLO w ePUP'!F6</f>
        <v>4</v>
      </c>
      <c r="G6" s="322">
        <f ca="1">'CSHFLO w ePUP'!G6</f>
        <v>5</v>
      </c>
      <c r="H6" s="322">
        <f ca="1">'CSHFLO w ePUP'!H6</f>
        <v>6</v>
      </c>
      <c r="I6" s="322">
        <f ca="1">'CSHFLO w ePUP'!I6</f>
        <v>7</v>
      </c>
      <c r="J6" s="322">
        <f ca="1">'CSHFLO w ePUP'!J6</f>
        <v>8</v>
      </c>
      <c r="K6" s="322">
        <f ca="1">'CSHFLO w ePUP'!K6</f>
        <v>9</v>
      </c>
      <c r="L6" s="322">
        <f ca="1">'CSHFLO w ePUP'!L6</f>
        <v>10</v>
      </c>
      <c r="M6" s="322">
        <f ca="1">'CSHFLO w ePUP'!M6</f>
        <v>11</v>
      </c>
      <c r="N6" s="322">
        <f ca="1">'CSHFLO w ePUP'!N6</f>
        <v>12</v>
      </c>
      <c r="O6" s="322">
        <f ca="1">'CSHFLO w ePUP'!O6</f>
        <v>13</v>
      </c>
      <c r="P6" s="322">
        <f ca="1">'CSHFLO w ePUP'!P6</f>
        <v>14</v>
      </c>
      <c r="Q6" s="322">
        <f ca="1">'CSHFLO w ePUP'!Q6</f>
        <v>15</v>
      </c>
      <c r="R6" s="322">
        <f ca="1">'CSHFLO w ePUP'!R6</f>
        <v>16</v>
      </c>
      <c r="S6" s="322">
        <f ca="1">'CSHFLO w ePUP'!S6</f>
        <v>17</v>
      </c>
      <c r="T6" s="322">
        <f ca="1">'CSHFLO w ePUP'!T6</f>
        <v>18</v>
      </c>
      <c r="U6" s="322">
        <f ca="1">'CSHFLO w ePUP'!U6</f>
        <v>19</v>
      </c>
      <c r="V6" s="322">
        <f ca="1">'CSHFLO w ePUP'!V6</f>
        <v>20</v>
      </c>
    </row>
    <row r="7" spans="1:23">
      <c r="A7" s="317" t="str">
        <f ca="1">'CSHFLO w ePUP'!A7</f>
        <v>Months of Operation</v>
      </c>
      <c r="C7" s="322">
        <f ca="1">'CSHFLO w ePUP'!C7</f>
        <v>7</v>
      </c>
      <c r="D7" s="322">
        <f ca="1">'CSHFLO w ePUP'!D7</f>
        <v>12</v>
      </c>
      <c r="E7" s="322">
        <f ca="1">'CSHFLO w ePUP'!E7</f>
        <v>12</v>
      </c>
      <c r="F7" s="322">
        <f ca="1">'CSHFLO w ePUP'!F7</f>
        <v>12</v>
      </c>
      <c r="G7" s="322">
        <f ca="1">'CSHFLO w ePUP'!G7</f>
        <v>12</v>
      </c>
      <c r="H7" s="322">
        <f ca="1">'CSHFLO w ePUP'!H7</f>
        <v>12</v>
      </c>
      <c r="I7" s="322">
        <f ca="1">'CSHFLO w ePUP'!I7</f>
        <v>12</v>
      </c>
      <c r="J7" s="322">
        <f ca="1">'CSHFLO w ePUP'!J7</f>
        <v>12</v>
      </c>
      <c r="K7" s="322">
        <f ca="1">'CSHFLO w ePUP'!K7</f>
        <v>12</v>
      </c>
      <c r="L7" s="322">
        <f ca="1">'CSHFLO w ePUP'!L7</f>
        <v>12</v>
      </c>
      <c r="M7" s="322">
        <f ca="1">'CSHFLO w ePUP'!M7</f>
        <v>12</v>
      </c>
      <c r="N7" s="322">
        <f ca="1">'CSHFLO w ePUP'!N7</f>
        <v>12</v>
      </c>
      <c r="O7" s="322">
        <f ca="1">'CSHFLO w ePUP'!O7</f>
        <v>12</v>
      </c>
      <c r="P7" s="322">
        <f ca="1">'CSHFLO w ePUP'!P7</f>
        <v>12</v>
      </c>
      <c r="Q7" s="322">
        <f ca="1">'CSHFLO w ePUP'!Q7</f>
        <v>12</v>
      </c>
      <c r="R7" s="322">
        <f ca="1">'CSHFLO w ePUP'!R7</f>
        <v>12</v>
      </c>
      <c r="S7" s="322">
        <f ca="1">'CSHFLO w ePUP'!S7</f>
        <v>12</v>
      </c>
      <c r="T7" s="322">
        <f ca="1">'CSHFLO w ePUP'!T7</f>
        <v>12</v>
      </c>
      <c r="U7" s="322">
        <f ca="1">'CSHFLO w ePUP'!U7</f>
        <v>12</v>
      </c>
      <c r="V7" s="322">
        <f ca="1">'CSHFLO w ePUP'!V7</f>
        <v>12</v>
      </c>
    </row>
    <row r="9" spans="1:23" ht="16.2" thickTop="1">
      <c r="A9" s="324" t="s">
        <v>281</v>
      </c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6"/>
    </row>
    <row r="10" spans="1:23" s="673" customFormat="1">
      <c r="A10" s="673" t="s">
        <v>455</v>
      </c>
      <c r="C10" s="819">
        <f ca="1">C29+C30</f>
        <v>0</v>
      </c>
      <c r="D10" s="819">
        <f t="shared" ref="D10:V10" ca="1" si="0">D29+D30</f>
        <v>11411.982903980121</v>
      </c>
      <c r="E10" s="819">
        <f t="shared" ca="1" si="0"/>
        <v>11484.395233853642</v>
      </c>
      <c r="F10" s="819">
        <f t="shared" ca="1" si="0"/>
        <v>11839.800280486768</v>
      </c>
      <c r="G10" s="819">
        <f t="shared" ca="1" si="0"/>
        <v>12150.181031362641</v>
      </c>
      <c r="H10" s="819">
        <f t="shared" ca="1" si="0"/>
        <v>11886.421031362639</v>
      </c>
      <c r="I10" s="819">
        <f t="shared" ca="1" si="0"/>
        <v>12820.61215063939</v>
      </c>
      <c r="J10" s="819">
        <f t="shared" ca="1" si="0"/>
        <v>12459.852150639403</v>
      </c>
      <c r="K10" s="819">
        <f t="shared" ca="1" si="0"/>
        <v>13486.773835116739</v>
      </c>
      <c r="L10" s="819">
        <f t="shared" ca="1" si="0"/>
        <v>13013.663835116738</v>
      </c>
      <c r="M10" s="819">
        <f t="shared" ca="1" si="0"/>
        <v>14086.126529706424</v>
      </c>
      <c r="N10" s="819">
        <f t="shared" ca="1" si="0"/>
        <v>13487.856529706434</v>
      </c>
      <c r="O10" s="819">
        <f t="shared" ca="1" si="0"/>
        <v>13086.994999999999</v>
      </c>
      <c r="P10" s="819">
        <f t="shared" ca="1" si="0"/>
        <v>12472.744999999999</v>
      </c>
      <c r="Q10" s="819">
        <f t="shared" ca="1" si="0"/>
        <v>13053.127241009006</v>
      </c>
      <c r="R10" s="819">
        <f t="shared" ca="1" si="0"/>
        <v>12342.137241009023</v>
      </c>
      <c r="S10" s="819">
        <f t="shared" ca="1" si="0"/>
        <v>11603.605</v>
      </c>
      <c r="T10" s="819">
        <f t="shared" ca="1" si="0"/>
        <v>10894.855</v>
      </c>
      <c r="U10" s="819">
        <f t="shared" ca="1" si="0"/>
        <v>5906.25</v>
      </c>
      <c r="V10" s="819">
        <f t="shared" ca="1" si="0"/>
        <v>5906.25</v>
      </c>
    </row>
    <row r="11" spans="1:23">
      <c r="A11" s="326" t="s">
        <v>456</v>
      </c>
      <c r="B11" s="673"/>
      <c r="C11" s="819">
        <f ca="1">C14-C18-OandM!C13</f>
        <v>6554.1968288322732</v>
      </c>
      <c r="D11" s="819">
        <f ca="1">D14-D18-OandM!D13</f>
        <v>17078.375549732791</v>
      </c>
      <c r="E11" s="819">
        <f ca="1">E14-E18-OandM!E13</f>
        <v>16130.958821662725</v>
      </c>
      <c r="F11" s="819">
        <f ca="1">F14-F18-OandM!F13</f>
        <v>16572.475338536002</v>
      </c>
      <c r="G11" s="819">
        <f ca="1">G14-G18-OandM!G13</f>
        <v>16880.043132768158</v>
      </c>
      <c r="H11" s="819">
        <f ca="1">H14-H18-OandM!H13</f>
        <v>13127.642217994269</v>
      </c>
      <c r="I11" s="819">
        <f ca="1">I14-I18-OandM!I13</f>
        <v>16401.710618944526</v>
      </c>
      <c r="J11" s="819">
        <f ca="1">J14-J18-OandM!J13</f>
        <v>19905.425451599385</v>
      </c>
      <c r="K11" s="819">
        <f ca="1">K14-K18-OandM!K13</f>
        <v>20087.972933624507</v>
      </c>
      <c r="L11" s="819">
        <f ca="1">L14-L18-OandM!L13</f>
        <v>19324.29442074291</v>
      </c>
      <c r="M11" s="819">
        <f ca="1">M14-M18-OandM!M13</f>
        <v>19724.68807837542</v>
      </c>
      <c r="N11" s="819">
        <f ca="1">N14-N18-OandM!N13</f>
        <v>19058.535313421067</v>
      </c>
      <c r="O11" s="819">
        <f ca="1">O14-O18-OandM!O13</f>
        <v>19172.901553513526</v>
      </c>
      <c r="P11" s="819">
        <f ca="1">P14-P18-OandM!P13</f>
        <v>17793.529624418101</v>
      </c>
      <c r="Q11" s="819">
        <f ca="1">Q14-Q18-OandM!Q13</f>
        <v>20243.626738451392</v>
      </c>
      <c r="R11" s="819">
        <f ca="1">R14-R18-OandM!R13</f>
        <v>22657.829864552827</v>
      </c>
      <c r="S11" s="819">
        <f ca="1">S14-S18-OandM!S13</f>
        <v>25093.126878128762</v>
      </c>
      <c r="T11" s="819">
        <f ca="1">T14-T18-OandM!T13</f>
        <v>25492.977926525833</v>
      </c>
      <c r="U11" s="819">
        <f ca="1">U14-U18-OandM!U13</f>
        <v>26570.836405817452</v>
      </c>
      <c r="V11" s="819">
        <f ca="1">V14-V18-OandM!V13</f>
        <v>23150.427616580742</v>
      </c>
      <c r="W11" s="326"/>
    </row>
    <row r="12" spans="1:23">
      <c r="A12" s="326" t="str">
        <f ca="1">'CSHFLO w ePUP'!A12</f>
        <v xml:space="preserve">    Capacity Charges</v>
      </c>
      <c r="C12" s="327">
        <f>'Co IS'!C10</f>
        <v>2670.6019857725</v>
      </c>
      <c r="D12" s="327">
        <f>'Co IS'!D10</f>
        <v>8535.1460549557978</v>
      </c>
      <c r="E12" s="327">
        <f>'Co IS'!E10</f>
        <v>8634.5230131309399</v>
      </c>
      <c r="F12" s="327">
        <f>'Co IS'!F10</f>
        <v>8843.4511175181378</v>
      </c>
      <c r="G12" s="327">
        <f>'Co IS'!G10</f>
        <v>9040.6333562818381</v>
      </c>
      <c r="H12" s="327">
        <f>'Co IS'!H10</f>
        <v>6618.2577418592673</v>
      </c>
      <c r="I12" s="327">
        <f>'Co IS'!I10</f>
        <v>8589.7344052949211</v>
      </c>
      <c r="J12" s="327">
        <f>'Co IS'!J10</f>
        <v>10759.145310641588</v>
      </c>
      <c r="K12" s="327">
        <f>'Co IS'!K10</f>
        <v>11016.859465760257</v>
      </c>
      <c r="L12" s="327">
        <f>'Co IS'!L10</f>
        <v>10402.806145686296</v>
      </c>
      <c r="M12" s="327">
        <f>'Co IS'!M10</f>
        <v>10613.950496424512</v>
      </c>
      <c r="N12" s="327">
        <f>'Co IS'!N10</f>
        <v>10065.807689282616</v>
      </c>
      <c r="O12" s="327">
        <f>'Co IS'!O10</f>
        <v>9828.1842643041964</v>
      </c>
      <c r="P12" s="327">
        <f>'Co IS'!P10</f>
        <v>9002.0239312495087</v>
      </c>
      <c r="Q12" s="327">
        <f>'Co IS'!Q10</f>
        <v>10633.654779665956</v>
      </c>
      <c r="R12" s="327">
        <f>'Co IS'!R10</f>
        <v>12213.685674306913</v>
      </c>
      <c r="S12" s="327">
        <f>'Co IS'!S10</f>
        <v>13797.396491410733</v>
      </c>
      <c r="T12" s="327">
        <f>'Co IS'!T10</f>
        <v>13904.796814559999</v>
      </c>
      <c r="U12" s="327">
        <f>'Co IS'!U10</f>
        <v>14388.47460655525</v>
      </c>
      <c r="V12" s="327">
        <f>'Co IS'!V10</f>
        <v>12153.671265220351</v>
      </c>
      <c r="W12" s="326"/>
    </row>
    <row r="13" spans="1:23">
      <c r="A13" s="326" t="str">
        <f ca="1">'CSHFLO w ePUP'!A13</f>
        <v xml:space="preserve">    Option Revenue</v>
      </c>
      <c r="C13" s="327">
        <f>'Co IS'!C11</f>
        <v>3028.465486322194</v>
      </c>
      <c r="D13" s="327">
        <f>'Co IS'!D11</f>
        <v>7912.7499637431865</v>
      </c>
      <c r="E13" s="327">
        <f>'Co IS'!E11</f>
        <v>7655.4394924636754</v>
      </c>
      <c r="F13" s="327">
        <f>'Co IS'!F11</f>
        <v>8061.4198831599469</v>
      </c>
      <c r="G13" s="327">
        <f>'Co IS'!G11</f>
        <v>8083.526717476715</v>
      </c>
      <c r="H13" s="327">
        <f>'Co IS'!H11</f>
        <v>5828.1366763630331</v>
      </c>
      <c r="I13" s="327">
        <f>'Co IS'!I11</f>
        <v>7637.9174252096363</v>
      </c>
      <c r="J13" s="327">
        <f>'Co IS'!J11</f>
        <v>9845.3570906857767</v>
      </c>
      <c r="K13" s="327">
        <f>'Co IS'!K11</f>
        <v>9955.0231008411083</v>
      </c>
      <c r="L13" s="327">
        <f>'Co IS'!L11</f>
        <v>9220.6198012628774</v>
      </c>
      <c r="M13" s="327">
        <f>'Co IS'!M11</f>
        <v>9354.9875191446135</v>
      </c>
      <c r="N13" s="327">
        <f>'Co IS'!N11</f>
        <v>8831.3797809957505</v>
      </c>
      <c r="O13" s="327">
        <f>'Co IS'!O11</f>
        <v>8892.4466391200676</v>
      </c>
      <c r="P13" s="327">
        <f>'Co IS'!P11</f>
        <v>8043.9230909434364</v>
      </c>
      <c r="Q13" s="327">
        <f>'Co IS'!Q11</f>
        <v>9481.7601106008115</v>
      </c>
      <c r="R13" s="327">
        <f>'Co IS'!R11</f>
        <v>11224.822459980584</v>
      </c>
      <c r="S13" s="327">
        <f>'Co IS'!S11</f>
        <v>12855.472668114626</v>
      </c>
      <c r="T13" s="327">
        <f>'Co IS'!T11</f>
        <v>13011.623076007696</v>
      </c>
      <c r="U13" s="327">
        <f>'Co IS'!U11</f>
        <v>13549.976479515202</v>
      </c>
      <c r="V13" s="327">
        <f>'Co IS'!V11</f>
        <v>11043.297311110464</v>
      </c>
      <c r="W13" s="326"/>
    </row>
    <row r="14" spans="1:23">
      <c r="A14" s="326" t="str">
        <f ca="1">'CSHFLO w ePUP'!A14</f>
        <v xml:space="preserve">    Spot Revenue</v>
      </c>
      <c r="C14" s="328">
        <f>'Co IS'!C12</f>
        <v>9096.9885575593562</v>
      </c>
      <c r="D14" s="328">
        <f>'Co IS'!D12</f>
        <v>24969.329618222044</v>
      </c>
      <c r="E14" s="328">
        <f>'Co IS'!E12</f>
        <v>24953.239630039927</v>
      </c>
      <c r="F14" s="328">
        <f>'Co IS'!F12</f>
        <v>25916.861991501624</v>
      </c>
      <c r="G14" s="328">
        <f>'Co IS'!G12</f>
        <v>26004.163136320436</v>
      </c>
      <c r="H14" s="328">
        <f>'Co IS'!H12</f>
        <v>22029.730420557811</v>
      </c>
      <c r="I14" s="328">
        <f>'Co IS'!I12</f>
        <v>25832.444698313033</v>
      </c>
      <c r="J14" s="328">
        <f>'Co IS'!J12</f>
        <v>29838.48549015119</v>
      </c>
      <c r="K14" s="328">
        <f>'Co IS'!K12</f>
        <v>30212.118526126778</v>
      </c>
      <c r="L14" s="328">
        <f>'Co IS'!L12</f>
        <v>29552.425024262608</v>
      </c>
      <c r="M14" s="328">
        <f>'Co IS'!M12</f>
        <v>30145.191414116238</v>
      </c>
      <c r="N14" s="328">
        <f>'Co IS'!N12</f>
        <v>29608.482059286162</v>
      </c>
      <c r="O14" s="328">
        <f>'Co IS'!O12</f>
        <v>30318.421751258113</v>
      </c>
      <c r="P14" s="328">
        <f>'Co IS'!P12</f>
        <v>29037.647071435193</v>
      </c>
      <c r="Q14" s="328">
        <f>'Co IS'!Q12</f>
        <v>31932.069320129191</v>
      </c>
      <c r="R14" s="328">
        <f>'Co IS'!R12</f>
        <v>34619.491899677727</v>
      </c>
      <c r="S14" s="328">
        <f>'Co IS'!S12</f>
        <v>37491.533048382487</v>
      </c>
      <c r="T14" s="328">
        <f>'Co IS'!T12</f>
        <v>38148.972588033845</v>
      </c>
      <c r="U14" s="328">
        <f>'Co IS'!U12</f>
        <v>39594.909535552164</v>
      </c>
      <c r="V14" s="328">
        <f>'Co IS'!V12</f>
        <v>36082.035749385941</v>
      </c>
      <c r="W14" s="326"/>
    </row>
    <row r="15" spans="1:23">
      <c r="A15" s="326" t="str">
        <f ca="1">'CSHFLO w ePUP'!A15</f>
        <v>Total Project Revenues</v>
      </c>
      <c r="C15" s="327">
        <f ca="1">SUM(C10:C14)</f>
        <v>21350.252858486325</v>
      </c>
      <c r="D15" s="327">
        <f t="shared" ref="D15:V15" ca="1" si="1">SUM(D10:D14)</f>
        <v>69907.584090633929</v>
      </c>
      <c r="E15" s="327">
        <f t="shared" ca="1" si="1"/>
        <v>68858.556191150914</v>
      </c>
      <c r="F15" s="327">
        <f t="shared" ca="1" si="1"/>
        <v>71234.008611202473</v>
      </c>
      <c r="G15" s="327">
        <f t="shared" ca="1" si="1"/>
        <v>72158.547374209797</v>
      </c>
      <c r="H15" s="327">
        <f t="shared" ca="1" si="1"/>
        <v>59490.188088137016</v>
      </c>
      <c r="I15" s="327">
        <f t="shared" ca="1" si="1"/>
        <v>71282.41929840151</v>
      </c>
      <c r="J15" s="327">
        <f t="shared" ca="1" si="1"/>
        <v>82808.26549371735</v>
      </c>
      <c r="K15" s="327">
        <f t="shared" ca="1" si="1"/>
        <v>84758.747861469383</v>
      </c>
      <c r="L15" s="327">
        <f t="shared" ca="1" si="1"/>
        <v>81513.809227071441</v>
      </c>
      <c r="M15" s="327">
        <f t="shared" ca="1" si="1"/>
        <v>83924.9440377672</v>
      </c>
      <c r="N15" s="327">
        <f t="shared" ca="1" si="1"/>
        <v>81052.061372692027</v>
      </c>
      <c r="O15" s="327">
        <f t="shared" ca="1" si="1"/>
        <v>81298.949208195903</v>
      </c>
      <c r="P15" s="327">
        <f t="shared" ca="1" si="1"/>
        <v>76349.868718046229</v>
      </c>
      <c r="Q15" s="327">
        <f t="shared" ca="1" si="1"/>
        <v>85344.238189856347</v>
      </c>
      <c r="R15" s="327">
        <f t="shared" ca="1" si="1"/>
        <v>93057.967139527085</v>
      </c>
      <c r="S15" s="327">
        <f t="shared" ca="1" si="1"/>
        <v>100841.13408603662</v>
      </c>
      <c r="T15" s="327">
        <f t="shared" ca="1" si="1"/>
        <v>101453.22540512738</v>
      </c>
      <c r="U15" s="327">
        <f t="shared" ca="1" si="1"/>
        <v>100010.44702744007</v>
      </c>
      <c r="V15" s="327">
        <f t="shared" ca="1" si="1"/>
        <v>88335.681942297495</v>
      </c>
      <c r="W15" s="326"/>
    </row>
    <row r="16" spans="1:23">
      <c r="A16" s="329"/>
      <c r="C16" s="330"/>
      <c r="D16" s="330"/>
      <c r="E16" s="330"/>
      <c r="F16" s="330"/>
      <c r="G16" s="330"/>
      <c r="H16" s="330"/>
      <c r="I16" s="330"/>
      <c r="J16" s="330"/>
      <c r="K16" s="330"/>
      <c r="L16" s="330"/>
      <c r="M16" s="330"/>
      <c r="N16" s="330"/>
      <c r="O16" s="330"/>
      <c r="P16" s="330"/>
      <c r="Q16" s="330"/>
      <c r="R16" s="330"/>
      <c r="S16" s="330"/>
      <c r="T16" s="330"/>
      <c r="U16" s="330"/>
      <c r="V16" s="330"/>
      <c r="W16" s="326"/>
    </row>
    <row r="17" spans="1:23">
      <c r="A17" s="331" t="s">
        <v>286</v>
      </c>
      <c r="D17" s="332"/>
      <c r="E17" s="332"/>
      <c r="F17" s="332"/>
      <c r="G17" s="332"/>
      <c r="H17" s="332"/>
      <c r="I17" s="332"/>
      <c r="J17" s="332"/>
      <c r="W17" s="326"/>
    </row>
    <row r="18" spans="1:23">
      <c r="A18" s="331" t="s">
        <v>287</v>
      </c>
      <c r="C18" s="327">
        <f ca="1">'Co IS'!C16</f>
        <v>2422.5367338246688</v>
      </c>
      <c r="D18" s="327">
        <f ca="1">'Co IS'!D16</f>
        <v>7479.5135160014624</v>
      </c>
      <c r="E18" s="327">
        <f ca="1">'Co IS'!E16</f>
        <v>8363.3032782439604</v>
      </c>
      <c r="F18" s="327">
        <f ca="1">'Co IS'!F16</f>
        <v>8858.1597919343876</v>
      </c>
      <c r="G18" s="327">
        <f ca="1">'Co IS'!G16</f>
        <v>8649.2037442468663</v>
      </c>
      <c r="H18" s="327">
        <f ca="1">'Co IS'!H16</f>
        <v>8438.6746983976063</v>
      </c>
      <c r="I18" s="327">
        <f ca="1">'Co IS'!I16</f>
        <v>8939.7586871747171</v>
      </c>
      <c r="J18" s="327">
        <f ca="1">'Co IS'!J16</f>
        <v>9415.9209751249382</v>
      </c>
      <c r="K18" s="327">
        <f ca="1">'Co IS'!K16</f>
        <v>9597.1475971032123</v>
      </c>
      <c r="L18" s="327">
        <f ca="1">'Co IS'!L16</f>
        <v>9695.6894349314152</v>
      </c>
      <c r="M18" s="327">
        <f ca="1">'Co IS'!M16</f>
        <v>9878.0146321325083</v>
      </c>
      <c r="N18" s="327">
        <f ca="1">'Co IS'!N16</f>
        <v>10000.673485074472</v>
      </c>
      <c r="O18" s="327">
        <f ca="1">'Co IS'!O16</f>
        <v>10565.153439807755</v>
      </c>
      <c r="P18" s="327">
        <f ca="1">'Co IS'!P16</f>
        <v>10658.67603260217</v>
      </c>
      <c r="Q18" s="327">
        <f ca="1">'Co IS'!Q16</f>
        <v>11079.901920796188</v>
      </c>
      <c r="R18" s="327">
        <f ca="1">'Co IS'!R16</f>
        <v>11354.189170162097</v>
      </c>
      <c r="S18" s="327">
        <f ca="1">'Co IS'!S16</f>
        <v>11768.693325210694</v>
      </c>
      <c r="T18" s="327">
        <f ca="1">'Co IS'!T16</f>
        <v>12013.159254115955</v>
      </c>
      <c r="U18" s="327">
        <f ca="1">'Co IS'!U16</f>
        <v>12362.516756547986</v>
      </c>
      <c r="V18" s="327">
        <f ca="1">'Co IS'!V16</f>
        <v>12274.783414374866</v>
      </c>
      <c r="W18" s="326"/>
    </row>
    <row r="19" spans="1:23">
      <c r="A19" s="331" t="s">
        <v>304</v>
      </c>
      <c r="C19" s="327">
        <f ca="1">'Co IS'!C17</f>
        <v>2061.1030478623411</v>
      </c>
      <c r="D19" s="327">
        <f ca="1">'Co IS'!D17</f>
        <v>4979.7354441333791</v>
      </c>
      <c r="E19" s="327">
        <f ca="1">'Co IS'!E17</f>
        <v>5135.5445725448271</v>
      </c>
      <c r="F19" s="327">
        <f ca="1">'Co IS'!F17</f>
        <v>5273.9894022795052</v>
      </c>
      <c r="G19" s="327">
        <f ca="1">'Co IS'!G17</f>
        <v>5376.8765778589532</v>
      </c>
      <c r="H19" s="327">
        <f ca="1">'Co IS'!H17</f>
        <v>5482.6549400119911</v>
      </c>
      <c r="I19" s="327">
        <f ca="1">'Co IS'!I17</f>
        <v>5630.6645354992579</v>
      </c>
      <c r="J19" s="327">
        <f ca="1">'Co IS'!J17</f>
        <v>5780.5280022931474</v>
      </c>
      <c r="K19" s="327">
        <f ca="1">'Co IS'!K17</f>
        <v>5917.4266243063003</v>
      </c>
      <c r="L19" s="327">
        <f ca="1">'Co IS'!L17</f>
        <v>6053.339559167588</v>
      </c>
      <c r="M19" s="327">
        <f ca="1">'Co IS'!M17</f>
        <v>6197.3795394248273</v>
      </c>
      <c r="N19" s="327">
        <f ca="1">'Co IS'!N17</f>
        <v>6341.7743378657533</v>
      </c>
      <c r="O19" s="327">
        <f ca="1">'Co IS'!O17</f>
        <v>6514.1935527845626</v>
      </c>
      <c r="P19" s="327">
        <f ca="1">'Co IS'!P17</f>
        <v>6664.4097214151043</v>
      </c>
      <c r="Q19" s="327">
        <f ca="1">'Co IS'!Q17</f>
        <v>6836.5693008623712</v>
      </c>
      <c r="R19" s="327">
        <f ca="1">'Co IS'!R17</f>
        <v>6988.5864669146094</v>
      </c>
      <c r="S19" s="327">
        <f ca="1">'Co IS'!S17</f>
        <v>7168.0447029391062</v>
      </c>
      <c r="T19" s="327">
        <f ca="1">'Co IS'!T17</f>
        <v>7342.6304141428946</v>
      </c>
      <c r="U19" s="327">
        <f ca="1">'Co IS'!U17</f>
        <v>7527.1740338114059</v>
      </c>
      <c r="V19" s="327">
        <f ca="1">'Co IS'!V17</f>
        <v>7692.7422445834436</v>
      </c>
      <c r="W19" s="326"/>
    </row>
    <row r="20" spans="1:23">
      <c r="A20" s="331" t="s">
        <v>457</v>
      </c>
      <c r="C20" s="327">
        <f ca="1">C11</f>
        <v>6554.1968288322732</v>
      </c>
      <c r="D20" s="327">
        <f t="shared" ref="D20:V20" ca="1" si="2">D11</f>
        <v>17078.375549732791</v>
      </c>
      <c r="E20" s="327">
        <f t="shared" ca="1" si="2"/>
        <v>16130.958821662725</v>
      </c>
      <c r="F20" s="327">
        <f t="shared" ca="1" si="2"/>
        <v>16572.475338536002</v>
      </c>
      <c r="G20" s="327">
        <f t="shared" ca="1" si="2"/>
        <v>16880.043132768158</v>
      </c>
      <c r="H20" s="327">
        <f t="shared" ca="1" si="2"/>
        <v>13127.642217994269</v>
      </c>
      <c r="I20" s="327">
        <f t="shared" ca="1" si="2"/>
        <v>16401.710618944526</v>
      </c>
      <c r="J20" s="327">
        <f t="shared" ca="1" si="2"/>
        <v>19905.425451599385</v>
      </c>
      <c r="K20" s="327">
        <f t="shared" ca="1" si="2"/>
        <v>20087.972933624507</v>
      </c>
      <c r="L20" s="327">
        <f t="shared" ca="1" si="2"/>
        <v>19324.29442074291</v>
      </c>
      <c r="M20" s="327">
        <f t="shared" ca="1" si="2"/>
        <v>19724.68807837542</v>
      </c>
      <c r="N20" s="327">
        <f t="shared" ca="1" si="2"/>
        <v>19058.535313421067</v>
      </c>
      <c r="O20" s="327">
        <f t="shared" ca="1" si="2"/>
        <v>19172.901553513526</v>
      </c>
      <c r="P20" s="327">
        <f t="shared" ca="1" si="2"/>
        <v>17793.529624418101</v>
      </c>
      <c r="Q20" s="327">
        <f t="shared" ca="1" si="2"/>
        <v>20243.626738451392</v>
      </c>
      <c r="R20" s="327">
        <f t="shared" ca="1" si="2"/>
        <v>22657.829864552827</v>
      </c>
      <c r="S20" s="327">
        <f t="shared" ca="1" si="2"/>
        <v>25093.126878128762</v>
      </c>
      <c r="T20" s="327">
        <f t="shared" ca="1" si="2"/>
        <v>25492.977926525833</v>
      </c>
      <c r="U20" s="327">
        <f t="shared" ca="1" si="2"/>
        <v>26570.836405817452</v>
      </c>
      <c r="V20" s="327">
        <f t="shared" ca="1" si="2"/>
        <v>23150.427616580742</v>
      </c>
      <c r="W20" s="326"/>
    </row>
    <row r="21" spans="1:23">
      <c r="A21" s="331" t="str">
        <f ca="1">'CSHFLO w ePUP'!A21</f>
        <v xml:space="preserve">   Other O&amp;M</v>
      </c>
      <c r="C21" s="327">
        <f ca="1">'Co IS'!C18</f>
        <v>180.5138361779243</v>
      </c>
      <c r="D21" s="327">
        <f ca="1">'Co IS'!D18</f>
        <v>1019.4494150267261</v>
      </c>
      <c r="E21" s="327">
        <f ca="1">'Co IS'!E18</f>
        <v>1022.6769264690072</v>
      </c>
      <c r="F21" s="327">
        <f ca="1">'Co IS'!F18</f>
        <v>789.19843846399613</v>
      </c>
      <c r="G21" s="327">
        <f ca="1">'Co IS'!G18</f>
        <v>795.54341548832792</v>
      </c>
      <c r="H21" s="327">
        <f ca="1">'Co IS'!H18</f>
        <v>748.25730774182796</v>
      </c>
      <c r="I21" s="327">
        <f ca="1">'Co IS'!I18</f>
        <v>798.51315159034107</v>
      </c>
      <c r="J21" s="327">
        <f ca="1">'Co IS'!J18</f>
        <v>853.69081784471882</v>
      </c>
      <c r="K21" s="327">
        <f ca="1">'Co IS'!K18</f>
        <v>863.14898371874551</v>
      </c>
      <c r="L21" s="327">
        <f ca="1">'Co IS'!L18</f>
        <v>856.2474959961728</v>
      </c>
      <c r="M21" s="327">
        <f ca="1">'Co IS'!M18</f>
        <v>867.16355990471584</v>
      </c>
      <c r="N21" s="327">
        <f ca="1">'Co IS'!N18</f>
        <v>862.94192627695031</v>
      </c>
      <c r="O21" s="327">
        <f ca="1">'Co IS'!O18</f>
        <v>871.7179371964869</v>
      </c>
      <c r="P21" s="327">
        <f ca="1">'Co IS'!P18</f>
        <v>859.71144222754924</v>
      </c>
      <c r="Q21" s="327">
        <f ca="1">'Co IS'!Q18</f>
        <v>901.37564824827359</v>
      </c>
      <c r="R21" s="327">
        <f ca="1">'Co IS'!R18</f>
        <v>943.47839187344971</v>
      </c>
      <c r="S21" s="327">
        <f ca="1">'Co IS'!S18</f>
        <v>986.19952411532734</v>
      </c>
      <c r="T21" s="327">
        <f ca="1">'Co IS'!T18</f>
        <v>998.0956583560635</v>
      </c>
      <c r="U21" s="327">
        <f ca="1">'Co IS'!U18</f>
        <v>1019.4456550314117</v>
      </c>
      <c r="V21" s="327">
        <f ca="1">'Co IS'!V18</f>
        <v>976.63834414426287</v>
      </c>
      <c r="W21" s="326"/>
    </row>
    <row r="22" spans="1:23">
      <c r="A22" s="331" t="s">
        <v>305</v>
      </c>
      <c r="C22" s="327">
        <f>OandM!C65</f>
        <v>0</v>
      </c>
      <c r="D22" s="327">
        <f ca="1">OandM!D65</f>
        <v>0</v>
      </c>
      <c r="E22" s="327">
        <f ca="1">OandM!E65</f>
        <v>121.9483600178628</v>
      </c>
      <c r="F22" s="327">
        <f ca="1">OandM!F65</f>
        <v>53.162309015630854</v>
      </c>
      <c r="G22" s="327">
        <f ca="1">OandM!G65</f>
        <v>-16.772231534086586</v>
      </c>
      <c r="H22" s="327">
        <f ca="1">OandM!H65</f>
        <v>-21.133578182123301</v>
      </c>
      <c r="I22" s="327">
        <f ca="1">OandM!I65</f>
        <v>78.019829363568761</v>
      </c>
      <c r="J22" s="327">
        <f ca="1">OandM!J65</f>
        <v>75.50591909434047</v>
      </c>
      <c r="K22" s="327">
        <f ca="1">OandM!K65</f>
        <v>34.348806641033889</v>
      </c>
      <c r="L22" s="327">
        <f ca="1">OandM!L65</f>
        <v>22.737100934786213</v>
      </c>
      <c r="M22" s="327">
        <f ca="1">OandM!M65</f>
        <v>35.190459134901175</v>
      </c>
      <c r="N22" s="327">
        <f ca="1">OandM!N65</f>
        <v>26.625169956970012</v>
      </c>
      <c r="O22" s="327">
        <f ca="1">OandM!O65</f>
        <v>84.428349727989144</v>
      </c>
      <c r="P22" s="327">
        <f ca="1">OandM!P65</f>
        <v>22.874214608067632</v>
      </c>
      <c r="Q22" s="327">
        <f ca="1">OandM!Q65</f>
        <v>69.458941910391786</v>
      </c>
      <c r="R22" s="327">
        <f ca="1">OandM!R65</f>
        <v>49.737230696203369</v>
      </c>
      <c r="S22" s="327">
        <f ca="1">OandM!S65</f>
        <v>69.317092471398155</v>
      </c>
      <c r="T22" s="327">
        <f ca="1">OandM!T65</f>
        <v>45.435789634695084</v>
      </c>
      <c r="U22" s="327">
        <f ca="1">OandM!U65</f>
        <v>59.95317207325752</v>
      </c>
      <c r="V22" s="327">
        <f ca="1">OandM!V65</f>
        <v>-2225.083763750702</v>
      </c>
      <c r="W22" s="326"/>
    </row>
    <row r="23" spans="1:23">
      <c r="A23" s="331" t="s">
        <v>306</v>
      </c>
      <c r="C23" s="328">
        <f ca="1">IF(C6='ASSUM 1'!$D$36,-OandM!C45,0)</f>
        <v>0</v>
      </c>
      <c r="D23" s="328">
        <f ca="1">IF(D6='ASSUM 1'!$D$36,-OandM!D45,0)</f>
        <v>0</v>
      </c>
      <c r="E23" s="328">
        <f ca="1">IF(E6='ASSUM 1'!$D$36,-OandM!E45,0)</f>
        <v>0</v>
      </c>
      <c r="F23" s="328">
        <f ca="1">IF(F6='ASSUM 1'!$D$36,-OandM!F45,0)</f>
        <v>0</v>
      </c>
      <c r="G23" s="328">
        <f ca="1">IF(G6='ASSUM 1'!$D$36,-OandM!G45,0)</f>
        <v>0</v>
      </c>
      <c r="H23" s="328">
        <f ca="1">IF(H6='ASSUM 1'!$D$36,-OandM!H45,0)</f>
        <v>0</v>
      </c>
      <c r="I23" s="328">
        <f ca="1">IF(I6='ASSUM 1'!$D$36,-OandM!I45,0)</f>
        <v>0</v>
      </c>
      <c r="J23" s="328">
        <f ca="1">IF(J6='ASSUM 1'!$D$36,-OandM!J45,0)</f>
        <v>0</v>
      </c>
      <c r="K23" s="328">
        <f ca="1">IF(K6='ASSUM 1'!$D$36,-OandM!K45,0)</f>
        <v>0</v>
      </c>
      <c r="L23" s="328">
        <f ca="1">IF(L6='ASSUM 1'!$D$36,-OandM!L45,0)</f>
        <v>0</v>
      </c>
      <c r="M23" s="328">
        <f ca="1">IF(M6='ASSUM 1'!$D$36,-OandM!M45,0)</f>
        <v>0</v>
      </c>
      <c r="N23" s="328">
        <f ca="1">IF(N6='ASSUM 1'!$D$36,-OandM!N45,0)</f>
        <v>0</v>
      </c>
      <c r="O23" s="328">
        <f ca="1">IF(O6='ASSUM 1'!$D$36,-OandM!O45,0)</f>
        <v>0</v>
      </c>
      <c r="P23" s="328">
        <f ca="1">IF(P6='ASSUM 1'!$D$36,-OandM!P45,0)</f>
        <v>0</v>
      </c>
      <c r="Q23" s="328">
        <f ca="1">IF(Q6='ASSUM 1'!$D$36,-OandM!Q45,0)</f>
        <v>0</v>
      </c>
      <c r="R23" s="328">
        <f ca="1">IF(R6='ASSUM 1'!$D$36,-OandM!R45,0)</f>
        <v>0</v>
      </c>
      <c r="S23" s="328">
        <f ca="1">IF(S6='ASSUM 1'!$D$36,-OandM!S45,0)</f>
        <v>0</v>
      </c>
      <c r="T23" s="328">
        <f ca="1">IF(T6='ASSUM 1'!$D$36,-OandM!T45,0)</f>
        <v>0</v>
      </c>
      <c r="U23" s="328">
        <f ca="1">IF(U6='ASSUM 1'!$D$36,-OandM!U45,0)</f>
        <v>0</v>
      </c>
      <c r="V23" s="328">
        <f ca="1">IF(V6='ASSUM 1'!$D$36,-OandM!V45,0)</f>
        <v>-15127.460521767012</v>
      </c>
      <c r="W23" s="326"/>
    </row>
    <row r="24" spans="1:23">
      <c r="A24" s="331" t="str">
        <f>'CSHFLO w ePUP'!A22</f>
        <v xml:space="preserve">   Working Capital Changes</v>
      </c>
      <c r="C24" s="327">
        <f t="shared" ref="C24:V24" ca="1" si="3">SUM(C18:C23)</f>
        <v>11218.350446697208</v>
      </c>
      <c r="D24" s="327">
        <f t="shared" ca="1" si="3"/>
        <v>30557.073924894361</v>
      </c>
      <c r="E24" s="327">
        <f t="shared" ca="1" si="3"/>
        <v>30774.431958938389</v>
      </c>
      <c r="F24" s="327">
        <f t="shared" ca="1" si="3"/>
        <v>31546.985280229521</v>
      </c>
      <c r="G24" s="327">
        <f t="shared" ca="1" si="3"/>
        <v>31684.89463882822</v>
      </c>
      <c r="H24" s="327">
        <f t="shared" ca="1" si="3"/>
        <v>27776.095585963572</v>
      </c>
      <c r="I24" s="327">
        <f t="shared" ca="1" si="3"/>
        <v>31848.666822572413</v>
      </c>
      <c r="J24" s="327">
        <f t="shared" ca="1" si="3"/>
        <v>36031.071165956535</v>
      </c>
      <c r="K24" s="327">
        <f t="shared" ca="1" si="3"/>
        <v>36500.044945393798</v>
      </c>
      <c r="L24" s="327">
        <f t="shared" ca="1" si="3"/>
        <v>35952.308011772868</v>
      </c>
      <c r="M24" s="327">
        <f t="shared" ca="1" si="3"/>
        <v>36702.436268972371</v>
      </c>
      <c r="N24" s="327">
        <f t="shared" ca="1" si="3"/>
        <v>36290.550232595211</v>
      </c>
      <c r="O24" s="327">
        <f t="shared" ca="1" si="3"/>
        <v>37208.394833030317</v>
      </c>
      <c r="P24" s="327">
        <f t="shared" ca="1" si="3"/>
        <v>35999.201035270991</v>
      </c>
      <c r="Q24" s="327">
        <f t="shared" ca="1" si="3"/>
        <v>39130.932550268619</v>
      </c>
      <c r="R24" s="327">
        <f t="shared" ca="1" si="3"/>
        <v>41993.821124199181</v>
      </c>
      <c r="S24" s="327">
        <f t="shared" ca="1" si="3"/>
        <v>45085.381522865289</v>
      </c>
      <c r="T24" s="327">
        <f t="shared" ca="1" si="3"/>
        <v>45892.299042775441</v>
      </c>
      <c r="U24" s="327">
        <f t="shared" ca="1" si="3"/>
        <v>47539.926023281514</v>
      </c>
      <c r="V24" s="327">
        <f t="shared" ca="1" si="3"/>
        <v>26742.047334165603</v>
      </c>
      <c r="W24" s="326"/>
    </row>
    <row r="25" spans="1:23">
      <c r="A25" s="331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6"/>
    </row>
    <row r="26" spans="1:23">
      <c r="A26" s="331" t="s">
        <v>307</v>
      </c>
      <c r="C26" s="327">
        <f t="shared" ref="C26:V26" ca="1" si="4">C15-C24</f>
        <v>10131.902411789117</v>
      </c>
      <c r="D26" s="327">
        <f t="shared" ca="1" si="4"/>
        <v>39350.510165739572</v>
      </c>
      <c r="E26" s="327">
        <f t="shared" ca="1" si="4"/>
        <v>38084.124232212525</v>
      </c>
      <c r="F26" s="327">
        <f t="shared" ca="1" si="4"/>
        <v>39687.023330972952</v>
      </c>
      <c r="G26" s="327">
        <f t="shared" ca="1" si="4"/>
        <v>40473.652735381576</v>
      </c>
      <c r="H26" s="327">
        <f t="shared" ca="1" si="4"/>
        <v>31714.092502173444</v>
      </c>
      <c r="I26" s="327">
        <f t="shared" ca="1" si="4"/>
        <v>39433.752475829097</v>
      </c>
      <c r="J26" s="327">
        <f t="shared" ca="1" si="4"/>
        <v>46777.194327760815</v>
      </c>
      <c r="K26" s="327">
        <f t="shared" ca="1" si="4"/>
        <v>48258.702916075585</v>
      </c>
      <c r="L26" s="327">
        <f t="shared" ca="1" si="4"/>
        <v>45561.501215298573</v>
      </c>
      <c r="M26" s="327">
        <f t="shared" ca="1" si="4"/>
        <v>47222.507768794829</v>
      </c>
      <c r="N26" s="327">
        <f t="shared" ca="1" si="4"/>
        <v>44761.511140096816</v>
      </c>
      <c r="O26" s="327">
        <f t="shared" ca="1" si="4"/>
        <v>44090.554375165586</v>
      </c>
      <c r="P26" s="327">
        <f t="shared" ca="1" si="4"/>
        <v>40350.667682775238</v>
      </c>
      <c r="Q26" s="327">
        <f t="shared" ca="1" si="4"/>
        <v>46213.305639587728</v>
      </c>
      <c r="R26" s="327">
        <f t="shared" ca="1" si="4"/>
        <v>51064.146015327904</v>
      </c>
      <c r="S26" s="327">
        <f t="shared" ca="1" si="4"/>
        <v>55755.752563171329</v>
      </c>
      <c r="T26" s="327">
        <f t="shared" ca="1" si="4"/>
        <v>55560.926362351936</v>
      </c>
      <c r="U26" s="327">
        <f t="shared" ca="1" si="4"/>
        <v>52470.521004158552</v>
      </c>
      <c r="V26" s="327">
        <f t="shared" ca="1" si="4"/>
        <v>61593.634608131892</v>
      </c>
      <c r="W26" s="326"/>
    </row>
    <row r="27" spans="1:23">
      <c r="A27" s="326"/>
      <c r="W27" s="326"/>
    </row>
    <row r="28" spans="1:23">
      <c r="A28" s="326" t="s">
        <v>308</v>
      </c>
      <c r="V28" s="327"/>
      <c r="W28" s="326"/>
    </row>
    <row r="29" spans="1:23">
      <c r="A29" s="326" t="s">
        <v>309</v>
      </c>
      <c r="C29" s="327">
        <f ca="1">'IS-ENA'!C24</f>
        <v>0</v>
      </c>
      <c r="D29" s="327">
        <f ca="1">'IS-ENA'!D24</f>
        <v>9426.17</v>
      </c>
      <c r="E29" s="327">
        <f ca="1">'IS-ENA'!E24</f>
        <v>9264.5</v>
      </c>
      <c r="F29" s="327">
        <f ca="1">'IS-ENA'!F24</f>
        <v>9080.43</v>
      </c>
      <c r="G29" s="327">
        <f ca="1">'IS-ENA'!G24</f>
        <v>8853.23</v>
      </c>
      <c r="H29" s="327">
        <f ca="1">'IS-ENA'!H24</f>
        <v>8589.4699999999993</v>
      </c>
      <c r="I29" s="327">
        <f ca="1">'IS-ENA'!I24</f>
        <v>8311.17</v>
      </c>
      <c r="J29" s="327">
        <f ca="1">'IS-ENA'!J24</f>
        <v>7950.41</v>
      </c>
      <c r="K29" s="327">
        <f ca="1">'IS-ENA'!K24</f>
        <v>7572.8</v>
      </c>
      <c r="L29" s="327">
        <f ca="1">'IS-ENA'!L24</f>
        <v>7099.69</v>
      </c>
      <c r="M29" s="327">
        <f ca="1">'IS-ENA'!M24</f>
        <v>6607.8</v>
      </c>
      <c r="N29" s="327">
        <f ca="1">'IS-ENA'!N24</f>
        <v>6009.53</v>
      </c>
      <c r="O29" s="327">
        <f ca="1">'IS-ENA'!O24</f>
        <v>5408.87</v>
      </c>
      <c r="P29" s="327">
        <f ca="1">'IS-ENA'!P24</f>
        <v>4794.62</v>
      </c>
      <c r="Q29" s="327">
        <f ca="1">'IS-ENA'!Q24</f>
        <v>4165.8599999999997</v>
      </c>
      <c r="R29" s="327">
        <f ca="1">'IS-ENA'!R24</f>
        <v>3454.87</v>
      </c>
      <c r="S29" s="327">
        <f ca="1">'IS-ENA'!S24</f>
        <v>2744.23</v>
      </c>
      <c r="T29" s="327">
        <f ca="1">'IS-ENA'!T24</f>
        <v>2035.48</v>
      </c>
      <c r="U29" s="327">
        <f>'IS-ENA'!U24</f>
        <v>0</v>
      </c>
      <c r="V29" s="327">
        <f>'IS-ENA'!V24</f>
        <v>0</v>
      </c>
      <c r="W29" s="326"/>
    </row>
    <row r="30" spans="1:23">
      <c r="A30" s="326" t="s">
        <v>310</v>
      </c>
      <c r="C30" s="327">
        <f ca="1">'ENA Debt'!C35</f>
        <v>0</v>
      </c>
      <c r="D30" s="327">
        <f ca="1">'ENA Debt'!D35</f>
        <v>1985.8129039801206</v>
      </c>
      <c r="E30" s="327">
        <f ca="1">'ENA Debt'!E35</f>
        <v>2219.8952338536419</v>
      </c>
      <c r="F30" s="327">
        <f ca="1">'ENA Debt'!F35</f>
        <v>2759.370280486768</v>
      </c>
      <c r="G30" s="327">
        <f ca="1">'ENA Debt'!G35</f>
        <v>3296.9510313626406</v>
      </c>
      <c r="H30" s="327">
        <f ca="1">'ENA Debt'!H35</f>
        <v>3296.9510313626406</v>
      </c>
      <c r="I30" s="327">
        <f ca="1">'ENA Debt'!I35</f>
        <v>4509.4421506393901</v>
      </c>
      <c r="J30" s="327">
        <f ca="1">'ENA Debt'!J35</f>
        <v>4509.4421506394037</v>
      </c>
      <c r="K30" s="327">
        <f ca="1">'ENA Debt'!K35</f>
        <v>5913.9738351167398</v>
      </c>
      <c r="L30" s="327">
        <f ca="1">'ENA Debt'!L35</f>
        <v>5913.9738351167398</v>
      </c>
      <c r="M30" s="327">
        <f ca="1">'ENA Debt'!M35</f>
        <v>7478.3265297064227</v>
      </c>
      <c r="N30" s="327">
        <f ca="1">'ENA Debt'!N35</f>
        <v>7478.3265297064354</v>
      </c>
      <c r="O30" s="327">
        <f ca="1">'ENA Debt'!O35</f>
        <v>7678.125</v>
      </c>
      <c r="P30" s="327">
        <f ca="1">'ENA Debt'!P35</f>
        <v>7678.125</v>
      </c>
      <c r="Q30" s="327">
        <f ca="1">'ENA Debt'!Q35</f>
        <v>8887.2672410090072</v>
      </c>
      <c r="R30" s="327">
        <f ca="1">'ENA Debt'!R35</f>
        <v>8887.2672410090217</v>
      </c>
      <c r="S30" s="327">
        <f ca="1">'ENA Debt'!S35</f>
        <v>8859.375</v>
      </c>
      <c r="T30" s="327">
        <f ca="1">'ENA Debt'!T35</f>
        <v>8859.375</v>
      </c>
      <c r="U30" s="327">
        <f ca="1">'ENA Debt'!U35</f>
        <v>5906.25</v>
      </c>
      <c r="V30" s="327">
        <f ca="1">'ENA Debt'!V35</f>
        <v>5906.25</v>
      </c>
      <c r="W30" s="326"/>
    </row>
    <row r="31" spans="1:23">
      <c r="A31" s="326" t="s">
        <v>458</v>
      </c>
      <c r="C31" s="327">
        <f ca="1">IF(C26-C29-C30&gt;C10,C10,C26-C29-C30)</f>
        <v>0</v>
      </c>
      <c r="D31" s="327">
        <f t="shared" ref="D31:V31" ca="1" si="5">IF(D26-D29-D30&gt;D10,D10,D26-D29-D30)</f>
        <v>11411.982903980121</v>
      </c>
      <c r="E31" s="327">
        <f t="shared" ca="1" si="5"/>
        <v>11484.395233853642</v>
      </c>
      <c r="F31" s="327">
        <f t="shared" ca="1" si="5"/>
        <v>11839.800280486768</v>
      </c>
      <c r="G31" s="327">
        <f t="shared" ca="1" si="5"/>
        <v>12150.181031362641</v>
      </c>
      <c r="H31" s="327">
        <f t="shared" ca="1" si="5"/>
        <v>11886.421031362639</v>
      </c>
      <c r="I31" s="327">
        <f t="shared" ca="1" si="5"/>
        <v>12820.61215063939</v>
      </c>
      <c r="J31" s="327">
        <f t="shared" ca="1" si="5"/>
        <v>12459.852150639403</v>
      </c>
      <c r="K31" s="327">
        <f t="shared" ca="1" si="5"/>
        <v>13486.773835116739</v>
      </c>
      <c r="L31" s="327">
        <f t="shared" ca="1" si="5"/>
        <v>13013.663835116738</v>
      </c>
      <c r="M31" s="327">
        <f t="shared" ca="1" si="5"/>
        <v>14086.126529706424</v>
      </c>
      <c r="N31" s="327">
        <f t="shared" ca="1" si="5"/>
        <v>13487.856529706434</v>
      </c>
      <c r="O31" s="327">
        <f t="shared" ca="1" si="5"/>
        <v>13086.994999999999</v>
      </c>
      <c r="P31" s="327">
        <f t="shared" ca="1" si="5"/>
        <v>12472.744999999999</v>
      </c>
      <c r="Q31" s="327">
        <f t="shared" ca="1" si="5"/>
        <v>13053.127241009006</v>
      </c>
      <c r="R31" s="327">
        <f t="shared" ca="1" si="5"/>
        <v>12342.137241009023</v>
      </c>
      <c r="S31" s="327">
        <f t="shared" ca="1" si="5"/>
        <v>11603.605</v>
      </c>
      <c r="T31" s="327">
        <f t="shared" ca="1" si="5"/>
        <v>10894.855</v>
      </c>
      <c r="U31" s="327">
        <f t="shared" ca="1" si="5"/>
        <v>5906.25</v>
      </c>
      <c r="V31" s="327">
        <f t="shared" ca="1" si="5"/>
        <v>5906.25</v>
      </c>
      <c r="W31" s="326"/>
    </row>
    <row r="32" spans="1:23">
      <c r="A32" s="326" t="s">
        <v>294</v>
      </c>
      <c r="C32" s="327">
        <f ca="1">'IS-ENA'!C25</f>
        <v>94.036448769673299</v>
      </c>
      <c r="D32" s="327">
        <f ca="1">'IS-ENA'!D25</f>
        <v>96.29025556432812</v>
      </c>
      <c r="E32" s="327">
        <f ca="1">'IS-ENA'!E25</f>
        <v>97.850986631185336</v>
      </c>
      <c r="F32" s="327">
        <f ca="1">'IS-ENA'!F25</f>
        <v>100.48614431859328</v>
      </c>
      <c r="G32" s="327">
        <f ca="1">'IS-ENA'!G25</f>
        <v>101.86771680459985</v>
      </c>
      <c r="H32" s="327">
        <f ca="1">'IS-ENA'!H25</f>
        <v>105.38724560194991</v>
      </c>
      <c r="I32" s="327">
        <f ca="1">'IS-ENA'!I25</f>
        <v>106.45483660845719</v>
      </c>
      <c r="J32" s="327">
        <f ca="1">'IS-ENA'!J25</f>
        <v>107.45826516743416</v>
      </c>
      <c r="K32" s="327">
        <f ca="1">'IS-ENA'!K25</f>
        <v>105.83581903124734</v>
      </c>
      <c r="L32" s="327">
        <f ca="1">'IS-ENA'!L25</f>
        <v>105.89896048067494</v>
      </c>
      <c r="M32" s="327">
        <f ca="1">'IS-ENA'!M25</f>
        <v>103.10857761875917</v>
      </c>
      <c r="N32" s="327">
        <f ca="1">'IS-ENA'!N25</f>
        <v>100.09377517122884</v>
      </c>
      <c r="O32" s="327">
        <f ca="1">'IS-ENA'!O25</f>
        <v>96.586351171228841</v>
      </c>
      <c r="P32" s="327">
        <f ca="1">'IS-ENA'!P25</f>
        <v>88.25943117122884</v>
      </c>
      <c r="Q32" s="327">
        <f ca="1">'IS-ENA'!Q25</f>
        <v>78.247899585614419</v>
      </c>
      <c r="R32" s="327">
        <f ca="1">'IS-ENA'!R25</f>
        <v>68.526287999999994</v>
      </c>
      <c r="S32" s="327">
        <f ca="1">'IS-ENA'!S25</f>
        <v>62.450650000000003</v>
      </c>
      <c r="T32" s="327">
        <f ca="1">'IS-ENA'!T25</f>
        <v>54.214586666666669</v>
      </c>
      <c r="U32" s="327">
        <f ca="1">'IS-ENA'!U25</f>
        <v>52.24819999999999</v>
      </c>
      <c r="V32" s="327">
        <f ca="1">'IS-ENA'!V25</f>
        <v>50.129040000000003</v>
      </c>
      <c r="W32" s="326"/>
    </row>
    <row r="33" spans="1:23">
      <c r="A33" s="326" t="s">
        <v>295</v>
      </c>
      <c r="C33" s="328">
        <f ca="1">'Co IS'!C26</f>
        <v>-17.9725</v>
      </c>
      <c r="D33" s="328">
        <f ca="1">'Co IS'!D26</f>
        <v>-90.326909399999991</v>
      </c>
      <c r="E33" s="328">
        <f ca="1">'Co IS'!E26</f>
        <v>-164.6348878538</v>
      </c>
      <c r="F33" s="328">
        <f ca="1">'Co IS'!F26</f>
        <v>-240.94918172585255</v>
      </c>
      <c r="G33" s="328">
        <f ca="1">'Co IS'!G26</f>
        <v>-319.32396153245054</v>
      </c>
      <c r="H33" s="328">
        <f ca="1">'Co IS'!H26</f>
        <v>-399.81486039382662</v>
      </c>
      <c r="I33" s="328">
        <f ca="1">'Co IS'!I26</f>
        <v>-482.4790135244599</v>
      </c>
      <c r="J33" s="328">
        <f ca="1">'Co IS'!J26</f>
        <v>-567.37509878962021</v>
      </c>
      <c r="K33" s="328">
        <f ca="1">'Co IS'!K26</f>
        <v>-654.56337835693989</v>
      </c>
      <c r="L33" s="328">
        <f ca="1">'Co IS'!L26</f>
        <v>-744.10574147257717</v>
      </c>
      <c r="M33" s="328">
        <f ca="1">'Co IS'!M26</f>
        <v>-836.06574839233656</v>
      </c>
      <c r="N33" s="328">
        <f ca="1">'Co IS'!N26</f>
        <v>-930.50867549892962</v>
      </c>
      <c r="O33" s="328">
        <f ca="1">'Co IS'!O26</f>
        <v>0</v>
      </c>
      <c r="P33" s="328">
        <f ca="1">'Co IS'!P26</f>
        <v>-99.611694064209701</v>
      </c>
      <c r="Q33" s="328">
        <f ca="1">'Co IS'!Q26</f>
        <v>-201.91290386815305</v>
      </c>
      <c r="R33" s="328">
        <f ca="1">'Co IS'!R26</f>
        <v>-306.97624633680289</v>
      </c>
      <c r="S33" s="328">
        <f ca="1">'Co IS'!S26</f>
        <v>-414.87629905210616</v>
      </c>
      <c r="T33" s="328">
        <f ca="1">'Co IS'!T26</f>
        <v>-525.68965319072265</v>
      </c>
      <c r="U33" s="328">
        <f ca="1">'Co IS'!U26</f>
        <v>-639.49496789108184</v>
      </c>
      <c r="V33" s="328">
        <f ca="1">'Co IS'!V26</f>
        <v>-756.37302608835068</v>
      </c>
      <c r="W33" s="326"/>
    </row>
    <row r="34" spans="1:23">
      <c r="A34" s="326" t="s">
        <v>311</v>
      </c>
      <c r="C34" s="327">
        <f t="shared" ref="C34:V34" ca="1" si="6">SUM(C29:C33)</f>
        <v>76.063948769673303</v>
      </c>
      <c r="D34" s="327">
        <f t="shared" ca="1" si="6"/>
        <v>22829.929154124569</v>
      </c>
      <c r="E34" s="327">
        <f t="shared" ca="1" si="6"/>
        <v>22902.00656648467</v>
      </c>
      <c r="F34" s="327">
        <f t="shared" ca="1" si="6"/>
        <v>23539.137523566278</v>
      </c>
      <c r="G34" s="327">
        <f t="shared" ca="1" si="6"/>
        <v>24082.905817997434</v>
      </c>
      <c r="H34" s="327">
        <f t="shared" ca="1" si="6"/>
        <v>23478.414447933399</v>
      </c>
      <c r="I34" s="327">
        <f t="shared" ca="1" si="6"/>
        <v>25265.200124362778</v>
      </c>
      <c r="J34" s="327">
        <f t="shared" ca="1" si="6"/>
        <v>24459.787467656621</v>
      </c>
      <c r="K34" s="327">
        <f t="shared" ca="1" si="6"/>
        <v>26424.820110907785</v>
      </c>
      <c r="L34" s="327">
        <f t="shared" ca="1" si="6"/>
        <v>25389.120889241574</v>
      </c>
      <c r="M34" s="327">
        <f t="shared" ca="1" si="6"/>
        <v>27439.29588863927</v>
      </c>
      <c r="N34" s="327">
        <f t="shared" ca="1" si="6"/>
        <v>26145.29815908517</v>
      </c>
      <c r="O34" s="327">
        <f t="shared" ca="1" si="6"/>
        <v>26270.576351171228</v>
      </c>
      <c r="P34" s="327">
        <f t="shared" ca="1" si="6"/>
        <v>24934.137737107016</v>
      </c>
      <c r="Q34" s="327">
        <f t="shared" ca="1" si="6"/>
        <v>25982.589477735473</v>
      </c>
      <c r="R34" s="327">
        <f t="shared" ca="1" si="6"/>
        <v>24445.824523681244</v>
      </c>
      <c r="S34" s="327">
        <f t="shared" ca="1" si="6"/>
        <v>22854.784350947892</v>
      </c>
      <c r="T34" s="327">
        <f t="shared" ca="1" si="6"/>
        <v>21318.234933475942</v>
      </c>
      <c r="U34" s="327">
        <f t="shared" ca="1" si="6"/>
        <v>11225.253232108918</v>
      </c>
      <c r="V34" s="327">
        <f t="shared" ca="1" si="6"/>
        <v>11106.256013911649</v>
      </c>
      <c r="W34" s="326"/>
    </row>
    <row r="35" spans="1:23">
      <c r="A35" s="326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W35" s="326"/>
    </row>
    <row r="36" spans="1:23">
      <c r="A36" s="622" t="str">
        <f>+'Co IS'!A35</f>
        <v>VA Income Taxes</v>
      </c>
      <c r="C36" s="327">
        <f>+'IS-ENA'!C35</f>
        <v>325.51323265238909</v>
      </c>
      <c r="D36" s="327">
        <f ca="1">+'IS-ENA'!D35</f>
        <v>111.36912903510456</v>
      </c>
      <c r="E36" s="327">
        <f ca="1">+'IS-ENA'!E35</f>
        <v>138.83497364761334</v>
      </c>
      <c r="F36" s="327">
        <f ca="1">+'IS-ENA'!F35</f>
        <v>302.33822649295035</v>
      </c>
      <c r="G36" s="327">
        <f ca="1">+'IS-ENA'!G35</f>
        <v>415.00770682552138</v>
      </c>
      <c r="H36" s="327">
        <f ca="1">+'IS-ENA'!H35</f>
        <v>124.01021597455178</v>
      </c>
      <c r="I36" s="327">
        <f ca="1">+'IS-ENA'!I35</f>
        <v>588.69807732362676</v>
      </c>
      <c r="J36" s="327">
        <f ca="1">+'IS-ENA'!J35</f>
        <v>1077.4785132257459</v>
      </c>
      <c r="K36" s="327">
        <f ca="1">+'IS-ENA'!K35</f>
        <v>1129.3599463144546</v>
      </c>
      <c r="L36" s="327">
        <f ca="1">+'IS-ENA'!L35</f>
        <v>1029.8826931619806</v>
      </c>
      <c r="M36" s="327">
        <f ca="1">+'IS-ENA'!M35</f>
        <v>1100.2313516387335</v>
      </c>
      <c r="N36" s="327">
        <f ca="1">+'IS-ENA'!N35</f>
        <v>1030.6070982759734</v>
      </c>
      <c r="O36" s="327">
        <f ca="1">+'IS-ENA'!O35</f>
        <v>997.37950192226083</v>
      </c>
      <c r="P36" s="327">
        <f ca="1">+'IS-ENA'!P35</f>
        <v>850.38896705204797</v>
      </c>
      <c r="Q36" s="327">
        <f ca="1">+'IS-ENA'!Q35</f>
        <v>1213.6741601852193</v>
      </c>
      <c r="R36" s="327">
        <f ca="1">+'IS-ENA'!R35</f>
        <v>1864.9881665188473</v>
      </c>
      <c r="S36" s="327">
        <f ca="1">+'IS-ENA'!S35</f>
        <v>2509.7796182816892</v>
      </c>
      <c r="T36" s="327">
        <f ca="1">+'IS-ENA'!T35</f>
        <v>2588.8501331106413</v>
      </c>
      <c r="U36" s="327">
        <f ca="1">+'IS-ENA'!U35</f>
        <v>2832.6882566473737</v>
      </c>
      <c r="V36" s="327">
        <f ca="1">+'IS-ENA'!V35</f>
        <v>2342.465058522152</v>
      </c>
      <c r="W36" s="326"/>
    </row>
    <row r="37" spans="1:23">
      <c r="A37" s="326" t="s">
        <v>312</v>
      </c>
      <c r="C37" s="328">
        <f ca="1">+'TAXES-ENA'!C33</f>
        <v>0</v>
      </c>
      <c r="D37" s="328">
        <f ca="1">+'TAXES-ENA'!D33</f>
        <v>576.39785386132246</v>
      </c>
      <c r="E37" s="328">
        <f ca="1">+'TAXES-ENA'!E33</f>
        <v>761.27843883441301</v>
      </c>
      <c r="F37" s="328">
        <f ca="1">+'TAXES-ENA'!F33</f>
        <v>1657.8212752696775</v>
      </c>
      <c r="G37" s="328">
        <f ca="1">+'TAXES-ENA'!G33</f>
        <v>2275.6255924266088</v>
      </c>
      <c r="H37" s="328">
        <f ca="1">+'TAXES-ENA'!H33</f>
        <v>679.98935092712566</v>
      </c>
      <c r="I37" s="328">
        <f ca="1">+'TAXES-ENA'!I33</f>
        <v>3228.0277906578867</v>
      </c>
      <c r="J37" s="328">
        <f ca="1">+'TAXES-ENA'!J33</f>
        <v>5908.1738475211732</v>
      </c>
      <c r="K37" s="328">
        <f ca="1">+'TAXES-ENA'!K33</f>
        <v>6192.6570389575936</v>
      </c>
      <c r="L37" s="328">
        <f ca="1">+'TAXES-ENA'!L33</f>
        <v>5647.1901008381928</v>
      </c>
      <c r="M37" s="328">
        <f ca="1">+'TAXES-ENA'!M33</f>
        <v>6032.9352448190548</v>
      </c>
      <c r="N37" s="328">
        <f ca="1">+'TAXES-ENA'!N33</f>
        <v>5651.1622555465874</v>
      </c>
      <c r="O37" s="328">
        <f ca="1">+'TAXES-ENA'!O33</f>
        <v>5468.9642688737295</v>
      </c>
      <c r="P37" s="328">
        <f ca="1">+'TAXES-ENA'!P33</f>
        <v>4662.9661693353964</v>
      </c>
      <c r="Q37" s="328">
        <f ca="1">+'TAXES-ENA'!Q33</f>
        <v>6654.9799783489534</v>
      </c>
      <c r="R37" s="328">
        <f ca="1">+'TAXES-ENA'!R33</f>
        <v>10226.351779745013</v>
      </c>
      <c r="S37" s="328">
        <f ca="1">+'TAXES-ENA'!S33</f>
        <v>13761.958240244596</v>
      </c>
      <c r="T37" s="328">
        <f ca="1">+'TAXES-ENA'!T33</f>
        <v>14195.528229890017</v>
      </c>
      <c r="U37" s="328">
        <f ca="1">+'TAXES-ENA'!U33</f>
        <v>15532.573940616434</v>
      </c>
      <c r="V37" s="328">
        <f ca="1">+'TAXES-ENA'!V33</f>
        <v>12844.516737563134</v>
      </c>
      <c r="W37" s="326"/>
    </row>
    <row r="38" spans="1:23">
      <c r="A38" s="622" t="str">
        <f>+'Co IS'!A37</f>
        <v>Total Taxes</v>
      </c>
      <c r="C38" s="327">
        <f t="shared" ref="C38:V38" ca="1" si="7">SUM(C36:C37)</f>
        <v>325.51323265238909</v>
      </c>
      <c r="D38" s="327">
        <f t="shared" ca="1" si="7"/>
        <v>687.76698289642707</v>
      </c>
      <c r="E38" s="327">
        <f t="shared" ca="1" si="7"/>
        <v>900.11341248202632</v>
      </c>
      <c r="F38" s="327">
        <f t="shared" ca="1" si="7"/>
        <v>1960.1595017626278</v>
      </c>
      <c r="G38" s="327">
        <f t="shared" ca="1" si="7"/>
        <v>2690.6332992521302</v>
      </c>
      <c r="H38" s="327">
        <f t="shared" ca="1" si="7"/>
        <v>803.99956690167744</v>
      </c>
      <c r="I38" s="327">
        <f t="shared" ca="1" si="7"/>
        <v>3816.7258679815136</v>
      </c>
      <c r="J38" s="327">
        <f t="shared" ca="1" si="7"/>
        <v>6985.6523607469189</v>
      </c>
      <c r="K38" s="327">
        <f t="shared" ca="1" si="7"/>
        <v>7322.0169852720483</v>
      </c>
      <c r="L38" s="327">
        <f t="shared" ca="1" si="7"/>
        <v>6677.0727940001734</v>
      </c>
      <c r="M38" s="327">
        <f t="shared" ca="1" si="7"/>
        <v>7133.1665964577878</v>
      </c>
      <c r="N38" s="327">
        <f t="shared" ca="1" si="7"/>
        <v>6681.7693538225612</v>
      </c>
      <c r="O38" s="327">
        <f t="shared" ca="1" si="7"/>
        <v>6466.3437707959902</v>
      </c>
      <c r="P38" s="327">
        <f t="shared" ca="1" si="7"/>
        <v>5513.3551363874449</v>
      </c>
      <c r="Q38" s="327">
        <f t="shared" ca="1" si="7"/>
        <v>7868.6541385341725</v>
      </c>
      <c r="R38" s="327">
        <f t="shared" ca="1" si="7"/>
        <v>12091.339946263861</v>
      </c>
      <c r="S38" s="327">
        <f t="shared" ca="1" si="7"/>
        <v>16271.737858526285</v>
      </c>
      <c r="T38" s="327">
        <f t="shared" ca="1" si="7"/>
        <v>16784.378363000658</v>
      </c>
      <c r="U38" s="327">
        <f t="shared" ca="1" si="7"/>
        <v>18365.262197263808</v>
      </c>
      <c r="V38" s="327">
        <f t="shared" ca="1" si="7"/>
        <v>15186.981796085285</v>
      </c>
      <c r="W38" s="326"/>
    </row>
    <row r="39" spans="1:23">
      <c r="A39" s="333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26"/>
    </row>
    <row r="40" spans="1:23">
      <c r="A40" s="333" t="s">
        <v>313</v>
      </c>
      <c r="C40" s="335">
        <f t="shared" ref="C40:V40" ca="1" si="8">C15-C24-C34-C38</f>
        <v>9730.3252303670542</v>
      </c>
      <c r="D40" s="335">
        <f t="shared" ca="1" si="8"/>
        <v>15832.814028718576</v>
      </c>
      <c r="E40" s="335">
        <f t="shared" ca="1" si="8"/>
        <v>14282.00425324583</v>
      </c>
      <c r="F40" s="335">
        <f t="shared" ca="1" si="8"/>
        <v>14187.726305644046</v>
      </c>
      <c r="G40" s="335">
        <f t="shared" ca="1" si="8"/>
        <v>13700.113618132011</v>
      </c>
      <c r="H40" s="335">
        <f t="shared" ca="1" si="8"/>
        <v>7431.6784873383676</v>
      </c>
      <c r="I40" s="335">
        <f t="shared" ca="1" si="8"/>
        <v>10351.826483484805</v>
      </c>
      <c r="J40" s="335">
        <f t="shared" ca="1" si="8"/>
        <v>15331.754499357276</v>
      </c>
      <c r="K40" s="335">
        <f t="shared" ca="1" si="8"/>
        <v>14511.865819895751</v>
      </c>
      <c r="L40" s="335">
        <f t="shared" ca="1" si="8"/>
        <v>13495.307532056824</v>
      </c>
      <c r="M40" s="335">
        <f t="shared" ca="1" si="8"/>
        <v>12650.045283697771</v>
      </c>
      <c r="N40" s="335">
        <f t="shared" ca="1" si="8"/>
        <v>11934.443627189085</v>
      </c>
      <c r="O40" s="335">
        <f t="shared" ca="1" si="8"/>
        <v>11353.634253198368</v>
      </c>
      <c r="P40" s="335">
        <f t="shared" ca="1" si="8"/>
        <v>9903.1748092807775</v>
      </c>
      <c r="Q40" s="335">
        <f t="shared" ca="1" si="8"/>
        <v>12362.062023318082</v>
      </c>
      <c r="R40" s="335">
        <f t="shared" ca="1" si="8"/>
        <v>14526.9815453828</v>
      </c>
      <c r="S40" s="335">
        <f t="shared" ca="1" si="8"/>
        <v>16629.230353697152</v>
      </c>
      <c r="T40" s="335">
        <f t="shared" ca="1" si="8"/>
        <v>17458.313065875336</v>
      </c>
      <c r="U40" s="335">
        <f t="shared" ca="1" si="8"/>
        <v>22880.005574785828</v>
      </c>
      <c r="V40" s="335">
        <f t="shared" ca="1" si="8"/>
        <v>35300.396798134956</v>
      </c>
      <c r="W40" s="326"/>
    </row>
    <row r="41" spans="1:23">
      <c r="A41" s="762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26"/>
    </row>
    <row r="42" spans="1:23" ht="16.8" thickTop="1" thickBot="1">
      <c r="A42" s="325"/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</row>
    <row r="43" spans="1:23">
      <c r="A43" s="674"/>
      <c r="B43" s="675"/>
      <c r="C43" s="675"/>
      <c r="D43" s="675"/>
      <c r="E43" s="676"/>
      <c r="F43" s="675"/>
      <c r="G43" s="675"/>
      <c r="H43" s="675"/>
      <c r="I43" s="675"/>
      <c r="J43" s="675"/>
      <c r="K43" s="675"/>
      <c r="L43" s="675"/>
      <c r="M43" s="675"/>
      <c r="N43" s="675"/>
      <c r="O43" s="675"/>
      <c r="P43" s="675"/>
      <c r="Q43" s="675"/>
      <c r="R43" s="675"/>
      <c r="S43" s="675"/>
      <c r="T43" s="675"/>
      <c r="U43" s="675"/>
      <c r="V43" s="677"/>
      <c r="W43" s="673"/>
    </row>
    <row r="44" spans="1:23">
      <c r="A44" s="678" t="s">
        <v>314</v>
      </c>
      <c r="B44" s="679"/>
      <c r="C44" s="680">
        <f t="shared" ref="C44:V44" ca="1" si="9">C5</f>
        <v>2000</v>
      </c>
      <c r="D44" s="680">
        <f t="shared" ca="1" si="9"/>
        <v>2001</v>
      </c>
      <c r="E44" s="680">
        <f t="shared" ca="1" si="9"/>
        <v>2002</v>
      </c>
      <c r="F44" s="680">
        <f t="shared" ca="1" si="9"/>
        <v>2003</v>
      </c>
      <c r="G44" s="680">
        <f t="shared" ca="1" si="9"/>
        <v>2004</v>
      </c>
      <c r="H44" s="680">
        <f t="shared" ca="1" si="9"/>
        <v>2005</v>
      </c>
      <c r="I44" s="680">
        <f t="shared" ca="1" si="9"/>
        <v>2006</v>
      </c>
      <c r="J44" s="680">
        <f t="shared" ca="1" si="9"/>
        <v>2007</v>
      </c>
      <c r="K44" s="680">
        <f t="shared" ca="1" si="9"/>
        <v>2008</v>
      </c>
      <c r="L44" s="680">
        <f t="shared" ca="1" si="9"/>
        <v>2009</v>
      </c>
      <c r="M44" s="680">
        <f t="shared" ca="1" si="9"/>
        <v>2010</v>
      </c>
      <c r="N44" s="680">
        <f t="shared" ca="1" si="9"/>
        <v>2011</v>
      </c>
      <c r="O44" s="680">
        <f t="shared" ca="1" si="9"/>
        <v>2012</v>
      </c>
      <c r="P44" s="680">
        <f t="shared" ca="1" si="9"/>
        <v>2013</v>
      </c>
      <c r="Q44" s="680">
        <f t="shared" ca="1" si="9"/>
        <v>2014</v>
      </c>
      <c r="R44" s="680">
        <f t="shared" ca="1" si="9"/>
        <v>2015</v>
      </c>
      <c r="S44" s="680">
        <f t="shared" ca="1" si="9"/>
        <v>2016</v>
      </c>
      <c r="T44" s="680">
        <f t="shared" ca="1" si="9"/>
        <v>2017</v>
      </c>
      <c r="U44" s="680">
        <f t="shared" ca="1" si="9"/>
        <v>2018</v>
      </c>
      <c r="V44" s="681">
        <f t="shared" ca="1" si="9"/>
        <v>2019</v>
      </c>
      <c r="W44" s="673"/>
    </row>
    <row r="45" spans="1:23">
      <c r="A45" s="682" t="s">
        <v>315</v>
      </c>
      <c r="B45" s="679"/>
      <c r="C45" s="683">
        <f ca="1">IF(B45&gt;1,B45+1,IF(C49&gt;0,1,0))*0+C6</f>
        <v>1</v>
      </c>
      <c r="D45" s="679">
        <f t="shared" ref="D45:U45" ca="1" si="10">IF(C45&gt;=1,C45+1,IF(D49&gt;0,1,0))</f>
        <v>2</v>
      </c>
      <c r="E45" s="679">
        <f t="shared" ca="1" si="10"/>
        <v>3</v>
      </c>
      <c r="F45" s="679">
        <f t="shared" ca="1" si="10"/>
        <v>4</v>
      </c>
      <c r="G45" s="679">
        <f t="shared" ca="1" si="10"/>
        <v>5</v>
      </c>
      <c r="H45" s="679">
        <f t="shared" ca="1" si="10"/>
        <v>6</v>
      </c>
      <c r="I45" s="679">
        <f t="shared" ca="1" si="10"/>
        <v>7</v>
      </c>
      <c r="J45" s="679">
        <f t="shared" ca="1" si="10"/>
        <v>8</v>
      </c>
      <c r="K45" s="679">
        <f t="shared" ca="1" si="10"/>
        <v>9</v>
      </c>
      <c r="L45" s="679">
        <f t="shared" ca="1" si="10"/>
        <v>10</v>
      </c>
      <c r="M45" s="679">
        <f t="shared" ca="1" si="10"/>
        <v>11</v>
      </c>
      <c r="N45" s="679">
        <f t="shared" ca="1" si="10"/>
        <v>12</v>
      </c>
      <c r="O45" s="679">
        <f t="shared" ca="1" si="10"/>
        <v>13</v>
      </c>
      <c r="P45" s="679">
        <f t="shared" ca="1" si="10"/>
        <v>14</v>
      </c>
      <c r="Q45" s="679">
        <f t="shared" ca="1" si="10"/>
        <v>15</v>
      </c>
      <c r="R45" s="679">
        <f t="shared" ca="1" si="10"/>
        <v>16</v>
      </c>
      <c r="S45" s="679">
        <f t="shared" ca="1" si="10"/>
        <v>17</v>
      </c>
      <c r="T45" s="679">
        <f t="shared" ca="1" si="10"/>
        <v>18</v>
      </c>
      <c r="U45" s="679">
        <f t="shared" ca="1" si="10"/>
        <v>19</v>
      </c>
      <c r="V45" s="681"/>
      <c r="W45" s="673"/>
    </row>
    <row r="46" spans="1:23">
      <c r="A46" s="682"/>
      <c r="B46" s="679"/>
      <c r="C46" s="679"/>
      <c r="D46" s="679"/>
      <c r="E46" s="679"/>
      <c r="F46" s="679"/>
      <c r="G46" s="679"/>
      <c r="H46" s="679"/>
      <c r="I46" s="679"/>
      <c r="J46" s="679"/>
      <c r="K46" s="679"/>
      <c r="L46" s="679"/>
      <c r="M46" s="679"/>
      <c r="N46" s="679"/>
      <c r="O46" s="679"/>
      <c r="P46" s="679"/>
      <c r="Q46" s="679"/>
      <c r="R46" s="679"/>
      <c r="S46" s="679"/>
      <c r="T46" s="679"/>
      <c r="U46" s="679"/>
      <c r="V46" s="684"/>
      <c r="W46" s="673"/>
    </row>
    <row r="47" spans="1:23">
      <c r="A47" s="682" t="s">
        <v>316</v>
      </c>
      <c r="B47" s="679"/>
      <c r="C47" s="679"/>
      <c r="D47" s="679"/>
      <c r="E47" s="679"/>
      <c r="F47" s="679"/>
      <c r="G47" s="679"/>
      <c r="H47" s="679"/>
      <c r="I47" s="679"/>
      <c r="J47" s="679"/>
      <c r="K47" s="679"/>
      <c r="L47" s="679"/>
      <c r="M47" s="679"/>
      <c r="N47" s="679"/>
      <c r="O47" s="679"/>
      <c r="P47" s="679"/>
      <c r="Q47" s="679"/>
      <c r="R47" s="679"/>
      <c r="S47" s="679"/>
      <c r="T47" s="679"/>
      <c r="U47" s="679"/>
      <c r="V47" s="684"/>
      <c r="W47" s="673"/>
    </row>
    <row r="48" spans="1:23">
      <c r="A48" s="682" t="s">
        <v>317</v>
      </c>
      <c r="B48" s="679"/>
      <c r="C48" s="685">
        <f ca="1">'ENA Debt'!C34</f>
        <v>0</v>
      </c>
      <c r="D48" s="685">
        <f ca="1">'ENA Debt'!D34</f>
        <v>9426.17</v>
      </c>
      <c r="E48" s="685">
        <f ca="1">'ENA Debt'!E34</f>
        <v>9264.5</v>
      </c>
      <c r="F48" s="685">
        <f ca="1">'ENA Debt'!F34</f>
        <v>9080.43</v>
      </c>
      <c r="G48" s="685">
        <f ca="1">'ENA Debt'!G34</f>
        <v>8853.23</v>
      </c>
      <c r="H48" s="685">
        <f ca="1">'ENA Debt'!H34</f>
        <v>8589.4699999999993</v>
      </c>
      <c r="I48" s="685">
        <f ca="1">'ENA Debt'!I34</f>
        <v>8311.17</v>
      </c>
      <c r="J48" s="685">
        <f ca="1">'ENA Debt'!J34</f>
        <v>7950.41</v>
      </c>
      <c r="K48" s="685">
        <f ca="1">'ENA Debt'!K34</f>
        <v>7572.8</v>
      </c>
      <c r="L48" s="685">
        <f ca="1">'ENA Debt'!L34</f>
        <v>7099.69</v>
      </c>
      <c r="M48" s="685">
        <f ca="1">'ENA Debt'!M34</f>
        <v>6607.8</v>
      </c>
      <c r="N48" s="685">
        <f ca="1">'ENA Debt'!N34</f>
        <v>6009.53</v>
      </c>
      <c r="O48" s="685">
        <f ca="1">'ENA Debt'!O34</f>
        <v>5408.87</v>
      </c>
      <c r="P48" s="685">
        <f ca="1">'ENA Debt'!P34</f>
        <v>4794.62</v>
      </c>
      <c r="Q48" s="685">
        <f ca="1">'ENA Debt'!Q34</f>
        <v>4165.8599999999997</v>
      </c>
      <c r="R48" s="685">
        <f ca="1">'ENA Debt'!R34</f>
        <v>3454.87</v>
      </c>
      <c r="S48" s="685">
        <f ca="1">'ENA Debt'!S34</f>
        <v>2744.23</v>
      </c>
      <c r="T48" s="685">
        <f ca="1">'ENA Debt'!T34</f>
        <v>2035.48</v>
      </c>
      <c r="U48" s="685">
        <f ca="1">'ENA Debt'!U34</f>
        <v>1362.17</v>
      </c>
      <c r="V48" s="685">
        <f ca="1">'ENA Debt'!V34</f>
        <v>889.67</v>
      </c>
      <c r="W48" s="673"/>
    </row>
    <row r="49" spans="1:23">
      <c r="A49" s="686" t="s">
        <v>318</v>
      </c>
      <c r="B49" s="673"/>
      <c r="C49" s="687">
        <f ca="1">'ENA Debt'!C35</f>
        <v>0</v>
      </c>
      <c r="D49" s="687">
        <f ca="1">'ENA Debt'!D35</f>
        <v>1985.8129039801206</v>
      </c>
      <c r="E49" s="687">
        <f ca="1">'ENA Debt'!E35</f>
        <v>2219.8952338536419</v>
      </c>
      <c r="F49" s="687">
        <f ca="1">'ENA Debt'!F35</f>
        <v>2759.370280486768</v>
      </c>
      <c r="G49" s="687">
        <f ca="1">'ENA Debt'!G35</f>
        <v>3296.9510313626406</v>
      </c>
      <c r="H49" s="687">
        <f ca="1">'ENA Debt'!H35</f>
        <v>3296.9510313626406</v>
      </c>
      <c r="I49" s="687">
        <f ca="1">'ENA Debt'!I35</f>
        <v>4509.4421506393901</v>
      </c>
      <c r="J49" s="687">
        <f ca="1">'ENA Debt'!J35</f>
        <v>4509.4421506394037</v>
      </c>
      <c r="K49" s="687">
        <f ca="1">'ENA Debt'!K35</f>
        <v>5913.9738351167398</v>
      </c>
      <c r="L49" s="687">
        <f ca="1">'ENA Debt'!L35</f>
        <v>5913.9738351167398</v>
      </c>
      <c r="M49" s="687">
        <f ca="1">'ENA Debt'!M35</f>
        <v>7478.3265297064227</v>
      </c>
      <c r="N49" s="687">
        <f ca="1">'ENA Debt'!N35</f>
        <v>7478.3265297064354</v>
      </c>
      <c r="O49" s="687">
        <f ca="1">'ENA Debt'!O35</f>
        <v>7678.125</v>
      </c>
      <c r="P49" s="687">
        <f ca="1">'ENA Debt'!P35</f>
        <v>7678.125</v>
      </c>
      <c r="Q49" s="687">
        <f ca="1">'ENA Debt'!Q35</f>
        <v>8887.2672410090072</v>
      </c>
      <c r="R49" s="687">
        <f ca="1">'ENA Debt'!R35</f>
        <v>8887.2672410090217</v>
      </c>
      <c r="S49" s="687">
        <f ca="1">'ENA Debt'!S35</f>
        <v>8859.375</v>
      </c>
      <c r="T49" s="687">
        <f ca="1">'ENA Debt'!T35</f>
        <v>8859.375</v>
      </c>
      <c r="U49" s="687">
        <f ca="1">'ENA Debt'!U35</f>
        <v>5906.25</v>
      </c>
      <c r="V49" s="687">
        <f ca="1">'ENA Debt'!V35</f>
        <v>5906.25</v>
      </c>
      <c r="W49" s="673"/>
    </row>
    <row r="50" spans="1:23">
      <c r="A50" s="686" t="s">
        <v>319</v>
      </c>
      <c r="B50" s="673"/>
      <c r="C50" s="685">
        <f t="shared" ref="C50:V50" ca="1" si="11">C49+C48</f>
        <v>0</v>
      </c>
      <c r="D50" s="685">
        <f t="shared" ca="1" si="11"/>
        <v>11411.982903980121</v>
      </c>
      <c r="E50" s="685">
        <f t="shared" ca="1" si="11"/>
        <v>11484.395233853642</v>
      </c>
      <c r="F50" s="685">
        <f t="shared" ca="1" si="11"/>
        <v>11839.800280486768</v>
      </c>
      <c r="G50" s="685">
        <f t="shared" ca="1" si="11"/>
        <v>12150.181031362641</v>
      </c>
      <c r="H50" s="685">
        <f t="shared" ca="1" si="11"/>
        <v>11886.421031362639</v>
      </c>
      <c r="I50" s="685">
        <f t="shared" ca="1" si="11"/>
        <v>12820.61215063939</v>
      </c>
      <c r="J50" s="685">
        <f t="shared" ca="1" si="11"/>
        <v>12459.852150639403</v>
      </c>
      <c r="K50" s="685">
        <f t="shared" ca="1" si="11"/>
        <v>13486.773835116739</v>
      </c>
      <c r="L50" s="685">
        <f t="shared" ca="1" si="11"/>
        <v>13013.663835116738</v>
      </c>
      <c r="M50" s="685">
        <f t="shared" ca="1" si="11"/>
        <v>14086.126529706424</v>
      </c>
      <c r="N50" s="685">
        <f t="shared" ca="1" si="11"/>
        <v>13487.856529706434</v>
      </c>
      <c r="O50" s="685">
        <f t="shared" ca="1" si="11"/>
        <v>13086.994999999999</v>
      </c>
      <c r="P50" s="685">
        <f t="shared" ca="1" si="11"/>
        <v>12472.744999999999</v>
      </c>
      <c r="Q50" s="685">
        <f t="shared" ca="1" si="11"/>
        <v>13053.127241009006</v>
      </c>
      <c r="R50" s="685">
        <f t="shared" ca="1" si="11"/>
        <v>12342.137241009023</v>
      </c>
      <c r="S50" s="685">
        <f t="shared" ca="1" si="11"/>
        <v>11603.605</v>
      </c>
      <c r="T50" s="685">
        <f t="shared" ca="1" si="11"/>
        <v>10894.855</v>
      </c>
      <c r="U50" s="685">
        <f t="shared" ca="1" si="11"/>
        <v>7268.42</v>
      </c>
      <c r="V50" s="685">
        <f t="shared" ca="1" si="11"/>
        <v>6795.92</v>
      </c>
      <c r="W50" s="673"/>
    </row>
    <row r="51" spans="1:23">
      <c r="A51" s="686"/>
      <c r="B51" s="673"/>
      <c r="C51" s="685"/>
      <c r="D51" s="685"/>
      <c r="E51" s="685"/>
      <c r="F51" s="685"/>
      <c r="G51" s="685"/>
      <c r="H51" s="685"/>
      <c r="I51" s="685"/>
      <c r="J51" s="685"/>
      <c r="K51" s="685"/>
      <c r="L51" s="685"/>
      <c r="M51" s="685"/>
      <c r="N51" s="685"/>
      <c r="O51" s="685"/>
      <c r="P51" s="685"/>
      <c r="Q51" s="685"/>
      <c r="R51" s="685"/>
      <c r="S51" s="685"/>
      <c r="T51" s="685"/>
      <c r="U51" s="685"/>
      <c r="V51" s="688"/>
      <c r="W51" s="673"/>
    </row>
    <row r="52" spans="1:23">
      <c r="A52" s="686"/>
      <c r="B52" s="673"/>
      <c r="C52" s="687"/>
      <c r="D52" s="687"/>
      <c r="E52" s="687"/>
      <c r="F52" s="687"/>
      <c r="G52" s="687"/>
      <c r="H52" s="687"/>
      <c r="I52" s="687"/>
      <c r="J52" s="687"/>
      <c r="K52" s="687"/>
      <c r="L52" s="687"/>
      <c r="M52" s="687"/>
      <c r="N52" s="687"/>
      <c r="O52" s="687"/>
      <c r="P52" s="687"/>
      <c r="Q52" s="687"/>
      <c r="R52" s="687"/>
      <c r="S52" s="687"/>
      <c r="T52" s="687"/>
      <c r="U52" s="687"/>
      <c r="V52" s="689"/>
      <c r="W52" s="673"/>
    </row>
    <row r="53" spans="1:23">
      <c r="A53" s="678" t="s">
        <v>320</v>
      </c>
      <c r="B53" s="679"/>
      <c r="C53" s="690">
        <f t="shared" ref="C53:R53" ca="1" si="12">SUM(C50:C51)</f>
        <v>0</v>
      </c>
      <c r="D53" s="690">
        <f t="shared" ca="1" si="12"/>
        <v>11411.982903980121</v>
      </c>
      <c r="E53" s="690">
        <f t="shared" ca="1" si="12"/>
        <v>11484.395233853642</v>
      </c>
      <c r="F53" s="690">
        <f t="shared" ca="1" si="12"/>
        <v>11839.800280486768</v>
      </c>
      <c r="G53" s="690">
        <f t="shared" ca="1" si="12"/>
        <v>12150.181031362641</v>
      </c>
      <c r="H53" s="690">
        <f t="shared" ca="1" si="12"/>
        <v>11886.421031362639</v>
      </c>
      <c r="I53" s="690">
        <f t="shared" ca="1" si="12"/>
        <v>12820.61215063939</v>
      </c>
      <c r="J53" s="690">
        <f t="shared" ca="1" si="12"/>
        <v>12459.852150639403</v>
      </c>
      <c r="K53" s="690">
        <f t="shared" ca="1" si="12"/>
        <v>13486.773835116739</v>
      </c>
      <c r="L53" s="690">
        <f t="shared" ca="1" si="12"/>
        <v>13013.663835116738</v>
      </c>
      <c r="M53" s="690">
        <f t="shared" ca="1" si="12"/>
        <v>14086.126529706424</v>
      </c>
      <c r="N53" s="690">
        <f t="shared" ca="1" si="12"/>
        <v>13487.856529706434</v>
      </c>
      <c r="O53" s="690">
        <f t="shared" ca="1" si="12"/>
        <v>13086.994999999999</v>
      </c>
      <c r="P53" s="690">
        <f t="shared" ca="1" si="12"/>
        <v>12472.744999999999</v>
      </c>
      <c r="Q53" s="690">
        <f t="shared" ca="1" si="12"/>
        <v>13053.127241009006</v>
      </c>
      <c r="R53" s="690">
        <f t="shared" ca="1" si="12"/>
        <v>12342.137241009023</v>
      </c>
      <c r="S53" s="690"/>
      <c r="T53" s="690"/>
      <c r="U53" s="690"/>
      <c r="V53" s="691"/>
      <c r="W53" s="673"/>
    </row>
    <row r="54" spans="1:23">
      <c r="A54" s="682"/>
      <c r="B54" s="679"/>
      <c r="C54" s="679"/>
      <c r="D54" s="679"/>
      <c r="E54" s="679"/>
      <c r="F54" s="679"/>
      <c r="G54" s="679"/>
      <c r="H54" s="679"/>
      <c r="I54" s="679"/>
      <c r="J54" s="679"/>
      <c r="K54" s="679"/>
      <c r="L54" s="679"/>
      <c r="M54" s="679"/>
      <c r="N54" s="679"/>
      <c r="O54" s="679"/>
      <c r="P54" s="679"/>
      <c r="Q54" s="679"/>
      <c r="R54" s="679"/>
      <c r="S54" s="679"/>
      <c r="T54" s="679"/>
      <c r="U54" s="679"/>
      <c r="V54" s="684"/>
      <c r="W54" s="673"/>
    </row>
    <row r="55" spans="1:23">
      <c r="A55" s="686" t="s">
        <v>321</v>
      </c>
      <c r="B55" s="692"/>
      <c r="C55" s="673"/>
      <c r="D55" s="673"/>
      <c r="E55" s="673"/>
      <c r="F55" s="693"/>
      <c r="G55" s="693"/>
      <c r="H55" s="693"/>
      <c r="I55" s="693"/>
      <c r="J55" s="693"/>
      <c r="K55" s="693"/>
      <c r="L55" s="693"/>
      <c r="M55" s="693"/>
      <c r="N55" s="693"/>
      <c r="O55" s="693"/>
      <c r="P55" s="693"/>
      <c r="Q55" s="693"/>
      <c r="R55" s="693"/>
      <c r="S55" s="693"/>
      <c r="T55" s="693"/>
      <c r="U55" s="693"/>
      <c r="V55" s="694"/>
      <c r="W55" s="673"/>
    </row>
    <row r="56" spans="1:23">
      <c r="A56" s="686" t="s">
        <v>322</v>
      </c>
      <c r="B56" s="695"/>
      <c r="C56" s="693">
        <f t="shared" ref="C56:R56" ca="1" si="13">IF(C53&gt;1,(C26)/C50,0)</f>
        <v>0</v>
      </c>
      <c r="D56" s="693">
        <f t="shared" ca="1" si="13"/>
        <v>3.4481746508764415</v>
      </c>
      <c r="E56" s="693">
        <f t="shared" ca="1" si="13"/>
        <v>3.3161627980155486</v>
      </c>
      <c r="F56" s="693">
        <f t="shared" ca="1" si="13"/>
        <v>3.3520010803206981</v>
      </c>
      <c r="G56" s="693">
        <f t="shared" ca="1" si="13"/>
        <v>3.3311152015685201</v>
      </c>
      <c r="H56" s="693">
        <f t="shared" ca="1" si="13"/>
        <v>2.6680943253225649</v>
      </c>
      <c r="I56" s="693">
        <f t="shared" ca="1" si="13"/>
        <v>3.0758088625169475</v>
      </c>
      <c r="J56" s="693">
        <f t="shared" ca="1" si="13"/>
        <v>3.7542334982971965</v>
      </c>
      <c r="K56" s="693">
        <f t="shared" ca="1" si="13"/>
        <v>3.5782243779027429</v>
      </c>
      <c r="L56" s="693">
        <f t="shared" ca="1" si="13"/>
        <v>3.5010510331727702</v>
      </c>
      <c r="M56" s="693">
        <f t="shared" ca="1" si="13"/>
        <v>3.352412579086709</v>
      </c>
      <c r="N56" s="693">
        <f t="shared" ca="1" si="13"/>
        <v>3.3186526740932836</v>
      </c>
      <c r="O56" s="693">
        <f t="shared" ca="1" si="13"/>
        <v>3.3690357775154336</v>
      </c>
      <c r="P56" s="693">
        <f t="shared" ca="1" si="13"/>
        <v>3.235107242453465</v>
      </c>
      <c r="Q56" s="693">
        <f t="shared" ca="1" si="13"/>
        <v>3.5404010691322614</v>
      </c>
      <c r="R56" s="693">
        <f t="shared" ca="1" si="13"/>
        <v>4.1373827740026972</v>
      </c>
      <c r="S56" s="693"/>
      <c r="T56" s="693"/>
      <c r="U56" s="693"/>
      <c r="V56" s="694"/>
      <c r="W56" s="673"/>
    </row>
    <row r="57" spans="1:23">
      <c r="A57" s="686" t="s">
        <v>323</v>
      </c>
      <c r="B57" s="696">
        <f ca="1">IF('ASSUM 1'!N26=1,AVERAGE(D56:R56),AVERAGE(C56:Q62))</f>
        <v>3.3985238629518189</v>
      </c>
      <c r="C57" s="693"/>
      <c r="D57" s="693"/>
      <c r="E57" s="693"/>
      <c r="F57" s="693"/>
      <c r="G57" s="693"/>
      <c r="H57" s="693"/>
      <c r="I57" s="693"/>
      <c r="J57" s="693"/>
      <c r="K57" s="693"/>
      <c r="L57" s="693"/>
      <c r="M57" s="693"/>
      <c r="N57" s="693"/>
      <c r="O57" s="693"/>
      <c r="P57" s="693"/>
      <c r="Q57" s="693"/>
      <c r="R57" s="693"/>
      <c r="S57" s="693"/>
      <c r="T57" s="693"/>
      <c r="U57" s="693"/>
      <c r="V57" s="694"/>
      <c r="W57" s="673"/>
    </row>
    <row r="58" spans="1:23">
      <c r="A58" s="686" t="s">
        <v>324</v>
      </c>
      <c r="B58" s="696">
        <f ca="1">IF('ASSUM 1'!N26=1,MIN(D56:R56),MIN(C56:R56))</f>
        <v>2.6680943253225649</v>
      </c>
      <c r="C58" s="693"/>
      <c r="D58" s="693"/>
      <c r="E58" s="693"/>
      <c r="F58" s="693"/>
      <c r="G58" s="693"/>
      <c r="H58" s="693"/>
      <c r="I58" s="693"/>
      <c r="J58" s="693"/>
      <c r="K58" s="693"/>
      <c r="L58" s="693"/>
      <c r="M58" s="693"/>
      <c r="N58" s="693"/>
      <c r="O58" s="693"/>
      <c r="P58" s="693"/>
      <c r="Q58" s="693"/>
      <c r="R58" s="693"/>
      <c r="S58" s="693"/>
      <c r="T58" s="693"/>
      <c r="U58" s="693"/>
      <c r="V58" s="694"/>
      <c r="W58" s="673"/>
    </row>
    <row r="59" spans="1:23">
      <c r="A59" s="686" t="s">
        <v>325</v>
      </c>
      <c r="B59" s="696"/>
      <c r="C59" s="697">
        <f ca="1">1-SUM($C$49:C49)/('ASSUM 1'!$S$29*1000)</f>
        <v>1</v>
      </c>
      <c r="D59" s="697">
        <f ca="1">1-SUM($C$49:D49)/('ASSUM 1'!$S$29*1000)</f>
        <v>0.97793541217799862</v>
      </c>
      <c r="E59" s="697">
        <f ca="1">1-SUM($C$49:E49)/('ASSUM 1'!$S$29*1000)</f>
        <v>0.95326990957962487</v>
      </c>
      <c r="F59" s="697">
        <f ca="1">1-SUM($C$49:F49)/('ASSUM 1'!$S$29*1000)</f>
        <v>0.92261023979643852</v>
      </c>
      <c r="G59" s="697">
        <f ca="1">1-SUM($C$49:G49)/('ASSUM 1'!$S$29*1000)</f>
        <v>0.88597745055907584</v>
      </c>
      <c r="H59" s="697">
        <f ca="1">1-SUM($C$49:H49)/('ASSUM 1'!$S$29*1000)</f>
        <v>0.84934466132171327</v>
      </c>
      <c r="I59" s="697">
        <f ca="1">1-SUM($C$49:I49)/('ASSUM 1'!$S$29*1000)</f>
        <v>0.79923974853683111</v>
      </c>
      <c r="J59" s="697">
        <f ca="1">1-SUM($C$49:J49)/('ASSUM 1'!$S$29*1000)</f>
        <v>0.74913483575194884</v>
      </c>
      <c r="K59" s="697">
        <f ca="1">1-SUM($C$49:K49)/('ASSUM 1'!$S$29*1000)</f>
        <v>0.68342401536176278</v>
      </c>
      <c r="L59" s="697">
        <f ca="1">1-SUM($C$49:L49)/('ASSUM 1'!$S$29*1000)</f>
        <v>0.61771319497157684</v>
      </c>
      <c r="M59" s="697">
        <f ca="1">1-SUM($C$49:M49)/('ASSUM 1'!$S$29*1000)</f>
        <v>0.53462067797483892</v>
      </c>
      <c r="N59" s="697">
        <f ca="1">1-SUM($C$49:N49)/('ASSUM 1'!$S$29*1000)</f>
        <v>0.45152816097810067</v>
      </c>
      <c r="O59" s="697">
        <f ca="1">1-SUM($C$49:O49)/('ASSUM 1'!$S$29*1000)</f>
        <v>0.36621566097810077</v>
      </c>
      <c r="P59" s="697">
        <f ca="1">1-SUM($C$49:P49)/('ASSUM 1'!$S$29*1000)</f>
        <v>0.28090316097810075</v>
      </c>
      <c r="Q59" s="697">
        <f ca="1">1-SUM($C$49:Q49)/('ASSUM 1'!$S$29*1000)</f>
        <v>0.18215574718911176</v>
      </c>
      <c r="R59" s="697">
        <f ca="1">1-SUM($C$49:R49)/('ASSUM 1'!$S$29*1000)</f>
        <v>8.3408333400122769E-2</v>
      </c>
      <c r="S59" s="697"/>
      <c r="T59" s="693"/>
      <c r="U59" s="693"/>
      <c r="V59" s="694"/>
      <c r="W59" s="673"/>
    </row>
    <row r="60" spans="1:23">
      <c r="A60" s="686"/>
      <c r="B60" s="696"/>
      <c r="C60" s="693"/>
      <c r="D60" s="693"/>
      <c r="E60" s="693"/>
      <c r="F60" s="693"/>
      <c r="G60" s="693"/>
      <c r="H60" s="693"/>
      <c r="I60" s="693"/>
      <c r="J60" s="693"/>
      <c r="K60" s="693"/>
      <c r="L60" s="693"/>
      <c r="M60" s="693"/>
      <c r="N60" s="693"/>
      <c r="O60" s="693"/>
      <c r="P60" s="693"/>
      <c r="Q60" s="693"/>
      <c r="R60" s="693"/>
      <c r="S60" s="693"/>
      <c r="T60" s="693"/>
      <c r="U60" s="693"/>
      <c r="V60" s="694"/>
      <c r="W60" s="673"/>
    </row>
    <row r="61" spans="1:23">
      <c r="A61" s="686" t="s">
        <v>326</v>
      </c>
      <c r="B61" s="696"/>
      <c r="C61" s="693">
        <f t="shared" ref="C61:Q61" ca="1" si="14">IF(C53&gt;1,(C26)/C53,0)</f>
        <v>0</v>
      </c>
      <c r="D61" s="693">
        <f t="shared" ca="1" si="14"/>
        <v>3.4481746508764415</v>
      </c>
      <c r="E61" s="693">
        <f t="shared" ca="1" si="14"/>
        <v>3.3161627980155486</v>
      </c>
      <c r="F61" s="693">
        <f t="shared" ca="1" si="14"/>
        <v>3.3520010803206981</v>
      </c>
      <c r="G61" s="693">
        <f t="shared" ca="1" si="14"/>
        <v>3.3311152015685201</v>
      </c>
      <c r="H61" s="693">
        <f t="shared" ca="1" si="14"/>
        <v>2.6680943253225649</v>
      </c>
      <c r="I61" s="693">
        <f t="shared" ca="1" si="14"/>
        <v>3.0758088625169475</v>
      </c>
      <c r="J61" s="693">
        <f t="shared" ca="1" si="14"/>
        <v>3.7542334982971965</v>
      </c>
      <c r="K61" s="693">
        <f t="shared" ca="1" si="14"/>
        <v>3.5782243779027429</v>
      </c>
      <c r="L61" s="693">
        <f t="shared" ca="1" si="14"/>
        <v>3.5010510331727702</v>
      </c>
      <c r="M61" s="693">
        <f t="shared" ca="1" si="14"/>
        <v>3.352412579086709</v>
      </c>
      <c r="N61" s="693">
        <f t="shared" ca="1" si="14"/>
        <v>3.3186526740932836</v>
      </c>
      <c r="O61" s="693">
        <f t="shared" ca="1" si="14"/>
        <v>3.3690357775154336</v>
      </c>
      <c r="P61" s="693">
        <f t="shared" ca="1" si="14"/>
        <v>3.235107242453465</v>
      </c>
      <c r="Q61" s="693">
        <f t="shared" ca="1" si="14"/>
        <v>3.5404010691322614</v>
      </c>
      <c r="R61" s="693">
        <f ca="1">IF(R53&gt;1,(R15-R24)/R53,0)</f>
        <v>4.1373827740026972</v>
      </c>
      <c r="S61" s="693"/>
      <c r="T61" s="693"/>
      <c r="U61" s="693"/>
      <c r="V61" s="694"/>
      <c r="W61" s="673"/>
    </row>
    <row r="62" spans="1:23" ht="16.2" thickBot="1">
      <c r="A62" s="698"/>
      <c r="B62" s="699"/>
      <c r="C62" s="699"/>
      <c r="D62" s="699"/>
      <c r="E62" s="699"/>
      <c r="F62" s="699"/>
      <c r="G62" s="699"/>
      <c r="H62" s="699"/>
      <c r="I62" s="699"/>
      <c r="J62" s="699"/>
      <c r="K62" s="699"/>
      <c r="L62" s="699"/>
      <c r="M62" s="699"/>
      <c r="N62" s="699"/>
      <c r="O62" s="699"/>
      <c r="P62" s="699"/>
      <c r="Q62" s="699"/>
      <c r="R62" s="699"/>
      <c r="S62" s="699"/>
      <c r="T62" s="699"/>
      <c r="U62" s="699"/>
      <c r="V62" s="700"/>
      <c r="W62" s="673"/>
    </row>
    <row r="63" spans="1:23">
      <c r="A63" s="673"/>
      <c r="B63" s="673"/>
      <c r="C63" s="673"/>
      <c r="D63" s="673"/>
      <c r="E63" s="673"/>
      <c r="F63" s="673"/>
      <c r="G63" s="673"/>
      <c r="H63" s="673"/>
      <c r="I63" s="673"/>
      <c r="J63" s="673"/>
      <c r="K63" s="673"/>
      <c r="L63" s="673"/>
      <c r="M63" s="673"/>
      <c r="N63" s="673"/>
      <c r="O63" s="673"/>
      <c r="P63" s="673"/>
      <c r="Q63" s="673"/>
      <c r="R63" s="673"/>
      <c r="S63" s="673"/>
      <c r="T63" s="673"/>
      <c r="U63" s="673"/>
      <c r="V63" s="673"/>
    </row>
    <row r="64" spans="1:23">
      <c r="A64" s="318"/>
      <c r="B64" s="318"/>
      <c r="C64" s="318">
        <v>0.5</v>
      </c>
      <c r="D64" s="318">
        <v>1.5</v>
      </c>
      <c r="E64" s="318">
        <v>2.5</v>
      </c>
      <c r="F64" s="318">
        <v>3.5</v>
      </c>
      <c r="G64" s="318">
        <v>4.5</v>
      </c>
      <c r="H64" s="318">
        <v>5.5</v>
      </c>
      <c r="I64" s="318">
        <v>6.5</v>
      </c>
      <c r="J64" s="318">
        <v>7.5</v>
      </c>
      <c r="K64" s="318">
        <v>8.5</v>
      </c>
      <c r="L64" s="318">
        <v>9.5</v>
      </c>
      <c r="M64" s="318">
        <v>10.5</v>
      </c>
      <c r="N64" s="318">
        <v>11.5</v>
      </c>
      <c r="O64" s="318">
        <v>12.5</v>
      </c>
      <c r="P64" s="318">
        <v>13.5</v>
      </c>
      <c r="Q64" s="318">
        <v>14.5</v>
      </c>
      <c r="R64" s="318">
        <v>15.5</v>
      </c>
      <c r="S64" s="318">
        <v>16.5</v>
      </c>
      <c r="T64" s="318">
        <v>17.5</v>
      </c>
      <c r="U64" s="318">
        <v>18.5</v>
      </c>
      <c r="V64" s="318">
        <v>19.5</v>
      </c>
    </row>
    <row r="65" spans="3:22">
      <c r="C65" s="761">
        <f t="shared" ref="C65:V65" ca="1" si="15">C64*C49</f>
        <v>0</v>
      </c>
      <c r="D65" s="761">
        <f t="shared" ca="1" si="15"/>
        <v>2978.7193559701809</v>
      </c>
      <c r="E65" s="761">
        <f t="shared" ca="1" si="15"/>
        <v>5549.7380846341048</v>
      </c>
      <c r="F65" s="761">
        <f t="shared" ca="1" si="15"/>
        <v>9657.7959817036881</v>
      </c>
      <c r="G65" s="761">
        <f t="shared" ca="1" si="15"/>
        <v>14836.279641131883</v>
      </c>
      <c r="H65" s="761">
        <f t="shared" ca="1" si="15"/>
        <v>18133.230672494523</v>
      </c>
      <c r="I65" s="761">
        <f t="shared" ca="1" si="15"/>
        <v>29311.373979156037</v>
      </c>
      <c r="J65" s="761">
        <f t="shared" ca="1" si="15"/>
        <v>33820.81612979553</v>
      </c>
      <c r="K65" s="761">
        <f t="shared" ca="1" si="15"/>
        <v>50268.777598492292</v>
      </c>
      <c r="L65" s="761">
        <f t="shared" ca="1" si="15"/>
        <v>56182.751433609024</v>
      </c>
      <c r="M65" s="761">
        <f t="shared" ca="1" si="15"/>
        <v>78522.428561917433</v>
      </c>
      <c r="N65" s="761">
        <f t="shared" ca="1" si="15"/>
        <v>86000.755091624014</v>
      </c>
      <c r="O65" s="761">
        <f t="shared" ca="1" si="15"/>
        <v>95976.5625</v>
      </c>
      <c r="P65" s="761">
        <f t="shared" ca="1" si="15"/>
        <v>103654.6875</v>
      </c>
      <c r="Q65" s="761">
        <f t="shared" ca="1" si="15"/>
        <v>128865.37499463061</v>
      </c>
      <c r="R65" s="761">
        <f t="shared" ca="1" si="15"/>
        <v>137752.64223563983</v>
      </c>
      <c r="S65" s="761">
        <f t="shared" ca="1" si="15"/>
        <v>146179.6875</v>
      </c>
      <c r="T65" s="761">
        <f t="shared" ca="1" si="15"/>
        <v>155039.0625</v>
      </c>
      <c r="U65" s="761">
        <f t="shared" ca="1" si="15"/>
        <v>109265.625</v>
      </c>
      <c r="V65" s="761">
        <f t="shared" ca="1" si="15"/>
        <v>115171.875</v>
      </c>
    </row>
    <row r="66" spans="3:22">
      <c r="C66" s="330">
        <f ca="1">SUM(C65:V65)/'ENA Assumptions'!B2</f>
        <v>11.658566635012056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U35"/>
  <sheetViews>
    <sheetView showOutlineSymbols="0" view="pageBreakPreview" zoomScale="60" zoomScaleNormal="75" workbookViewId="0">
      <selection activeCell="F32" sqref="F32"/>
    </sheetView>
  </sheetViews>
  <sheetFormatPr defaultColWidth="9.81640625" defaultRowHeight="15.6"/>
  <cols>
    <col min="1" max="1" width="25.81640625" style="543" customWidth="1"/>
    <col min="2" max="2" width="6.81640625" style="543" customWidth="1"/>
    <col min="3" max="22" width="9.81640625" style="543" customWidth="1"/>
    <col min="23" max="23" width="5.08984375" style="546" customWidth="1"/>
    <col min="24" max="16384" width="9.81640625" style="546"/>
  </cols>
  <sheetData>
    <row r="1" spans="1:255" ht="22.2">
      <c r="A1" s="542" t="str">
        <f ca="1">'144A IDC'!A1</f>
        <v>DELMARVA, VA</v>
      </c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  <c r="Q1" s="545"/>
      <c r="R1" s="545"/>
      <c r="S1" s="545"/>
      <c r="T1" s="545"/>
      <c r="U1" s="545"/>
      <c r="V1" s="545"/>
    </row>
    <row r="2" spans="1:255">
      <c r="A2" s="547" t="s">
        <v>374</v>
      </c>
      <c r="B2" s="548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9"/>
      <c r="R2" s="549"/>
      <c r="S2" s="549"/>
      <c r="T2" s="549"/>
      <c r="U2" s="549"/>
      <c r="V2" s="549"/>
    </row>
    <row r="3" spans="1:255" ht="6" customHeight="1">
      <c r="A3" s="550"/>
      <c r="B3" s="551"/>
      <c r="C3" s="551"/>
      <c r="D3" s="551"/>
      <c r="E3" s="551"/>
      <c r="F3" s="551"/>
      <c r="G3" s="551"/>
      <c r="H3" s="551"/>
      <c r="I3" s="551"/>
      <c r="J3" s="551"/>
      <c r="K3" s="551"/>
      <c r="L3" s="551"/>
      <c r="M3" s="551"/>
      <c r="N3" s="551"/>
      <c r="O3" s="551"/>
      <c r="P3" s="551"/>
      <c r="Q3" s="552"/>
      <c r="R3" s="552"/>
      <c r="S3" s="552"/>
      <c r="T3" s="552"/>
      <c r="U3" s="552"/>
      <c r="V3" s="552"/>
    </row>
    <row r="4" spans="1:255">
      <c r="B4" s="544"/>
      <c r="C4" s="544"/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53"/>
      <c r="R4" s="553"/>
      <c r="S4" s="553"/>
      <c r="T4" s="553"/>
      <c r="U4" s="553"/>
      <c r="V4" s="553"/>
    </row>
    <row r="5" spans="1:255">
      <c r="A5" s="554" t="str">
        <f>Tariff!A5</f>
        <v>US $ 000s</v>
      </c>
      <c r="B5" s="555"/>
      <c r="C5" s="556">
        <f>Tariff!C5</f>
        <v>2000</v>
      </c>
      <c r="D5" s="556">
        <f>Tariff!D5</f>
        <v>2001</v>
      </c>
      <c r="E5" s="556">
        <f>Tariff!E5</f>
        <v>2002</v>
      </c>
      <c r="F5" s="556">
        <f>Tariff!F5</f>
        <v>2003</v>
      </c>
      <c r="G5" s="556">
        <f>Tariff!G5</f>
        <v>2004</v>
      </c>
      <c r="H5" s="556">
        <f>Tariff!H5</f>
        <v>2005</v>
      </c>
      <c r="I5" s="556">
        <f>Tariff!I5</f>
        <v>2006</v>
      </c>
      <c r="J5" s="556">
        <f>Tariff!J5</f>
        <v>2007</v>
      </c>
      <c r="K5" s="556">
        <f>Tariff!K5</f>
        <v>2008</v>
      </c>
      <c r="L5" s="556">
        <f>Tariff!L5</f>
        <v>2009</v>
      </c>
      <c r="M5" s="556">
        <f>Tariff!M5</f>
        <v>2010</v>
      </c>
      <c r="N5" s="556">
        <f>Tariff!N5</f>
        <v>2011</v>
      </c>
      <c r="O5" s="556">
        <f>Tariff!O5</f>
        <v>2012</v>
      </c>
      <c r="P5" s="556">
        <f>Tariff!P5</f>
        <v>2013</v>
      </c>
      <c r="Q5" s="556">
        <f>Tariff!Q5</f>
        <v>2014</v>
      </c>
      <c r="R5" s="556">
        <f>Tariff!R5</f>
        <v>2015</v>
      </c>
      <c r="S5" s="556">
        <f>Tariff!S5</f>
        <v>2016</v>
      </c>
      <c r="T5" s="556">
        <f>Tariff!T5</f>
        <v>2017</v>
      </c>
      <c r="U5" s="556">
        <f>Tariff!U5</f>
        <v>2018</v>
      </c>
      <c r="V5" s="556">
        <f>Tariff!V5</f>
        <v>2019</v>
      </c>
    </row>
    <row r="6" spans="1:255">
      <c r="A6" s="555" t="str">
        <f>Tariff!A6</f>
        <v>Year</v>
      </c>
      <c r="B6" s="555"/>
      <c r="C6" s="555">
        <f>Tariff!C6</f>
        <v>1</v>
      </c>
      <c r="D6" s="555">
        <f>Tariff!D6</f>
        <v>2</v>
      </c>
      <c r="E6" s="555">
        <f>Tariff!E6</f>
        <v>3</v>
      </c>
      <c r="F6" s="555">
        <f>Tariff!F6</f>
        <v>4</v>
      </c>
      <c r="G6" s="555">
        <f>Tariff!G6</f>
        <v>5</v>
      </c>
      <c r="H6" s="555">
        <f>Tariff!H6</f>
        <v>6</v>
      </c>
      <c r="I6" s="555">
        <f>Tariff!I6</f>
        <v>7</v>
      </c>
      <c r="J6" s="555">
        <f>Tariff!J6</f>
        <v>8</v>
      </c>
      <c r="K6" s="555">
        <f>Tariff!K6</f>
        <v>9</v>
      </c>
      <c r="L6" s="555">
        <f>Tariff!L6</f>
        <v>10</v>
      </c>
      <c r="M6" s="555">
        <f>Tariff!M6</f>
        <v>11</v>
      </c>
      <c r="N6" s="555">
        <f>Tariff!N6</f>
        <v>12</v>
      </c>
      <c r="O6" s="555">
        <f>Tariff!O6</f>
        <v>13</v>
      </c>
      <c r="P6" s="555">
        <f>Tariff!P6</f>
        <v>14</v>
      </c>
      <c r="Q6" s="555">
        <f>Tariff!Q6</f>
        <v>15</v>
      </c>
      <c r="R6" s="555">
        <f>Tariff!R6</f>
        <v>16</v>
      </c>
      <c r="S6" s="555">
        <f>Tariff!S6</f>
        <v>17</v>
      </c>
      <c r="T6" s="555">
        <f>Tariff!T6</f>
        <v>18</v>
      </c>
      <c r="U6" s="555">
        <f>Tariff!U6</f>
        <v>19</v>
      </c>
      <c r="V6" s="555">
        <f>Tariff!V6</f>
        <v>20</v>
      </c>
      <c r="W6" s="543"/>
      <c r="X6" s="543"/>
      <c r="Y6" s="543"/>
      <c r="Z6" s="543"/>
      <c r="AA6" s="543"/>
      <c r="AB6" s="543"/>
      <c r="AC6" s="543"/>
      <c r="AD6" s="543"/>
      <c r="AE6" s="543"/>
      <c r="AF6" s="543"/>
      <c r="AG6" s="543"/>
      <c r="AH6" s="543"/>
      <c r="AI6" s="543"/>
      <c r="AJ6" s="543"/>
      <c r="AK6" s="543"/>
      <c r="AL6" s="543"/>
      <c r="AM6" s="543"/>
      <c r="AN6" s="543"/>
      <c r="AO6" s="543"/>
      <c r="AP6" s="543"/>
      <c r="AQ6" s="543"/>
      <c r="AR6" s="543"/>
      <c r="AS6" s="543"/>
      <c r="AT6" s="543"/>
      <c r="AU6" s="543"/>
      <c r="AV6" s="543"/>
      <c r="AW6" s="543"/>
      <c r="AX6" s="543"/>
      <c r="AY6" s="543"/>
      <c r="AZ6" s="543"/>
      <c r="BA6" s="543"/>
      <c r="BB6" s="543"/>
      <c r="BC6" s="543"/>
      <c r="BD6" s="543"/>
      <c r="BE6" s="543"/>
      <c r="BF6" s="543"/>
      <c r="BG6" s="543"/>
      <c r="BH6" s="543"/>
      <c r="BI6" s="543"/>
      <c r="BJ6" s="543"/>
      <c r="BK6" s="543"/>
      <c r="BL6" s="543"/>
      <c r="BM6" s="543"/>
      <c r="BN6" s="543"/>
      <c r="BO6" s="543"/>
      <c r="BP6" s="543"/>
      <c r="BQ6" s="543"/>
      <c r="BR6" s="543"/>
      <c r="BS6" s="543"/>
      <c r="BT6" s="543"/>
      <c r="BU6" s="543"/>
      <c r="BV6" s="543"/>
      <c r="BW6" s="543"/>
      <c r="BX6" s="543"/>
      <c r="BY6" s="543"/>
      <c r="BZ6" s="543"/>
      <c r="CA6" s="543"/>
      <c r="CB6" s="543"/>
      <c r="CC6" s="543"/>
      <c r="CD6" s="543"/>
      <c r="CE6" s="543"/>
      <c r="CF6" s="543"/>
      <c r="CG6" s="543"/>
      <c r="CH6" s="543"/>
      <c r="CI6" s="543"/>
      <c r="CJ6" s="543"/>
      <c r="CK6" s="543"/>
      <c r="CL6" s="543"/>
      <c r="CM6" s="543"/>
      <c r="CN6" s="543"/>
      <c r="CO6" s="543"/>
      <c r="CP6" s="543"/>
      <c r="CQ6" s="543"/>
      <c r="CR6" s="543"/>
      <c r="CS6" s="543"/>
      <c r="CT6" s="543"/>
      <c r="CU6" s="543"/>
      <c r="CV6" s="543"/>
      <c r="CW6" s="543"/>
      <c r="CX6" s="543"/>
      <c r="CY6" s="543"/>
      <c r="CZ6" s="543"/>
      <c r="DA6" s="543"/>
      <c r="DB6" s="543"/>
      <c r="DC6" s="543"/>
      <c r="DD6" s="543"/>
      <c r="DE6" s="543"/>
      <c r="DF6" s="543"/>
      <c r="DG6" s="543"/>
      <c r="DH6" s="543"/>
      <c r="DI6" s="543"/>
      <c r="DJ6" s="543"/>
      <c r="DK6" s="543"/>
      <c r="DL6" s="543"/>
      <c r="DM6" s="543"/>
      <c r="DN6" s="543"/>
      <c r="DO6" s="543"/>
      <c r="DP6" s="543"/>
      <c r="DQ6" s="543"/>
      <c r="DR6" s="543"/>
      <c r="DS6" s="543"/>
      <c r="DT6" s="543"/>
      <c r="DU6" s="543"/>
      <c r="DV6" s="543"/>
      <c r="DW6" s="543"/>
      <c r="DX6" s="543"/>
      <c r="DY6" s="543"/>
      <c r="DZ6" s="543"/>
      <c r="EA6" s="543"/>
      <c r="EB6" s="543"/>
      <c r="EC6" s="543"/>
      <c r="ED6" s="543"/>
      <c r="EE6" s="543"/>
      <c r="EF6" s="543"/>
      <c r="EG6" s="543"/>
      <c r="EH6" s="543"/>
      <c r="EI6" s="543"/>
      <c r="EJ6" s="543"/>
      <c r="EK6" s="543"/>
      <c r="EL6" s="543"/>
      <c r="EM6" s="543"/>
      <c r="EN6" s="543"/>
      <c r="EO6" s="543"/>
      <c r="EP6" s="543"/>
      <c r="EQ6" s="543"/>
      <c r="ER6" s="543"/>
      <c r="ES6" s="543"/>
      <c r="ET6" s="543"/>
      <c r="EU6" s="543"/>
      <c r="EV6" s="543"/>
      <c r="EW6" s="543"/>
      <c r="EX6" s="543"/>
      <c r="EY6" s="543"/>
      <c r="EZ6" s="543"/>
      <c r="FA6" s="543"/>
      <c r="FB6" s="543"/>
      <c r="FC6" s="543"/>
      <c r="FD6" s="543"/>
      <c r="FE6" s="543"/>
      <c r="FF6" s="543"/>
      <c r="FG6" s="543"/>
      <c r="FH6" s="543"/>
      <c r="FI6" s="543"/>
      <c r="FJ6" s="543"/>
      <c r="FK6" s="543"/>
      <c r="FL6" s="543"/>
      <c r="FM6" s="543"/>
      <c r="FN6" s="543"/>
      <c r="FO6" s="543"/>
      <c r="FP6" s="543"/>
      <c r="FQ6" s="543"/>
      <c r="FR6" s="543"/>
      <c r="FS6" s="543"/>
      <c r="FT6" s="543"/>
      <c r="FU6" s="543"/>
      <c r="FV6" s="543"/>
      <c r="FW6" s="543"/>
      <c r="FX6" s="543"/>
      <c r="FY6" s="543"/>
      <c r="FZ6" s="543"/>
      <c r="GA6" s="543"/>
      <c r="GB6" s="543"/>
      <c r="GC6" s="543"/>
      <c r="GD6" s="543"/>
      <c r="GE6" s="543"/>
      <c r="GF6" s="543"/>
      <c r="GG6" s="543"/>
      <c r="GH6" s="543"/>
      <c r="GI6" s="543"/>
      <c r="GJ6" s="543"/>
      <c r="GK6" s="543"/>
      <c r="GL6" s="543"/>
      <c r="GM6" s="543"/>
      <c r="GN6" s="543"/>
      <c r="GO6" s="543"/>
      <c r="GP6" s="543"/>
      <c r="GQ6" s="543"/>
      <c r="GR6" s="543"/>
      <c r="GS6" s="543"/>
      <c r="GT6" s="543"/>
      <c r="GU6" s="543"/>
      <c r="GV6" s="543"/>
      <c r="GW6" s="543"/>
      <c r="GX6" s="543"/>
      <c r="GY6" s="543"/>
      <c r="GZ6" s="543"/>
      <c r="HA6" s="543"/>
      <c r="HB6" s="543"/>
      <c r="HC6" s="543"/>
      <c r="HD6" s="543"/>
      <c r="HE6" s="543"/>
      <c r="HF6" s="543"/>
      <c r="HG6" s="543"/>
      <c r="HH6" s="543"/>
      <c r="HI6" s="543"/>
      <c r="HJ6" s="543"/>
      <c r="HK6" s="543"/>
      <c r="HL6" s="543"/>
      <c r="HM6" s="543"/>
      <c r="HN6" s="543"/>
      <c r="HO6" s="543"/>
      <c r="HP6" s="543"/>
      <c r="HQ6" s="543"/>
      <c r="HR6" s="543"/>
      <c r="HS6" s="543"/>
      <c r="HT6" s="543"/>
      <c r="HU6" s="543"/>
      <c r="HV6" s="543"/>
      <c r="HW6" s="543"/>
      <c r="HX6" s="543"/>
      <c r="HY6" s="543"/>
      <c r="HZ6" s="543"/>
      <c r="IA6" s="543"/>
      <c r="IB6" s="543"/>
      <c r="IC6" s="543"/>
      <c r="ID6" s="543"/>
      <c r="IE6" s="543"/>
      <c r="IF6" s="543"/>
      <c r="IG6" s="543"/>
      <c r="IH6" s="543"/>
      <c r="II6" s="543"/>
      <c r="IJ6" s="543"/>
      <c r="IK6" s="543"/>
      <c r="IL6" s="543"/>
      <c r="IM6" s="543"/>
      <c r="IN6" s="543"/>
      <c r="IO6" s="543"/>
      <c r="IP6" s="543"/>
      <c r="IQ6" s="543"/>
      <c r="IR6" s="543"/>
      <c r="IS6" s="543"/>
      <c r="IT6" s="543"/>
      <c r="IU6" s="543"/>
    </row>
    <row r="7" spans="1:255">
      <c r="A7" s="555" t="str">
        <f>Tariff!A7</f>
        <v>Months of Operation</v>
      </c>
      <c r="B7" s="555"/>
      <c r="C7" s="555">
        <f>Tariff!C7</f>
        <v>7</v>
      </c>
      <c r="D7" s="555">
        <f>Tariff!D7</f>
        <v>12</v>
      </c>
      <c r="E7" s="555">
        <f>Tariff!E7</f>
        <v>12</v>
      </c>
      <c r="F7" s="555">
        <f>Tariff!F7</f>
        <v>12</v>
      </c>
      <c r="G7" s="555">
        <f>Tariff!G7</f>
        <v>12</v>
      </c>
      <c r="H7" s="555">
        <f>Tariff!H7</f>
        <v>12</v>
      </c>
      <c r="I7" s="555">
        <f>Tariff!I7</f>
        <v>12</v>
      </c>
      <c r="J7" s="555">
        <f>Tariff!J7</f>
        <v>12</v>
      </c>
      <c r="K7" s="555">
        <f>Tariff!K7</f>
        <v>12</v>
      </c>
      <c r="L7" s="555">
        <f>Tariff!L7</f>
        <v>12</v>
      </c>
      <c r="M7" s="555">
        <f>Tariff!M7</f>
        <v>12</v>
      </c>
      <c r="N7" s="555">
        <f>Tariff!N7</f>
        <v>12</v>
      </c>
      <c r="O7" s="555">
        <f>Tariff!O7</f>
        <v>12</v>
      </c>
      <c r="P7" s="555">
        <f>Tariff!P7</f>
        <v>12</v>
      </c>
      <c r="Q7" s="555">
        <f>Tariff!Q7</f>
        <v>12</v>
      </c>
      <c r="R7" s="555">
        <f>Tariff!R7</f>
        <v>12</v>
      </c>
      <c r="S7" s="555">
        <f>Tariff!S7</f>
        <v>12</v>
      </c>
      <c r="T7" s="555">
        <f>Tariff!T7</f>
        <v>12</v>
      </c>
      <c r="U7" s="555">
        <f>Tariff!U7</f>
        <v>12</v>
      </c>
      <c r="V7" s="555">
        <f>Tariff!V7</f>
        <v>12</v>
      </c>
      <c r="W7" s="543"/>
      <c r="X7" s="543"/>
      <c r="Y7" s="543"/>
      <c r="Z7" s="543"/>
      <c r="AA7" s="543"/>
      <c r="AB7" s="543"/>
      <c r="AC7" s="543"/>
      <c r="AD7" s="543"/>
      <c r="AE7" s="543"/>
      <c r="AF7" s="543"/>
      <c r="AG7" s="543"/>
      <c r="AH7" s="543"/>
      <c r="AI7" s="543"/>
      <c r="AJ7" s="543"/>
      <c r="AK7" s="543"/>
      <c r="AL7" s="543"/>
      <c r="AM7" s="543"/>
      <c r="AN7" s="543"/>
      <c r="AO7" s="543"/>
      <c r="AP7" s="543"/>
      <c r="AQ7" s="543"/>
      <c r="AR7" s="543"/>
      <c r="AS7" s="543"/>
      <c r="AT7" s="543"/>
      <c r="AU7" s="543"/>
      <c r="AV7" s="543"/>
      <c r="AW7" s="543"/>
      <c r="AX7" s="543"/>
      <c r="AY7" s="543"/>
      <c r="AZ7" s="543"/>
      <c r="BA7" s="543"/>
      <c r="BB7" s="543"/>
      <c r="BC7" s="543"/>
      <c r="BD7" s="543"/>
      <c r="BE7" s="543"/>
      <c r="BF7" s="543"/>
      <c r="BG7" s="543"/>
      <c r="BH7" s="543"/>
      <c r="BI7" s="543"/>
      <c r="BJ7" s="543"/>
      <c r="BK7" s="543"/>
      <c r="BL7" s="543"/>
      <c r="BM7" s="543"/>
      <c r="BN7" s="543"/>
      <c r="BO7" s="543"/>
      <c r="BP7" s="543"/>
      <c r="BQ7" s="543"/>
      <c r="BR7" s="543"/>
      <c r="BS7" s="543"/>
      <c r="BT7" s="543"/>
      <c r="BU7" s="543"/>
      <c r="BV7" s="543"/>
      <c r="BW7" s="543"/>
      <c r="BX7" s="543"/>
      <c r="BY7" s="543"/>
      <c r="BZ7" s="543"/>
      <c r="CA7" s="543"/>
      <c r="CB7" s="543"/>
      <c r="CC7" s="543"/>
      <c r="CD7" s="543"/>
      <c r="CE7" s="543"/>
      <c r="CF7" s="543"/>
      <c r="CG7" s="543"/>
      <c r="CH7" s="543"/>
      <c r="CI7" s="543"/>
      <c r="CJ7" s="543"/>
      <c r="CK7" s="543"/>
      <c r="CL7" s="543"/>
      <c r="CM7" s="543"/>
      <c r="CN7" s="543"/>
      <c r="CO7" s="543"/>
      <c r="CP7" s="543"/>
      <c r="CQ7" s="543"/>
      <c r="CR7" s="543"/>
      <c r="CS7" s="543"/>
      <c r="CT7" s="543"/>
      <c r="CU7" s="543"/>
      <c r="CV7" s="543"/>
      <c r="CW7" s="543"/>
      <c r="CX7" s="543"/>
      <c r="CY7" s="543"/>
      <c r="CZ7" s="543"/>
      <c r="DA7" s="543"/>
      <c r="DB7" s="543"/>
      <c r="DC7" s="543"/>
      <c r="DD7" s="543"/>
      <c r="DE7" s="543"/>
      <c r="DF7" s="543"/>
      <c r="DG7" s="543"/>
      <c r="DH7" s="543"/>
      <c r="DI7" s="543"/>
      <c r="DJ7" s="543"/>
      <c r="DK7" s="543"/>
      <c r="DL7" s="543"/>
      <c r="DM7" s="543"/>
      <c r="DN7" s="543"/>
      <c r="DO7" s="543"/>
      <c r="DP7" s="543"/>
      <c r="DQ7" s="543"/>
      <c r="DR7" s="543"/>
      <c r="DS7" s="543"/>
      <c r="DT7" s="543"/>
      <c r="DU7" s="543"/>
      <c r="DV7" s="543"/>
      <c r="DW7" s="543"/>
      <c r="DX7" s="543"/>
      <c r="DY7" s="543"/>
      <c r="DZ7" s="543"/>
      <c r="EA7" s="543"/>
      <c r="EB7" s="543"/>
      <c r="EC7" s="543"/>
      <c r="ED7" s="543"/>
      <c r="EE7" s="543"/>
      <c r="EF7" s="543"/>
      <c r="EG7" s="543"/>
      <c r="EH7" s="543"/>
      <c r="EI7" s="543"/>
      <c r="EJ7" s="543"/>
      <c r="EK7" s="543"/>
      <c r="EL7" s="543"/>
      <c r="EM7" s="543"/>
      <c r="EN7" s="543"/>
      <c r="EO7" s="543"/>
      <c r="EP7" s="543"/>
      <c r="EQ7" s="543"/>
      <c r="ER7" s="543"/>
      <c r="ES7" s="543"/>
      <c r="ET7" s="543"/>
      <c r="EU7" s="543"/>
      <c r="EV7" s="543"/>
      <c r="EW7" s="543"/>
      <c r="EX7" s="543"/>
      <c r="EY7" s="543"/>
      <c r="EZ7" s="543"/>
      <c r="FA7" s="543"/>
      <c r="FB7" s="543"/>
      <c r="FC7" s="543"/>
      <c r="FD7" s="543"/>
      <c r="FE7" s="543"/>
      <c r="FF7" s="543"/>
      <c r="FG7" s="543"/>
      <c r="FH7" s="543"/>
      <c r="FI7" s="543"/>
      <c r="FJ7" s="543"/>
      <c r="FK7" s="543"/>
      <c r="FL7" s="543"/>
      <c r="FM7" s="543"/>
      <c r="FN7" s="543"/>
      <c r="FO7" s="543"/>
      <c r="FP7" s="543"/>
      <c r="FQ7" s="543"/>
      <c r="FR7" s="543"/>
      <c r="FS7" s="543"/>
      <c r="FT7" s="543"/>
      <c r="FU7" s="543"/>
      <c r="FV7" s="543"/>
      <c r="FW7" s="543"/>
      <c r="FX7" s="543"/>
      <c r="FY7" s="543"/>
      <c r="FZ7" s="543"/>
      <c r="GA7" s="543"/>
      <c r="GB7" s="543"/>
      <c r="GC7" s="543"/>
      <c r="GD7" s="543"/>
      <c r="GE7" s="543"/>
      <c r="GF7" s="543"/>
      <c r="GG7" s="543"/>
      <c r="GH7" s="543"/>
      <c r="GI7" s="543"/>
      <c r="GJ7" s="543"/>
      <c r="GK7" s="543"/>
      <c r="GL7" s="543"/>
      <c r="GM7" s="543"/>
      <c r="GN7" s="543"/>
      <c r="GO7" s="543"/>
      <c r="GP7" s="543"/>
      <c r="GQ7" s="543"/>
      <c r="GR7" s="543"/>
      <c r="GS7" s="543"/>
      <c r="GT7" s="543"/>
      <c r="GU7" s="543"/>
      <c r="GV7" s="543"/>
      <c r="GW7" s="543"/>
      <c r="GX7" s="543"/>
      <c r="GY7" s="543"/>
      <c r="GZ7" s="543"/>
      <c r="HA7" s="543"/>
      <c r="HB7" s="543"/>
      <c r="HC7" s="543"/>
      <c r="HD7" s="543"/>
      <c r="HE7" s="543"/>
      <c r="HF7" s="543"/>
      <c r="HG7" s="543"/>
      <c r="HH7" s="543"/>
      <c r="HI7" s="543"/>
      <c r="HJ7" s="543"/>
      <c r="HK7" s="543"/>
      <c r="HL7" s="543"/>
      <c r="HM7" s="543"/>
      <c r="HN7" s="543"/>
      <c r="HO7" s="543"/>
      <c r="HP7" s="543"/>
      <c r="HQ7" s="543"/>
      <c r="HR7" s="543"/>
      <c r="HS7" s="543"/>
      <c r="HT7" s="543"/>
      <c r="HU7" s="543"/>
      <c r="HV7" s="543"/>
      <c r="HW7" s="543"/>
      <c r="HX7" s="543"/>
      <c r="HY7" s="543"/>
      <c r="HZ7" s="543"/>
      <c r="IA7" s="543"/>
      <c r="IB7" s="543"/>
      <c r="IC7" s="543"/>
      <c r="ID7" s="543"/>
      <c r="IE7" s="543"/>
      <c r="IF7" s="543"/>
      <c r="IG7" s="543"/>
      <c r="IH7" s="543"/>
      <c r="II7" s="543"/>
      <c r="IJ7" s="543"/>
      <c r="IK7" s="543"/>
      <c r="IL7" s="543"/>
      <c r="IM7" s="543"/>
      <c r="IN7" s="543"/>
      <c r="IO7" s="543"/>
      <c r="IP7" s="543"/>
      <c r="IQ7" s="543"/>
      <c r="IR7" s="543"/>
      <c r="IS7" s="543"/>
      <c r="IT7" s="543"/>
      <c r="IU7" s="543"/>
    </row>
    <row r="8" spans="1:255">
      <c r="A8" s="556"/>
      <c r="B8" s="555"/>
      <c r="C8" s="555"/>
      <c r="D8" s="555"/>
      <c r="E8" s="555"/>
      <c r="F8" s="555"/>
      <c r="G8" s="555"/>
      <c r="H8" s="555"/>
      <c r="I8" s="555"/>
      <c r="J8" s="555"/>
      <c r="K8" s="555"/>
      <c r="L8" s="555"/>
      <c r="M8" s="555"/>
      <c r="N8" s="555"/>
      <c r="O8" s="555"/>
      <c r="P8" s="555"/>
      <c r="Q8" s="555"/>
      <c r="R8" s="555"/>
      <c r="S8" s="555"/>
      <c r="T8" s="555"/>
      <c r="U8" s="555"/>
      <c r="V8" s="555"/>
      <c r="W8" s="543"/>
      <c r="X8" s="543"/>
      <c r="Y8" s="543"/>
      <c r="Z8" s="543"/>
      <c r="AA8" s="543"/>
      <c r="AB8" s="543"/>
      <c r="AC8" s="543"/>
      <c r="AD8" s="543"/>
      <c r="AE8" s="543"/>
      <c r="AF8" s="543"/>
      <c r="AG8" s="543"/>
      <c r="AH8" s="543"/>
      <c r="AI8" s="543"/>
      <c r="AJ8" s="543"/>
      <c r="AK8" s="543"/>
      <c r="AL8" s="543"/>
      <c r="AM8" s="543"/>
      <c r="AN8" s="543"/>
      <c r="AO8" s="543"/>
      <c r="AP8" s="543"/>
      <c r="AQ8" s="543"/>
      <c r="AR8" s="543"/>
      <c r="AS8" s="543"/>
      <c r="AT8" s="543"/>
      <c r="AU8" s="543"/>
      <c r="AV8" s="543"/>
      <c r="AW8" s="543"/>
      <c r="AX8" s="543"/>
      <c r="AY8" s="543"/>
      <c r="AZ8" s="543"/>
      <c r="BA8" s="543"/>
      <c r="BB8" s="543"/>
      <c r="BC8" s="543"/>
      <c r="BD8" s="543"/>
      <c r="BE8" s="543"/>
      <c r="BF8" s="543"/>
      <c r="BG8" s="543"/>
      <c r="BH8" s="543"/>
      <c r="BI8" s="543"/>
      <c r="BJ8" s="543"/>
      <c r="BK8" s="543"/>
      <c r="BL8" s="543"/>
      <c r="BM8" s="543"/>
      <c r="BN8" s="543"/>
      <c r="BO8" s="543"/>
      <c r="BP8" s="543"/>
      <c r="BQ8" s="543"/>
      <c r="BR8" s="543"/>
      <c r="BS8" s="543"/>
      <c r="BT8" s="543"/>
      <c r="BU8" s="543"/>
      <c r="BV8" s="543"/>
      <c r="BW8" s="543"/>
      <c r="BX8" s="543"/>
      <c r="BY8" s="543"/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/>
      <c r="DR8" s="543"/>
      <c r="DS8" s="543"/>
      <c r="DT8" s="543"/>
      <c r="DU8" s="543"/>
      <c r="DV8" s="543"/>
      <c r="DW8" s="543"/>
      <c r="DX8" s="543"/>
      <c r="DY8" s="543"/>
      <c r="DZ8" s="543"/>
      <c r="EA8" s="543"/>
      <c r="EB8" s="543"/>
      <c r="EC8" s="543"/>
      <c r="ED8" s="543"/>
      <c r="EE8" s="543"/>
      <c r="EF8" s="543"/>
      <c r="EG8" s="543"/>
      <c r="EH8" s="543"/>
      <c r="EI8" s="543"/>
      <c r="EJ8" s="543"/>
      <c r="EK8" s="543"/>
      <c r="EL8" s="543"/>
      <c r="EM8" s="543"/>
      <c r="EN8" s="543"/>
      <c r="EO8" s="543"/>
      <c r="EP8" s="543"/>
      <c r="EQ8" s="543"/>
      <c r="ER8" s="543"/>
      <c r="ES8" s="543"/>
      <c r="ET8" s="543"/>
      <c r="EU8" s="543"/>
      <c r="EV8" s="543"/>
      <c r="EW8" s="543"/>
      <c r="EX8" s="543"/>
      <c r="EY8" s="543"/>
      <c r="EZ8" s="543"/>
      <c r="FA8" s="543"/>
      <c r="FB8" s="543"/>
      <c r="FC8" s="543"/>
      <c r="FD8" s="543"/>
      <c r="FE8" s="543"/>
      <c r="FF8" s="543"/>
      <c r="FG8" s="543"/>
      <c r="FH8" s="543"/>
      <c r="FI8" s="543"/>
      <c r="FJ8" s="543"/>
      <c r="FK8" s="543"/>
      <c r="FL8" s="543"/>
      <c r="FM8" s="543"/>
      <c r="FN8" s="543"/>
      <c r="FO8" s="543"/>
      <c r="FP8" s="543"/>
      <c r="FQ8" s="543"/>
      <c r="FR8" s="543"/>
      <c r="FS8" s="543"/>
      <c r="FT8" s="543"/>
      <c r="FU8" s="543"/>
      <c r="FV8" s="543"/>
      <c r="FW8" s="543"/>
      <c r="FX8" s="543"/>
      <c r="FY8" s="543"/>
      <c r="FZ8" s="543"/>
      <c r="GA8" s="543"/>
      <c r="GB8" s="543"/>
      <c r="GC8" s="543"/>
      <c r="GD8" s="543"/>
      <c r="GE8" s="543"/>
      <c r="GF8" s="543"/>
      <c r="GG8" s="543"/>
      <c r="GH8" s="543"/>
      <c r="GI8" s="543"/>
      <c r="GJ8" s="543"/>
      <c r="GK8" s="543"/>
      <c r="GL8" s="543"/>
      <c r="GM8" s="543"/>
      <c r="GN8" s="543"/>
      <c r="GO8" s="543"/>
      <c r="GP8" s="543"/>
      <c r="GQ8" s="543"/>
      <c r="GR8" s="543"/>
      <c r="GS8" s="543"/>
      <c r="GT8" s="543"/>
      <c r="GU8" s="543"/>
      <c r="GV8" s="543"/>
      <c r="GW8" s="543"/>
      <c r="GX8" s="543"/>
      <c r="GY8" s="543"/>
      <c r="GZ8" s="543"/>
      <c r="HA8" s="543"/>
      <c r="HB8" s="543"/>
      <c r="HC8" s="543"/>
      <c r="HD8" s="543"/>
      <c r="HE8" s="543"/>
      <c r="HF8" s="543"/>
      <c r="HG8" s="543"/>
      <c r="HH8" s="543"/>
      <c r="HI8" s="543"/>
      <c r="HJ8" s="543"/>
      <c r="HK8" s="543"/>
      <c r="HL8" s="543"/>
      <c r="HM8" s="543"/>
      <c r="HN8" s="543"/>
      <c r="HO8" s="543"/>
      <c r="HP8" s="543"/>
      <c r="HQ8" s="543"/>
      <c r="HR8" s="543"/>
      <c r="HS8" s="543"/>
      <c r="HT8" s="543"/>
      <c r="HU8" s="543"/>
      <c r="HV8" s="543"/>
      <c r="HW8" s="543"/>
      <c r="HX8" s="543"/>
      <c r="HY8" s="543"/>
      <c r="HZ8" s="543"/>
      <c r="IA8" s="543"/>
      <c r="IB8" s="543"/>
      <c r="IC8" s="543"/>
      <c r="ID8" s="543"/>
      <c r="IE8" s="543"/>
      <c r="IF8" s="543"/>
      <c r="IG8" s="543"/>
      <c r="IH8" s="543"/>
      <c r="II8" s="543"/>
      <c r="IJ8" s="543"/>
      <c r="IK8" s="543"/>
      <c r="IL8" s="543"/>
      <c r="IM8" s="543"/>
      <c r="IN8" s="543"/>
      <c r="IO8" s="543"/>
      <c r="IP8" s="543"/>
      <c r="IQ8" s="543"/>
      <c r="IR8" s="543"/>
      <c r="IS8" s="543"/>
      <c r="IT8" s="543"/>
      <c r="IU8" s="543"/>
    </row>
    <row r="9" spans="1:255">
      <c r="A9" s="555" t="s">
        <v>375</v>
      </c>
      <c r="B9" s="555"/>
      <c r="C9" s="557">
        <f ca="1">'IS-ENA'!C29</f>
        <v>10055.838463019441</v>
      </c>
      <c r="D9" s="557">
        <f ca="1">'IS-ENA'!D29</f>
        <v>18506.39391559513</v>
      </c>
      <c r="E9" s="557">
        <f ca="1">'IS-ENA'!E29</f>
        <v>17523.961259599364</v>
      </c>
      <c r="F9" s="557">
        <f ca="1">'IS-ENA'!F29</f>
        <v>18960.418396909074</v>
      </c>
      <c r="G9" s="557">
        <f ca="1">'IS-ENA'!G29</f>
        <v>19670.925717212693</v>
      </c>
      <c r="H9" s="557">
        <f ca="1">'IS-ENA'!H29</f>
        <v>11511.495507420563</v>
      </c>
      <c r="I9" s="557">
        <f ca="1">'IS-ENA'!I29</f>
        <v>18756.01433146928</v>
      </c>
      <c r="J9" s="557">
        <f ca="1">'IS-ENA'!J29</f>
        <v>26902.354929837933</v>
      </c>
      <c r="K9" s="557">
        <f ca="1">'IS-ENA'!K29</f>
        <v>27782.205446925578</v>
      </c>
      <c r="L9" s="557">
        <f ca="1">'IS-ENA'!L29</f>
        <v>26109.091262108508</v>
      </c>
      <c r="M9" s="557">
        <f ca="1">'IS-ENA'!M29</f>
        <v>27296.728868996892</v>
      </c>
      <c r="N9" s="557">
        <f ca="1">'IS-ENA'!N29</f>
        <v>26121.164680675058</v>
      </c>
      <c r="O9" s="557">
        <f ca="1">'IS-ENA'!O29</f>
        <v>25582.531373722348</v>
      </c>
      <c r="P9" s="557">
        <f ca="1">'IS-ENA'!P29</f>
        <v>23117.529160276299</v>
      </c>
      <c r="Q9" s="557">
        <f ca="1">'IS-ENA'!Q29</f>
        <v>29187.442344771658</v>
      </c>
      <c r="R9" s="557">
        <f ca="1">'IS-ENA'!R29</f>
        <v>35555.325963351876</v>
      </c>
      <c r="S9" s="557">
        <f ca="1">'IS-ENA'!S29</f>
        <v>41829.660304694822</v>
      </c>
      <c r="T9" s="557">
        <f ca="1">'IS-ENA'!T29</f>
        <v>43147.502218510686</v>
      </c>
      <c r="U9" s="557">
        <f ca="1">'IS-ENA'!U29</f>
        <v>47211.470944122899</v>
      </c>
      <c r="V9" s="557">
        <f ca="1">'IS-ENA'!V29</f>
        <v>39041.084308702535</v>
      </c>
      <c r="W9" s="543"/>
      <c r="X9" s="543"/>
      <c r="Y9" s="543"/>
      <c r="Z9" s="543"/>
      <c r="AA9" s="543"/>
      <c r="AB9" s="543"/>
      <c r="AC9" s="543"/>
      <c r="AD9" s="543"/>
      <c r="AE9" s="543"/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3"/>
      <c r="AR9" s="543"/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3"/>
      <c r="BG9" s="543"/>
      <c r="BH9" s="543"/>
      <c r="BI9" s="543"/>
      <c r="BJ9" s="543"/>
      <c r="BK9" s="543"/>
      <c r="BL9" s="543"/>
      <c r="BM9" s="543"/>
      <c r="BN9" s="543"/>
      <c r="BO9" s="543"/>
      <c r="BP9" s="543"/>
      <c r="BQ9" s="543"/>
      <c r="BR9" s="543"/>
      <c r="BS9" s="543"/>
      <c r="BT9" s="543"/>
      <c r="BU9" s="543"/>
      <c r="BV9" s="543"/>
      <c r="BW9" s="543"/>
      <c r="BX9" s="543"/>
      <c r="BY9" s="543"/>
      <c r="BZ9" s="543"/>
      <c r="CA9" s="543"/>
      <c r="CB9" s="543"/>
      <c r="CC9" s="543"/>
      <c r="CD9" s="543"/>
      <c r="CE9" s="543"/>
      <c r="CF9" s="543"/>
      <c r="CG9" s="543"/>
      <c r="CH9" s="543"/>
      <c r="CI9" s="543"/>
      <c r="CJ9" s="543"/>
      <c r="CK9" s="543"/>
      <c r="CL9" s="543"/>
      <c r="CM9" s="543"/>
      <c r="CN9" s="543"/>
      <c r="CO9" s="543"/>
      <c r="CP9" s="543"/>
      <c r="CQ9" s="543"/>
      <c r="CR9" s="543"/>
      <c r="CS9" s="543"/>
      <c r="CT9" s="543"/>
      <c r="CU9" s="543"/>
      <c r="CV9" s="543"/>
      <c r="CW9" s="543"/>
      <c r="CX9" s="543"/>
      <c r="CY9" s="543"/>
      <c r="CZ9" s="543"/>
      <c r="DA9" s="543"/>
      <c r="DB9" s="543"/>
      <c r="DC9" s="543"/>
      <c r="DD9" s="543"/>
      <c r="DE9" s="543"/>
      <c r="DF9" s="543"/>
      <c r="DG9" s="543"/>
      <c r="DH9" s="543"/>
      <c r="DI9" s="543"/>
      <c r="DJ9" s="543"/>
      <c r="DK9" s="543"/>
      <c r="DL9" s="543"/>
      <c r="DM9" s="543"/>
      <c r="DN9" s="543"/>
      <c r="DO9" s="543"/>
      <c r="DP9" s="543"/>
      <c r="DQ9" s="543"/>
      <c r="DR9" s="543"/>
      <c r="DS9" s="543"/>
      <c r="DT9" s="543"/>
      <c r="DU9" s="543"/>
      <c r="DV9" s="543"/>
      <c r="DW9" s="543"/>
      <c r="DX9" s="543"/>
      <c r="DY9" s="543"/>
      <c r="DZ9" s="543"/>
      <c r="EA9" s="543"/>
      <c r="EB9" s="543"/>
      <c r="EC9" s="543"/>
      <c r="ED9" s="543"/>
      <c r="EE9" s="543"/>
      <c r="EF9" s="543"/>
      <c r="EG9" s="543"/>
      <c r="EH9" s="543"/>
      <c r="EI9" s="543"/>
      <c r="EJ9" s="543"/>
      <c r="EK9" s="543"/>
      <c r="EL9" s="543"/>
      <c r="EM9" s="543"/>
      <c r="EN9" s="543"/>
      <c r="EO9" s="543"/>
      <c r="EP9" s="543"/>
      <c r="EQ9" s="543"/>
      <c r="ER9" s="543"/>
      <c r="ES9" s="543"/>
      <c r="ET9" s="543"/>
      <c r="EU9" s="543"/>
      <c r="EV9" s="543"/>
      <c r="EW9" s="543"/>
      <c r="EX9" s="543"/>
      <c r="EY9" s="543"/>
      <c r="EZ9" s="543"/>
      <c r="FA9" s="543"/>
      <c r="FB9" s="543"/>
      <c r="FC9" s="543"/>
      <c r="FD9" s="543"/>
      <c r="FE9" s="543"/>
      <c r="FF9" s="543"/>
      <c r="FG9" s="543"/>
      <c r="FH9" s="543"/>
      <c r="FI9" s="543"/>
      <c r="FJ9" s="543"/>
      <c r="FK9" s="543"/>
      <c r="FL9" s="543"/>
      <c r="FM9" s="543"/>
      <c r="FN9" s="543"/>
      <c r="FO9" s="543"/>
      <c r="FP9" s="543"/>
      <c r="FQ9" s="543"/>
      <c r="FR9" s="543"/>
      <c r="FS9" s="543"/>
      <c r="FT9" s="543"/>
      <c r="FU9" s="543"/>
      <c r="FV9" s="543"/>
      <c r="FW9" s="543"/>
      <c r="FX9" s="543"/>
      <c r="FY9" s="543"/>
      <c r="FZ9" s="543"/>
      <c r="GA9" s="543"/>
      <c r="GB9" s="543"/>
      <c r="GC9" s="543"/>
      <c r="GD9" s="543"/>
      <c r="GE9" s="543"/>
      <c r="GF9" s="543"/>
      <c r="GG9" s="543"/>
      <c r="GH9" s="543"/>
      <c r="GI9" s="543"/>
      <c r="GJ9" s="543"/>
      <c r="GK9" s="543"/>
      <c r="GL9" s="543"/>
      <c r="GM9" s="543"/>
      <c r="GN9" s="543"/>
      <c r="GO9" s="543"/>
      <c r="GP9" s="543"/>
      <c r="GQ9" s="543"/>
      <c r="GR9" s="543"/>
      <c r="GS9" s="543"/>
      <c r="GT9" s="543"/>
      <c r="GU9" s="543"/>
      <c r="GV9" s="543"/>
      <c r="GW9" s="543"/>
      <c r="GX9" s="543"/>
      <c r="GY9" s="543"/>
      <c r="GZ9" s="543"/>
      <c r="HA9" s="543"/>
      <c r="HB9" s="543"/>
      <c r="HC9" s="543"/>
      <c r="HD9" s="543"/>
      <c r="HE9" s="543"/>
      <c r="HF9" s="543"/>
      <c r="HG9" s="543"/>
      <c r="HH9" s="543"/>
      <c r="HI9" s="543"/>
      <c r="HJ9" s="543"/>
      <c r="HK9" s="543"/>
      <c r="HL9" s="543"/>
      <c r="HM9" s="543"/>
      <c r="HN9" s="543"/>
      <c r="HO9" s="543"/>
      <c r="HP9" s="543"/>
      <c r="HQ9" s="543"/>
      <c r="HR9" s="543"/>
      <c r="HS9" s="543"/>
      <c r="HT9" s="543"/>
      <c r="HU9" s="543"/>
      <c r="HV9" s="543"/>
      <c r="HW9" s="543"/>
      <c r="HX9" s="543"/>
      <c r="HY9" s="543"/>
      <c r="HZ9" s="543"/>
      <c r="IA9" s="543"/>
      <c r="IB9" s="543"/>
      <c r="IC9" s="543"/>
      <c r="ID9" s="543"/>
      <c r="IE9" s="543"/>
      <c r="IF9" s="543"/>
      <c r="IG9" s="543"/>
      <c r="IH9" s="543"/>
      <c r="II9" s="543"/>
      <c r="IJ9" s="543"/>
      <c r="IK9" s="543"/>
      <c r="IL9" s="543"/>
      <c r="IM9" s="543"/>
      <c r="IN9" s="543"/>
      <c r="IO9" s="543"/>
      <c r="IP9" s="543"/>
      <c r="IQ9" s="543"/>
      <c r="IR9" s="543"/>
      <c r="IS9" s="543"/>
      <c r="IT9" s="543"/>
      <c r="IU9" s="543"/>
    </row>
    <row r="10" spans="1:255">
      <c r="A10" s="555"/>
      <c r="B10" s="555"/>
      <c r="C10" s="555"/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5"/>
      <c r="O10" s="555"/>
      <c r="P10" s="555"/>
      <c r="Q10" s="555"/>
      <c r="R10" s="555"/>
      <c r="S10" s="555"/>
      <c r="T10" s="555"/>
      <c r="U10" s="555"/>
      <c r="V10" s="555"/>
      <c r="W10" s="543"/>
      <c r="X10" s="543"/>
      <c r="Y10" s="543"/>
      <c r="Z10" s="543"/>
      <c r="AA10" s="543"/>
      <c r="AB10" s="543"/>
      <c r="AC10" s="543"/>
      <c r="AD10" s="543"/>
      <c r="AE10" s="543"/>
      <c r="AF10" s="543"/>
      <c r="AG10" s="543"/>
      <c r="AH10" s="543"/>
      <c r="AI10" s="543"/>
      <c r="AJ10" s="543"/>
      <c r="AK10" s="543"/>
      <c r="AL10" s="543"/>
      <c r="AM10" s="543"/>
      <c r="AN10" s="543"/>
      <c r="AO10" s="543"/>
      <c r="AP10" s="543"/>
      <c r="AQ10" s="543"/>
      <c r="AR10" s="543"/>
      <c r="AS10" s="543"/>
      <c r="AT10" s="543"/>
      <c r="AU10" s="543"/>
      <c r="AV10" s="543"/>
      <c r="AW10" s="543"/>
      <c r="AX10" s="543"/>
      <c r="AY10" s="543"/>
      <c r="AZ10" s="543"/>
      <c r="BA10" s="543"/>
      <c r="BB10" s="543"/>
      <c r="BC10" s="543"/>
      <c r="BD10" s="543"/>
      <c r="BE10" s="543"/>
      <c r="BF10" s="543"/>
      <c r="BG10" s="543"/>
      <c r="BH10" s="543"/>
      <c r="BI10" s="543"/>
      <c r="BJ10" s="543"/>
      <c r="BK10" s="543"/>
      <c r="BL10" s="543"/>
      <c r="BM10" s="543"/>
      <c r="BN10" s="543"/>
      <c r="BO10" s="543"/>
      <c r="BP10" s="543"/>
      <c r="BQ10" s="543"/>
      <c r="BR10" s="543"/>
      <c r="BS10" s="543"/>
      <c r="BT10" s="543"/>
      <c r="BU10" s="543"/>
      <c r="BV10" s="543"/>
      <c r="BW10" s="543"/>
      <c r="BX10" s="543"/>
      <c r="BY10" s="543"/>
      <c r="BZ10" s="543"/>
      <c r="CA10" s="543"/>
      <c r="CB10" s="543"/>
      <c r="CC10" s="543"/>
      <c r="CD10" s="543"/>
      <c r="CE10" s="543"/>
      <c r="CF10" s="543"/>
      <c r="CG10" s="543"/>
      <c r="CH10" s="543"/>
      <c r="CI10" s="543"/>
      <c r="CJ10" s="543"/>
      <c r="CK10" s="543"/>
      <c r="CL10" s="543"/>
      <c r="CM10" s="543"/>
      <c r="CN10" s="543"/>
      <c r="CO10" s="543"/>
      <c r="CP10" s="543"/>
      <c r="CQ10" s="543"/>
      <c r="CR10" s="543"/>
      <c r="CS10" s="543"/>
      <c r="CT10" s="543"/>
      <c r="CU10" s="543"/>
      <c r="CV10" s="543"/>
      <c r="CW10" s="543"/>
      <c r="CX10" s="543"/>
      <c r="CY10" s="543"/>
      <c r="CZ10" s="543"/>
      <c r="DA10" s="543"/>
      <c r="DB10" s="543"/>
      <c r="DC10" s="543"/>
      <c r="DD10" s="543"/>
      <c r="DE10" s="543"/>
      <c r="DF10" s="543"/>
      <c r="DG10" s="543"/>
      <c r="DH10" s="543"/>
      <c r="DI10" s="543"/>
      <c r="DJ10" s="543"/>
      <c r="DK10" s="543"/>
      <c r="DL10" s="543"/>
      <c r="DM10" s="543"/>
      <c r="DN10" s="543"/>
      <c r="DO10" s="543"/>
      <c r="DP10" s="543"/>
      <c r="DQ10" s="543"/>
      <c r="DR10" s="543"/>
      <c r="DS10" s="543"/>
      <c r="DT10" s="543"/>
      <c r="DU10" s="543"/>
      <c r="DV10" s="543"/>
      <c r="DW10" s="543"/>
      <c r="DX10" s="543"/>
      <c r="DY10" s="543"/>
      <c r="DZ10" s="543"/>
      <c r="EA10" s="543"/>
      <c r="EB10" s="543"/>
      <c r="EC10" s="543"/>
      <c r="ED10" s="543"/>
      <c r="EE10" s="543"/>
      <c r="EF10" s="543"/>
      <c r="EG10" s="543"/>
      <c r="EH10" s="543"/>
      <c r="EI10" s="543"/>
      <c r="EJ10" s="543"/>
      <c r="EK10" s="543"/>
      <c r="EL10" s="543"/>
      <c r="EM10" s="543"/>
      <c r="EN10" s="543"/>
      <c r="EO10" s="543"/>
      <c r="EP10" s="543"/>
      <c r="EQ10" s="543"/>
      <c r="ER10" s="543"/>
      <c r="ES10" s="543"/>
      <c r="ET10" s="543"/>
      <c r="EU10" s="543"/>
      <c r="EV10" s="543"/>
      <c r="EW10" s="543"/>
      <c r="EX10" s="543"/>
      <c r="EY10" s="543"/>
      <c r="EZ10" s="543"/>
      <c r="FA10" s="543"/>
      <c r="FB10" s="543"/>
      <c r="FC10" s="543"/>
      <c r="FD10" s="543"/>
      <c r="FE10" s="543"/>
      <c r="FF10" s="543"/>
      <c r="FG10" s="543"/>
      <c r="FH10" s="543"/>
      <c r="FI10" s="543"/>
      <c r="FJ10" s="543"/>
      <c r="FK10" s="543"/>
      <c r="FL10" s="543"/>
      <c r="FM10" s="543"/>
      <c r="FN10" s="543"/>
      <c r="FO10" s="543"/>
      <c r="FP10" s="543"/>
      <c r="FQ10" s="543"/>
      <c r="FR10" s="543"/>
      <c r="FS10" s="543"/>
      <c r="FT10" s="543"/>
      <c r="FU10" s="543"/>
      <c r="FV10" s="543"/>
      <c r="FW10" s="543"/>
      <c r="FX10" s="543"/>
      <c r="FY10" s="543"/>
      <c r="FZ10" s="543"/>
      <c r="GA10" s="543"/>
      <c r="GB10" s="543"/>
      <c r="GC10" s="543"/>
      <c r="GD10" s="543"/>
      <c r="GE10" s="543"/>
      <c r="GF10" s="543"/>
      <c r="GG10" s="543"/>
      <c r="GH10" s="543"/>
      <c r="GI10" s="543"/>
      <c r="GJ10" s="543"/>
      <c r="GK10" s="543"/>
      <c r="GL10" s="543"/>
      <c r="GM10" s="543"/>
      <c r="GN10" s="543"/>
      <c r="GO10" s="543"/>
      <c r="GP10" s="543"/>
      <c r="GQ10" s="543"/>
      <c r="GR10" s="543"/>
      <c r="GS10" s="543"/>
      <c r="GT10" s="543"/>
      <c r="GU10" s="543"/>
      <c r="GV10" s="543"/>
      <c r="GW10" s="543"/>
      <c r="GX10" s="543"/>
      <c r="GY10" s="543"/>
      <c r="GZ10" s="543"/>
      <c r="HA10" s="543"/>
      <c r="HB10" s="543"/>
      <c r="HC10" s="543"/>
      <c r="HD10" s="543"/>
      <c r="HE10" s="543"/>
      <c r="HF10" s="543"/>
      <c r="HG10" s="543"/>
      <c r="HH10" s="543"/>
      <c r="HI10" s="543"/>
      <c r="HJ10" s="543"/>
      <c r="HK10" s="543"/>
      <c r="HL10" s="543"/>
      <c r="HM10" s="543"/>
      <c r="HN10" s="543"/>
      <c r="HO10" s="543"/>
      <c r="HP10" s="543"/>
      <c r="HQ10" s="543"/>
      <c r="HR10" s="543"/>
      <c r="HS10" s="543"/>
      <c r="HT10" s="543"/>
      <c r="HU10" s="543"/>
      <c r="HV10" s="543"/>
      <c r="HW10" s="543"/>
      <c r="HX10" s="543"/>
      <c r="HY10" s="543"/>
      <c r="HZ10" s="543"/>
      <c r="IA10" s="543"/>
      <c r="IB10" s="543"/>
      <c r="IC10" s="543"/>
      <c r="ID10" s="543"/>
      <c r="IE10" s="543"/>
      <c r="IF10" s="543"/>
      <c r="IG10" s="543"/>
      <c r="IH10" s="543"/>
      <c r="II10" s="543"/>
      <c r="IJ10" s="543"/>
      <c r="IK10" s="543"/>
      <c r="IL10" s="543"/>
      <c r="IM10" s="543"/>
      <c r="IN10" s="543"/>
      <c r="IO10" s="543"/>
      <c r="IP10" s="543"/>
      <c r="IQ10" s="543"/>
      <c r="IR10" s="543"/>
      <c r="IS10" s="543"/>
      <c r="IT10" s="543"/>
      <c r="IU10" s="543"/>
    </row>
    <row r="11" spans="1:255">
      <c r="A11" s="555" t="s">
        <v>376</v>
      </c>
      <c r="B11" s="555"/>
      <c r="C11" s="557">
        <f ca="1">'TAXDEPR 144A'!F67</f>
        <v>9828.2572408846736</v>
      </c>
      <c r="D11" s="557">
        <f ca="1">'TAXDEPR 144A'!G67</f>
        <v>16650.241765010054</v>
      </c>
      <c r="E11" s="557">
        <f ca="1">'TAXDEPR 144A'!H67</f>
        <v>15210.045032139142</v>
      </c>
      <c r="F11" s="557">
        <f ca="1">'TAXDEPR 144A'!I67</f>
        <v>13921.447955359901</v>
      </c>
      <c r="G11" s="557">
        <f ca="1">'TAXDEPR 144A'!J67</f>
        <v>12754.130603454003</v>
      </c>
      <c r="H11" s="557">
        <f ca="1">'TAXDEPR 144A'!K67</f>
        <v>9444.6585745113662</v>
      </c>
      <c r="I11" s="557">
        <f ca="1">'TAXDEPR 144A'!L67</f>
        <v>8944.3797094088332</v>
      </c>
      <c r="J11" s="557">
        <f ca="1">'TAXDEPR 144A'!M67</f>
        <v>8944.3797094088332</v>
      </c>
      <c r="K11" s="557">
        <f ca="1">'TAXDEPR 144A'!N67</f>
        <v>8959.5396750180007</v>
      </c>
      <c r="L11" s="557">
        <f ca="1">'TAXDEPR 144A'!O67</f>
        <v>8944.3797094088332</v>
      </c>
      <c r="M11" s="557">
        <f ca="1">'TAXDEPR 144A'!P67</f>
        <v>8959.5396750180007</v>
      </c>
      <c r="N11" s="557">
        <f ca="1">'TAXDEPR 144A'!Q67</f>
        <v>8944.3797094088332</v>
      </c>
      <c r="O11" s="557">
        <f ca="1">'TAXDEPR 144A'!R67</f>
        <v>8959.5396750180007</v>
      </c>
      <c r="P11" s="557">
        <f ca="1">'TAXDEPR 144A'!S67</f>
        <v>8944.3797094088332</v>
      </c>
      <c r="Q11" s="557">
        <f ca="1">'TAXDEPR 144A'!T67</f>
        <v>8959.5396750180007</v>
      </c>
      <c r="R11" s="557">
        <f ca="1">'TAXDEPR 144A'!U67</f>
        <v>4472.1898547044166</v>
      </c>
      <c r="S11" s="557">
        <f ca="1">'TAXDEPR 144A'!V67</f>
        <v>0</v>
      </c>
      <c r="T11" s="557">
        <f ca="1">'TAXDEPR 144A'!W67</f>
        <v>0</v>
      </c>
      <c r="U11" s="557">
        <f ca="1">'TAXDEPR 144A'!X67</f>
        <v>0</v>
      </c>
      <c r="V11" s="557">
        <f ca="1">'TAXDEPR 144A'!Y67</f>
        <v>0</v>
      </c>
      <c r="W11" s="543"/>
      <c r="X11" s="543"/>
      <c r="Y11" s="543"/>
      <c r="Z11" s="543"/>
      <c r="AA11" s="543"/>
      <c r="AB11" s="543"/>
      <c r="AC11" s="543"/>
      <c r="AD11" s="543"/>
      <c r="AE11" s="543"/>
      <c r="AF11" s="543"/>
      <c r="AG11" s="543"/>
      <c r="AH11" s="543"/>
      <c r="AI11" s="543"/>
      <c r="AJ11" s="543"/>
      <c r="AK11" s="543"/>
      <c r="AL11" s="543"/>
      <c r="AM11" s="543"/>
      <c r="AN11" s="543"/>
      <c r="AO11" s="543"/>
      <c r="AP11" s="543"/>
      <c r="AQ11" s="543"/>
      <c r="AR11" s="543"/>
      <c r="AS11" s="543"/>
      <c r="AT11" s="543"/>
      <c r="AU11" s="543"/>
      <c r="AV11" s="543"/>
      <c r="AW11" s="543"/>
      <c r="AX11" s="543"/>
      <c r="AY11" s="543"/>
      <c r="AZ11" s="543"/>
      <c r="BA11" s="543"/>
      <c r="BB11" s="543"/>
      <c r="BC11" s="543"/>
      <c r="BD11" s="543"/>
      <c r="BE11" s="543"/>
      <c r="BF11" s="543"/>
      <c r="BG11" s="543"/>
      <c r="BH11" s="543"/>
      <c r="BI11" s="543"/>
      <c r="BJ11" s="543"/>
      <c r="BK11" s="543"/>
      <c r="BL11" s="543"/>
      <c r="BM11" s="543"/>
      <c r="BN11" s="543"/>
      <c r="BO11" s="543"/>
      <c r="BP11" s="543"/>
      <c r="BQ11" s="543"/>
      <c r="BR11" s="543"/>
      <c r="BS11" s="543"/>
      <c r="BT11" s="543"/>
      <c r="BU11" s="543"/>
      <c r="BV11" s="543"/>
      <c r="BW11" s="543"/>
      <c r="BX11" s="543"/>
      <c r="BY11" s="543"/>
      <c r="BZ11" s="543"/>
      <c r="CA11" s="543"/>
      <c r="CB11" s="543"/>
      <c r="CC11" s="543"/>
      <c r="CD11" s="543"/>
      <c r="CE11" s="543"/>
      <c r="CF11" s="543"/>
      <c r="CG11" s="543"/>
      <c r="CH11" s="543"/>
      <c r="CI11" s="543"/>
      <c r="CJ11" s="543"/>
      <c r="CK11" s="543"/>
      <c r="CL11" s="543"/>
      <c r="CM11" s="543"/>
      <c r="CN11" s="543"/>
      <c r="CO11" s="543"/>
      <c r="CP11" s="543"/>
      <c r="CQ11" s="543"/>
      <c r="CR11" s="543"/>
      <c r="CS11" s="543"/>
      <c r="CT11" s="543"/>
      <c r="CU11" s="543"/>
      <c r="CV11" s="543"/>
      <c r="CW11" s="543"/>
      <c r="CX11" s="543"/>
      <c r="CY11" s="543"/>
      <c r="CZ11" s="543"/>
      <c r="DA11" s="543"/>
      <c r="DB11" s="543"/>
      <c r="DC11" s="543"/>
      <c r="DD11" s="543"/>
      <c r="DE11" s="543"/>
      <c r="DF11" s="543"/>
      <c r="DG11" s="543"/>
      <c r="DH11" s="543"/>
      <c r="DI11" s="543"/>
      <c r="DJ11" s="543"/>
      <c r="DK11" s="543"/>
      <c r="DL11" s="543"/>
      <c r="DM11" s="543"/>
      <c r="DN11" s="543"/>
      <c r="DO11" s="543"/>
      <c r="DP11" s="543"/>
      <c r="DQ11" s="543"/>
      <c r="DR11" s="543"/>
      <c r="DS11" s="543"/>
      <c r="DT11" s="543"/>
      <c r="DU11" s="543"/>
      <c r="DV11" s="543"/>
      <c r="DW11" s="543"/>
      <c r="DX11" s="543"/>
      <c r="DY11" s="543"/>
      <c r="DZ11" s="543"/>
      <c r="EA11" s="543"/>
      <c r="EB11" s="543"/>
      <c r="EC11" s="543"/>
      <c r="ED11" s="543"/>
      <c r="EE11" s="543"/>
      <c r="EF11" s="543"/>
      <c r="EG11" s="543"/>
      <c r="EH11" s="543"/>
      <c r="EI11" s="543"/>
      <c r="EJ11" s="543"/>
      <c r="EK11" s="543"/>
      <c r="EL11" s="543"/>
      <c r="EM11" s="543"/>
      <c r="EN11" s="543"/>
      <c r="EO11" s="543"/>
      <c r="EP11" s="543"/>
      <c r="EQ11" s="543"/>
      <c r="ER11" s="543"/>
      <c r="ES11" s="543"/>
      <c r="ET11" s="543"/>
      <c r="EU11" s="543"/>
      <c r="EV11" s="543"/>
      <c r="EW11" s="543"/>
      <c r="EX11" s="543"/>
      <c r="EY11" s="543"/>
      <c r="EZ11" s="543"/>
      <c r="FA11" s="543"/>
      <c r="FB11" s="543"/>
      <c r="FC11" s="543"/>
      <c r="FD11" s="543"/>
      <c r="FE11" s="543"/>
      <c r="FF11" s="543"/>
      <c r="FG11" s="543"/>
      <c r="FH11" s="543"/>
      <c r="FI11" s="543"/>
      <c r="FJ11" s="543"/>
      <c r="FK11" s="543"/>
      <c r="FL11" s="543"/>
      <c r="FM11" s="543"/>
      <c r="FN11" s="543"/>
      <c r="FO11" s="543"/>
      <c r="FP11" s="543"/>
      <c r="FQ11" s="543"/>
      <c r="FR11" s="543"/>
      <c r="FS11" s="543"/>
      <c r="FT11" s="543"/>
      <c r="FU11" s="543"/>
      <c r="FV11" s="543"/>
      <c r="FW11" s="543"/>
      <c r="FX11" s="543"/>
      <c r="FY11" s="543"/>
      <c r="FZ11" s="543"/>
      <c r="GA11" s="543"/>
      <c r="GB11" s="543"/>
      <c r="GC11" s="543"/>
      <c r="GD11" s="543"/>
      <c r="GE11" s="543"/>
      <c r="GF11" s="543"/>
      <c r="GG11" s="543"/>
      <c r="GH11" s="543"/>
      <c r="GI11" s="543"/>
      <c r="GJ11" s="543"/>
      <c r="GK11" s="543"/>
      <c r="GL11" s="543"/>
      <c r="GM11" s="543"/>
      <c r="GN11" s="543"/>
      <c r="GO11" s="543"/>
      <c r="GP11" s="543"/>
      <c r="GQ11" s="543"/>
      <c r="GR11" s="543"/>
      <c r="GS11" s="543"/>
      <c r="GT11" s="543"/>
      <c r="GU11" s="543"/>
      <c r="GV11" s="543"/>
      <c r="GW11" s="543"/>
      <c r="GX11" s="543"/>
      <c r="GY11" s="543"/>
      <c r="GZ11" s="543"/>
      <c r="HA11" s="543"/>
      <c r="HB11" s="543"/>
      <c r="HC11" s="543"/>
      <c r="HD11" s="543"/>
      <c r="HE11" s="543"/>
      <c r="HF11" s="543"/>
      <c r="HG11" s="543"/>
      <c r="HH11" s="543"/>
      <c r="HI11" s="543"/>
      <c r="HJ11" s="543"/>
      <c r="HK11" s="543"/>
      <c r="HL11" s="543"/>
      <c r="HM11" s="543"/>
      <c r="HN11" s="543"/>
      <c r="HO11" s="543"/>
      <c r="HP11" s="543"/>
      <c r="HQ11" s="543"/>
      <c r="HR11" s="543"/>
      <c r="HS11" s="543"/>
      <c r="HT11" s="543"/>
      <c r="HU11" s="543"/>
      <c r="HV11" s="543"/>
      <c r="HW11" s="543"/>
      <c r="HX11" s="543"/>
      <c r="HY11" s="543"/>
      <c r="HZ11" s="543"/>
      <c r="IA11" s="543"/>
      <c r="IB11" s="543"/>
      <c r="IC11" s="543"/>
      <c r="ID11" s="543"/>
      <c r="IE11" s="543"/>
      <c r="IF11" s="543"/>
      <c r="IG11" s="543"/>
      <c r="IH11" s="543"/>
      <c r="II11" s="543"/>
      <c r="IJ11" s="543"/>
      <c r="IK11" s="543"/>
      <c r="IL11" s="543"/>
      <c r="IM11" s="543"/>
      <c r="IN11" s="543"/>
      <c r="IO11" s="543"/>
      <c r="IP11" s="543"/>
      <c r="IQ11" s="543"/>
      <c r="IR11" s="543"/>
      <c r="IS11" s="543"/>
      <c r="IT11" s="543"/>
      <c r="IU11" s="543"/>
    </row>
    <row r="12" spans="1:255">
      <c r="A12" s="555"/>
      <c r="B12" s="555"/>
      <c r="C12" s="557"/>
      <c r="D12" s="557"/>
      <c r="E12" s="557"/>
      <c r="F12" s="557"/>
      <c r="G12" s="557"/>
      <c r="H12" s="557"/>
      <c r="I12" s="557"/>
      <c r="J12" s="557"/>
      <c r="K12" s="557"/>
      <c r="L12" s="557"/>
      <c r="M12" s="557"/>
      <c r="N12" s="557"/>
      <c r="O12" s="557"/>
      <c r="P12" s="557"/>
      <c r="Q12" s="557"/>
      <c r="R12" s="557"/>
      <c r="S12" s="557"/>
      <c r="T12" s="557"/>
      <c r="U12" s="557"/>
      <c r="V12" s="557"/>
      <c r="W12" s="543"/>
      <c r="X12" s="543"/>
      <c r="Y12" s="543"/>
      <c r="Z12" s="543"/>
      <c r="AA12" s="543"/>
      <c r="AB12" s="543"/>
      <c r="AC12" s="543"/>
      <c r="AD12" s="543"/>
      <c r="AE12" s="543"/>
      <c r="AF12" s="543"/>
      <c r="AG12" s="543"/>
      <c r="AH12" s="543"/>
      <c r="AI12" s="543"/>
      <c r="AJ12" s="543"/>
      <c r="AK12" s="543"/>
      <c r="AL12" s="543"/>
      <c r="AM12" s="543"/>
      <c r="AN12" s="543"/>
      <c r="AO12" s="543"/>
      <c r="AP12" s="543"/>
      <c r="AQ12" s="543"/>
      <c r="AR12" s="543"/>
      <c r="AS12" s="543"/>
      <c r="AT12" s="543"/>
      <c r="AU12" s="543"/>
      <c r="AV12" s="543"/>
      <c r="AW12" s="543"/>
      <c r="AX12" s="543"/>
      <c r="AY12" s="543"/>
      <c r="AZ12" s="543"/>
      <c r="BA12" s="543"/>
      <c r="BB12" s="543"/>
      <c r="BC12" s="543"/>
      <c r="BD12" s="543"/>
      <c r="BE12" s="543"/>
      <c r="BF12" s="543"/>
      <c r="BG12" s="543"/>
      <c r="BH12" s="543"/>
      <c r="BI12" s="543"/>
      <c r="BJ12" s="543"/>
      <c r="BK12" s="543"/>
      <c r="BL12" s="543"/>
      <c r="BM12" s="543"/>
      <c r="BN12" s="543"/>
      <c r="BO12" s="543"/>
      <c r="BP12" s="543"/>
      <c r="BQ12" s="543"/>
      <c r="BR12" s="543"/>
      <c r="BS12" s="543"/>
      <c r="BT12" s="543"/>
      <c r="BU12" s="543"/>
      <c r="BV12" s="543"/>
      <c r="BW12" s="543"/>
      <c r="BX12" s="543"/>
      <c r="BY12" s="543"/>
      <c r="BZ12" s="543"/>
      <c r="CA12" s="543"/>
      <c r="CB12" s="543"/>
      <c r="CC12" s="543"/>
      <c r="CD12" s="543"/>
      <c r="CE12" s="543"/>
      <c r="CF12" s="543"/>
      <c r="CG12" s="543"/>
      <c r="CH12" s="543"/>
      <c r="CI12" s="543"/>
      <c r="CJ12" s="543"/>
      <c r="CK12" s="543"/>
      <c r="CL12" s="543"/>
      <c r="CM12" s="543"/>
      <c r="CN12" s="543"/>
      <c r="CO12" s="543"/>
      <c r="CP12" s="543"/>
      <c r="CQ12" s="543"/>
      <c r="CR12" s="543"/>
      <c r="CS12" s="543"/>
      <c r="CT12" s="543"/>
      <c r="CU12" s="543"/>
      <c r="CV12" s="543"/>
      <c r="CW12" s="543"/>
      <c r="CX12" s="543"/>
      <c r="CY12" s="543"/>
      <c r="CZ12" s="543"/>
      <c r="DA12" s="543"/>
      <c r="DB12" s="543"/>
      <c r="DC12" s="543"/>
      <c r="DD12" s="543"/>
      <c r="DE12" s="543"/>
      <c r="DF12" s="543"/>
      <c r="DG12" s="543"/>
      <c r="DH12" s="543"/>
      <c r="DI12" s="543"/>
      <c r="DJ12" s="543"/>
      <c r="DK12" s="543"/>
      <c r="DL12" s="543"/>
      <c r="DM12" s="543"/>
      <c r="DN12" s="543"/>
      <c r="DO12" s="543"/>
      <c r="DP12" s="543"/>
      <c r="DQ12" s="543"/>
      <c r="DR12" s="543"/>
      <c r="DS12" s="543"/>
      <c r="DT12" s="543"/>
      <c r="DU12" s="543"/>
      <c r="DV12" s="543"/>
      <c r="DW12" s="543"/>
      <c r="DX12" s="543"/>
      <c r="DY12" s="543"/>
      <c r="DZ12" s="543"/>
      <c r="EA12" s="543"/>
      <c r="EB12" s="543"/>
      <c r="EC12" s="543"/>
      <c r="ED12" s="543"/>
      <c r="EE12" s="543"/>
      <c r="EF12" s="543"/>
      <c r="EG12" s="543"/>
      <c r="EH12" s="543"/>
      <c r="EI12" s="543"/>
      <c r="EJ12" s="543"/>
      <c r="EK12" s="543"/>
      <c r="EL12" s="543"/>
      <c r="EM12" s="543"/>
      <c r="EN12" s="543"/>
      <c r="EO12" s="543"/>
      <c r="EP12" s="543"/>
      <c r="EQ12" s="543"/>
      <c r="ER12" s="543"/>
      <c r="ES12" s="543"/>
      <c r="ET12" s="543"/>
      <c r="EU12" s="543"/>
      <c r="EV12" s="543"/>
      <c r="EW12" s="543"/>
      <c r="EX12" s="543"/>
      <c r="EY12" s="543"/>
      <c r="EZ12" s="543"/>
      <c r="FA12" s="543"/>
      <c r="FB12" s="543"/>
      <c r="FC12" s="543"/>
      <c r="FD12" s="543"/>
      <c r="FE12" s="543"/>
      <c r="FF12" s="543"/>
      <c r="FG12" s="543"/>
      <c r="FH12" s="543"/>
      <c r="FI12" s="543"/>
      <c r="FJ12" s="543"/>
      <c r="FK12" s="543"/>
      <c r="FL12" s="543"/>
      <c r="FM12" s="543"/>
      <c r="FN12" s="543"/>
      <c r="FO12" s="543"/>
      <c r="FP12" s="543"/>
      <c r="FQ12" s="543"/>
      <c r="FR12" s="543"/>
      <c r="FS12" s="543"/>
      <c r="FT12" s="543"/>
      <c r="FU12" s="543"/>
      <c r="FV12" s="543"/>
      <c r="FW12" s="543"/>
      <c r="FX12" s="543"/>
      <c r="FY12" s="543"/>
      <c r="FZ12" s="543"/>
      <c r="GA12" s="543"/>
      <c r="GB12" s="543"/>
      <c r="GC12" s="543"/>
      <c r="GD12" s="543"/>
      <c r="GE12" s="543"/>
      <c r="GF12" s="543"/>
      <c r="GG12" s="543"/>
      <c r="GH12" s="543"/>
      <c r="GI12" s="543"/>
      <c r="GJ12" s="543"/>
      <c r="GK12" s="543"/>
      <c r="GL12" s="543"/>
      <c r="GM12" s="543"/>
      <c r="GN12" s="543"/>
      <c r="GO12" s="543"/>
      <c r="GP12" s="543"/>
      <c r="GQ12" s="543"/>
      <c r="GR12" s="543"/>
      <c r="GS12" s="543"/>
      <c r="GT12" s="543"/>
      <c r="GU12" s="543"/>
      <c r="GV12" s="543"/>
      <c r="GW12" s="543"/>
      <c r="GX12" s="543"/>
      <c r="GY12" s="543"/>
      <c r="GZ12" s="543"/>
      <c r="HA12" s="543"/>
      <c r="HB12" s="543"/>
      <c r="HC12" s="543"/>
      <c r="HD12" s="543"/>
      <c r="HE12" s="543"/>
      <c r="HF12" s="543"/>
      <c r="HG12" s="543"/>
      <c r="HH12" s="543"/>
      <c r="HI12" s="543"/>
      <c r="HJ12" s="543"/>
      <c r="HK12" s="543"/>
      <c r="HL12" s="543"/>
      <c r="HM12" s="543"/>
      <c r="HN12" s="543"/>
      <c r="HO12" s="543"/>
      <c r="HP12" s="543"/>
      <c r="HQ12" s="543"/>
      <c r="HR12" s="543"/>
      <c r="HS12" s="543"/>
      <c r="HT12" s="543"/>
      <c r="HU12" s="543"/>
      <c r="HV12" s="543"/>
      <c r="HW12" s="543"/>
      <c r="HX12" s="543"/>
      <c r="HY12" s="543"/>
      <c r="HZ12" s="543"/>
      <c r="IA12" s="543"/>
      <c r="IB12" s="543"/>
      <c r="IC12" s="543"/>
      <c r="ID12" s="543"/>
      <c r="IE12" s="543"/>
      <c r="IF12" s="543"/>
      <c r="IG12" s="543"/>
      <c r="IH12" s="543"/>
      <c r="II12" s="543"/>
      <c r="IJ12" s="543"/>
      <c r="IK12" s="543"/>
      <c r="IL12" s="543"/>
      <c r="IM12" s="543"/>
      <c r="IN12" s="543"/>
      <c r="IO12" s="543"/>
      <c r="IP12" s="543"/>
      <c r="IQ12" s="543"/>
      <c r="IR12" s="543"/>
      <c r="IS12" s="543"/>
      <c r="IT12" s="543"/>
      <c r="IU12" s="543"/>
    </row>
    <row r="13" spans="1:255">
      <c r="A13" s="555" t="s">
        <v>299</v>
      </c>
      <c r="B13" s="555"/>
      <c r="C13" s="557">
        <f t="shared" ref="C13:V13" ca="1" si="0">C9-C11</f>
        <v>227.58122213476781</v>
      </c>
      <c r="D13" s="557">
        <f t="shared" ca="1" si="0"/>
        <v>1856.152150585076</v>
      </c>
      <c r="E13" s="557">
        <f t="shared" ca="1" si="0"/>
        <v>2313.9162274602222</v>
      </c>
      <c r="F13" s="557">
        <f t="shared" ca="1" si="0"/>
        <v>5038.9704415491724</v>
      </c>
      <c r="G13" s="557">
        <f t="shared" ca="1" si="0"/>
        <v>6916.7951137586897</v>
      </c>
      <c r="H13" s="557">
        <f t="shared" ca="1" si="0"/>
        <v>2066.8369329091965</v>
      </c>
      <c r="I13" s="557">
        <f t="shared" ca="1" si="0"/>
        <v>9811.6346220604464</v>
      </c>
      <c r="J13" s="557">
        <f t="shared" ca="1" si="0"/>
        <v>17957.9752204291</v>
      </c>
      <c r="K13" s="557">
        <f t="shared" ca="1" si="0"/>
        <v>18822.665771907577</v>
      </c>
      <c r="L13" s="557">
        <f t="shared" ca="1" si="0"/>
        <v>17164.711552699675</v>
      </c>
      <c r="M13" s="557">
        <f t="shared" ca="1" si="0"/>
        <v>18337.189193978891</v>
      </c>
      <c r="N13" s="557">
        <f t="shared" ca="1" si="0"/>
        <v>17176.784971266225</v>
      </c>
      <c r="O13" s="557">
        <f t="shared" ca="1" si="0"/>
        <v>16622.991698704347</v>
      </c>
      <c r="P13" s="557">
        <f t="shared" ca="1" si="0"/>
        <v>14173.149450867466</v>
      </c>
      <c r="Q13" s="557">
        <f t="shared" ca="1" si="0"/>
        <v>20227.902669753657</v>
      </c>
      <c r="R13" s="557">
        <f t="shared" ca="1" si="0"/>
        <v>31083.136108647457</v>
      </c>
      <c r="S13" s="557">
        <f t="shared" ca="1" si="0"/>
        <v>41829.660304694822</v>
      </c>
      <c r="T13" s="557">
        <f t="shared" ca="1" si="0"/>
        <v>43147.502218510686</v>
      </c>
      <c r="U13" s="557">
        <f t="shared" ca="1" si="0"/>
        <v>47211.470944122899</v>
      </c>
      <c r="V13" s="557">
        <f t="shared" ca="1" si="0"/>
        <v>39041.084308702535</v>
      </c>
      <c r="W13" s="543"/>
      <c r="X13" s="543"/>
      <c r="Y13" s="543"/>
      <c r="Z13" s="543"/>
      <c r="AA13" s="543"/>
      <c r="AB13" s="543"/>
      <c r="AC13" s="543"/>
      <c r="AD13" s="543"/>
      <c r="AE13" s="543"/>
      <c r="AF13" s="543"/>
      <c r="AG13" s="543"/>
      <c r="AH13" s="543"/>
      <c r="AI13" s="543"/>
      <c r="AJ13" s="543"/>
      <c r="AK13" s="543"/>
      <c r="AL13" s="543"/>
      <c r="AM13" s="543"/>
      <c r="AN13" s="543"/>
      <c r="AO13" s="543"/>
      <c r="AP13" s="543"/>
      <c r="AQ13" s="543"/>
      <c r="AR13" s="543"/>
      <c r="AS13" s="543"/>
      <c r="AT13" s="543"/>
      <c r="AU13" s="543"/>
      <c r="AV13" s="543"/>
      <c r="AW13" s="543"/>
      <c r="AX13" s="543"/>
      <c r="AY13" s="543"/>
      <c r="AZ13" s="543"/>
      <c r="BA13" s="543"/>
      <c r="BB13" s="543"/>
      <c r="BC13" s="543"/>
      <c r="BD13" s="543"/>
      <c r="BE13" s="543"/>
      <c r="BF13" s="543"/>
      <c r="BG13" s="543"/>
      <c r="BH13" s="543"/>
      <c r="BI13" s="543"/>
      <c r="BJ13" s="543"/>
      <c r="BK13" s="543"/>
      <c r="BL13" s="543"/>
      <c r="BM13" s="543"/>
      <c r="BN13" s="543"/>
      <c r="BO13" s="543"/>
      <c r="BP13" s="543"/>
      <c r="BQ13" s="543"/>
      <c r="BR13" s="543"/>
      <c r="BS13" s="543"/>
      <c r="BT13" s="543"/>
      <c r="BU13" s="543"/>
      <c r="BV13" s="543"/>
      <c r="BW13" s="543"/>
      <c r="BX13" s="543"/>
      <c r="BY13" s="543"/>
      <c r="BZ13" s="543"/>
      <c r="CA13" s="543"/>
      <c r="CB13" s="543"/>
      <c r="CC13" s="543"/>
      <c r="CD13" s="543"/>
      <c r="CE13" s="543"/>
      <c r="CF13" s="543"/>
      <c r="CG13" s="543"/>
      <c r="CH13" s="543"/>
      <c r="CI13" s="543"/>
      <c r="CJ13" s="543"/>
      <c r="CK13" s="543"/>
      <c r="CL13" s="543"/>
      <c r="CM13" s="543"/>
      <c r="CN13" s="543"/>
      <c r="CO13" s="543"/>
      <c r="CP13" s="543"/>
      <c r="CQ13" s="543"/>
      <c r="CR13" s="543"/>
      <c r="CS13" s="543"/>
      <c r="CT13" s="543"/>
      <c r="CU13" s="543"/>
      <c r="CV13" s="543"/>
      <c r="CW13" s="543"/>
      <c r="CX13" s="543"/>
      <c r="CY13" s="543"/>
      <c r="CZ13" s="543"/>
      <c r="DA13" s="543"/>
      <c r="DB13" s="543"/>
      <c r="DC13" s="543"/>
      <c r="DD13" s="543"/>
      <c r="DE13" s="543"/>
      <c r="DF13" s="543"/>
      <c r="DG13" s="543"/>
      <c r="DH13" s="543"/>
      <c r="DI13" s="543"/>
      <c r="DJ13" s="543"/>
      <c r="DK13" s="543"/>
      <c r="DL13" s="543"/>
      <c r="DM13" s="543"/>
      <c r="DN13" s="543"/>
      <c r="DO13" s="543"/>
      <c r="DP13" s="543"/>
      <c r="DQ13" s="543"/>
      <c r="DR13" s="543"/>
      <c r="DS13" s="543"/>
      <c r="DT13" s="543"/>
      <c r="DU13" s="543"/>
      <c r="DV13" s="543"/>
      <c r="DW13" s="543"/>
      <c r="DX13" s="543"/>
      <c r="DY13" s="543"/>
      <c r="DZ13" s="543"/>
      <c r="EA13" s="543"/>
      <c r="EB13" s="543"/>
      <c r="EC13" s="543"/>
      <c r="ED13" s="543"/>
      <c r="EE13" s="543"/>
      <c r="EF13" s="543"/>
      <c r="EG13" s="543"/>
      <c r="EH13" s="543"/>
      <c r="EI13" s="543"/>
      <c r="EJ13" s="543"/>
      <c r="EK13" s="543"/>
      <c r="EL13" s="543"/>
      <c r="EM13" s="543"/>
      <c r="EN13" s="543"/>
      <c r="EO13" s="543"/>
      <c r="EP13" s="543"/>
      <c r="EQ13" s="543"/>
      <c r="ER13" s="543"/>
      <c r="ES13" s="543"/>
      <c r="ET13" s="543"/>
      <c r="EU13" s="543"/>
      <c r="EV13" s="543"/>
      <c r="EW13" s="543"/>
      <c r="EX13" s="543"/>
      <c r="EY13" s="543"/>
      <c r="EZ13" s="543"/>
      <c r="FA13" s="543"/>
      <c r="FB13" s="543"/>
      <c r="FC13" s="543"/>
      <c r="FD13" s="543"/>
      <c r="FE13" s="543"/>
      <c r="FF13" s="543"/>
      <c r="FG13" s="543"/>
      <c r="FH13" s="543"/>
      <c r="FI13" s="543"/>
      <c r="FJ13" s="543"/>
      <c r="FK13" s="543"/>
      <c r="FL13" s="543"/>
      <c r="FM13" s="543"/>
      <c r="FN13" s="543"/>
      <c r="FO13" s="543"/>
      <c r="FP13" s="543"/>
      <c r="FQ13" s="543"/>
      <c r="FR13" s="543"/>
      <c r="FS13" s="543"/>
      <c r="FT13" s="543"/>
      <c r="FU13" s="543"/>
      <c r="FV13" s="543"/>
      <c r="FW13" s="543"/>
      <c r="FX13" s="543"/>
      <c r="FY13" s="543"/>
      <c r="FZ13" s="543"/>
      <c r="GA13" s="543"/>
      <c r="GB13" s="543"/>
      <c r="GC13" s="543"/>
      <c r="GD13" s="543"/>
      <c r="GE13" s="543"/>
      <c r="GF13" s="543"/>
      <c r="GG13" s="543"/>
      <c r="GH13" s="543"/>
      <c r="GI13" s="543"/>
      <c r="GJ13" s="543"/>
      <c r="GK13" s="543"/>
      <c r="GL13" s="543"/>
      <c r="GM13" s="543"/>
      <c r="GN13" s="543"/>
      <c r="GO13" s="543"/>
      <c r="GP13" s="543"/>
      <c r="GQ13" s="543"/>
      <c r="GR13" s="543"/>
      <c r="GS13" s="543"/>
      <c r="GT13" s="543"/>
      <c r="GU13" s="543"/>
      <c r="GV13" s="543"/>
      <c r="GW13" s="543"/>
      <c r="GX13" s="543"/>
      <c r="GY13" s="543"/>
      <c r="GZ13" s="543"/>
      <c r="HA13" s="543"/>
      <c r="HB13" s="543"/>
      <c r="HC13" s="543"/>
      <c r="HD13" s="543"/>
      <c r="HE13" s="543"/>
      <c r="HF13" s="543"/>
      <c r="HG13" s="543"/>
      <c r="HH13" s="543"/>
      <c r="HI13" s="543"/>
      <c r="HJ13" s="543"/>
      <c r="HK13" s="543"/>
      <c r="HL13" s="543"/>
      <c r="HM13" s="543"/>
      <c r="HN13" s="543"/>
      <c r="HO13" s="543"/>
      <c r="HP13" s="543"/>
      <c r="HQ13" s="543"/>
      <c r="HR13" s="543"/>
      <c r="HS13" s="543"/>
      <c r="HT13" s="543"/>
      <c r="HU13" s="543"/>
      <c r="HV13" s="543"/>
      <c r="HW13" s="543"/>
      <c r="HX13" s="543"/>
      <c r="HY13" s="543"/>
      <c r="HZ13" s="543"/>
      <c r="IA13" s="543"/>
      <c r="IB13" s="543"/>
      <c r="IC13" s="543"/>
      <c r="ID13" s="543"/>
      <c r="IE13" s="543"/>
      <c r="IF13" s="543"/>
      <c r="IG13" s="543"/>
      <c r="IH13" s="543"/>
      <c r="II13" s="543"/>
      <c r="IJ13" s="543"/>
      <c r="IK13" s="543"/>
      <c r="IL13" s="543"/>
      <c r="IM13" s="543"/>
      <c r="IN13" s="543"/>
      <c r="IO13" s="543"/>
      <c r="IP13" s="543"/>
      <c r="IQ13" s="543"/>
      <c r="IR13" s="543"/>
      <c r="IS13" s="543"/>
      <c r="IT13" s="543"/>
      <c r="IU13" s="543"/>
    </row>
    <row r="14" spans="1:255">
      <c r="A14" s="555" t="s">
        <v>377</v>
      </c>
      <c r="B14" s="558"/>
      <c r="C14" s="559">
        <f>IF(C5='ASSUM 1'!$M$39,+CSHFLO!C13*'ASSUM 1'!$N$39,C13*'ASSUM 1'!$N$40)</f>
        <v>325.51323265238909</v>
      </c>
      <c r="D14" s="559">
        <f ca="1">IF(D5='ASSUM 1'!$M$39,+CSHFLO!D13*'ASSUM 1'!$N$39,D13*'ASSUM 1'!$N$40)</f>
        <v>111.36912903510456</v>
      </c>
      <c r="E14" s="559">
        <f ca="1">IF(E5='ASSUM 1'!$M$39,+CSHFLO!E13*'ASSUM 1'!$N$39,E13*'ASSUM 1'!$N$40)</f>
        <v>138.83497364761334</v>
      </c>
      <c r="F14" s="559">
        <f ca="1">IF(F5='ASSUM 1'!$M$39,+CSHFLO!F13*'ASSUM 1'!$N$39,F13*'ASSUM 1'!$N$40)</f>
        <v>302.33822649295035</v>
      </c>
      <c r="G14" s="559">
        <f ca="1">IF(G5='ASSUM 1'!$M$39,+CSHFLO!G13*'ASSUM 1'!$N$39,G13*'ASSUM 1'!$N$40)</f>
        <v>415.00770682552138</v>
      </c>
      <c r="H14" s="559">
        <f ca="1">IF(H5='ASSUM 1'!$M$39,+CSHFLO!H13*'ASSUM 1'!$N$39,H13*'ASSUM 1'!$N$40)</f>
        <v>124.01021597455178</v>
      </c>
      <c r="I14" s="559">
        <f ca="1">IF(I5='ASSUM 1'!$M$39,+CSHFLO!I13*'ASSUM 1'!$N$39,I13*'ASSUM 1'!$N$40)</f>
        <v>588.69807732362676</v>
      </c>
      <c r="J14" s="559">
        <f ca="1">IF(J5='ASSUM 1'!$M$39,+CSHFLO!J13*'ASSUM 1'!$N$39,J13*'ASSUM 1'!$N$40)</f>
        <v>1077.4785132257459</v>
      </c>
      <c r="K14" s="559">
        <f ca="1">IF(K5='ASSUM 1'!$M$39,+CSHFLO!K13*'ASSUM 1'!$N$39,K13*'ASSUM 1'!$N$40)</f>
        <v>1129.3599463144546</v>
      </c>
      <c r="L14" s="559">
        <f ca="1">IF(L5='ASSUM 1'!$M$39,+CSHFLO!L13*'ASSUM 1'!$N$39,L13*'ASSUM 1'!$N$40)</f>
        <v>1029.8826931619806</v>
      </c>
      <c r="M14" s="559">
        <f ca="1">IF(M5='ASSUM 1'!$M$39,+CSHFLO!M13*'ASSUM 1'!$N$39,M13*'ASSUM 1'!$N$40)</f>
        <v>1100.2313516387335</v>
      </c>
      <c r="N14" s="559">
        <f ca="1">IF(N5='ASSUM 1'!$M$39,+CSHFLO!N13*'ASSUM 1'!$N$39,N13*'ASSUM 1'!$N$40)</f>
        <v>1030.6070982759734</v>
      </c>
      <c r="O14" s="559">
        <f ca="1">IF(O5='ASSUM 1'!$M$39,+CSHFLO!O13*'ASSUM 1'!$N$39,O13*'ASSUM 1'!$N$40)</f>
        <v>997.37950192226083</v>
      </c>
      <c r="P14" s="559">
        <f ca="1">IF(P5='ASSUM 1'!$M$39,+CSHFLO!P13*'ASSUM 1'!$N$39,P13*'ASSUM 1'!$N$40)</f>
        <v>850.38896705204797</v>
      </c>
      <c r="Q14" s="559">
        <f ca="1">IF(Q5='ASSUM 1'!$M$39,+CSHFLO!Q13*'ASSUM 1'!$N$39,Q13*'ASSUM 1'!$N$40)</f>
        <v>1213.6741601852193</v>
      </c>
      <c r="R14" s="559">
        <f ca="1">IF(R5='ASSUM 1'!$M$39,+CSHFLO!R13*'ASSUM 1'!$N$39,R13*'ASSUM 1'!$N$40)</f>
        <v>1864.9881665188473</v>
      </c>
      <c r="S14" s="559">
        <f ca="1">IF(S5='ASSUM 1'!$M$39,+CSHFLO!S13*'ASSUM 1'!$N$39,S13*'ASSUM 1'!$N$40)</f>
        <v>2509.7796182816892</v>
      </c>
      <c r="T14" s="559">
        <f ca="1">IF(T5='ASSUM 1'!$M$39,+CSHFLO!T13*'ASSUM 1'!$N$39,T13*'ASSUM 1'!$N$40)</f>
        <v>2588.8501331106413</v>
      </c>
      <c r="U14" s="559">
        <f ca="1">IF(U5='ASSUM 1'!$M$39,+CSHFLO!U13*'ASSUM 1'!$N$39,U13*'ASSUM 1'!$N$40)</f>
        <v>2832.6882566473737</v>
      </c>
      <c r="V14" s="559">
        <f ca="1">IF(V5='ASSUM 1'!$M$39,+CSHFLO!V13*'ASSUM 1'!$N$39,V13*'ASSUM 1'!$N$40)</f>
        <v>2342.465058522152</v>
      </c>
      <c r="W14" s="543"/>
      <c r="X14" s="543"/>
      <c r="Y14" s="543"/>
      <c r="Z14" s="543"/>
      <c r="AA14" s="543"/>
      <c r="AB14" s="543"/>
      <c r="AC14" s="543"/>
      <c r="AD14" s="543"/>
      <c r="AE14" s="543"/>
      <c r="AF14" s="543"/>
      <c r="AG14" s="543"/>
      <c r="AH14" s="543"/>
      <c r="AI14" s="543"/>
      <c r="AJ14" s="543"/>
      <c r="AK14" s="543"/>
      <c r="AL14" s="543"/>
      <c r="AM14" s="543"/>
      <c r="AN14" s="543"/>
      <c r="AO14" s="543"/>
      <c r="AP14" s="543"/>
      <c r="AQ14" s="543"/>
      <c r="AR14" s="543"/>
      <c r="AS14" s="543"/>
      <c r="AT14" s="543"/>
      <c r="AU14" s="543"/>
      <c r="AV14" s="543"/>
      <c r="AW14" s="543"/>
      <c r="AX14" s="543"/>
      <c r="AY14" s="543"/>
      <c r="AZ14" s="543"/>
      <c r="BA14" s="543"/>
      <c r="BB14" s="543"/>
      <c r="BC14" s="543"/>
      <c r="BD14" s="543"/>
      <c r="BE14" s="543"/>
      <c r="BF14" s="543"/>
      <c r="BG14" s="543"/>
      <c r="BH14" s="543"/>
      <c r="BI14" s="543"/>
      <c r="BJ14" s="543"/>
      <c r="BK14" s="543"/>
      <c r="BL14" s="543"/>
      <c r="BM14" s="543"/>
      <c r="BN14" s="543"/>
      <c r="BO14" s="543"/>
      <c r="BP14" s="543"/>
      <c r="BQ14" s="543"/>
      <c r="BR14" s="543"/>
      <c r="BS14" s="543"/>
      <c r="BT14" s="543"/>
      <c r="BU14" s="543"/>
      <c r="BV14" s="543"/>
      <c r="BW14" s="543"/>
      <c r="BX14" s="543"/>
      <c r="BY14" s="543"/>
      <c r="BZ14" s="543"/>
      <c r="CA14" s="543"/>
      <c r="CB14" s="543"/>
      <c r="CC14" s="543"/>
      <c r="CD14" s="543"/>
      <c r="CE14" s="543"/>
      <c r="CF14" s="543"/>
      <c r="CG14" s="543"/>
      <c r="CH14" s="543"/>
      <c r="CI14" s="543"/>
      <c r="CJ14" s="543"/>
      <c r="CK14" s="543"/>
      <c r="CL14" s="543"/>
      <c r="CM14" s="543"/>
      <c r="CN14" s="543"/>
      <c r="CO14" s="543"/>
      <c r="CP14" s="543"/>
      <c r="CQ14" s="543"/>
      <c r="CR14" s="543"/>
      <c r="CS14" s="543"/>
      <c r="CT14" s="543"/>
      <c r="CU14" s="543"/>
      <c r="CV14" s="543"/>
      <c r="CW14" s="543"/>
      <c r="CX14" s="543"/>
      <c r="CY14" s="543"/>
      <c r="CZ14" s="543"/>
      <c r="DA14" s="543"/>
      <c r="DB14" s="543"/>
      <c r="DC14" s="543"/>
      <c r="DD14" s="543"/>
      <c r="DE14" s="543"/>
      <c r="DF14" s="543"/>
      <c r="DG14" s="543"/>
      <c r="DH14" s="543"/>
      <c r="DI14" s="543"/>
      <c r="DJ14" s="543"/>
      <c r="DK14" s="543"/>
      <c r="DL14" s="543"/>
      <c r="DM14" s="543"/>
      <c r="DN14" s="543"/>
      <c r="DO14" s="543"/>
      <c r="DP14" s="543"/>
      <c r="DQ14" s="543"/>
      <c r="DR14" s="543"/>
      <c r="DS14" s="543"/>
      <c r="DT14" s="543"/>
      <c r="DU14" s="543"/>
      <c r="DV14" s="543"/>
      <c r="DW14" s="543"/>
      <c r="DX14" s="543"/>
      <c r="DY14" s="543"/>
      <c r="DZ14" s="543"/>
      <c r="EA14" s="543"/>
      <c r="EB14" s="543"/>
      <c r="EC14" s="543"/>
      <c r="ED14" s="543"/>
      <c r="EE14" s="543"/>
      <c r="EF14" s="543"/>
      <c r="EG14" s="543"/>
      <c r="EH14" s="543"/>
      <c r="EI14" s="543"/>
      <c r="EJ14" s="543"/>
      <c r="EK14" s="543"/>
      <c r="EL14" s="543"/>
      <c r="EM14" s="543"/>
      <c r="EN14" s="543"/>
      <c r="EO14" s="543"/>
      <c r="EP14" s="543"/>
      <c r="EQ14" s="543"/>
      <c r="ER14" s="543"/>
      <c r="ES14" s="543"/>
      <c r="ET14" s="543"/>
      <c r="EU14" s="543"/>
      <c r="EV14" s="543"/>
      <c r="EW14" s="543"/>
      <c r="EX14" s="543"/>
      <c r="EY14" s="543"/>
      <c r="EZ14" s="543"/>
      <c r="FA14" s="543"/>
      <c r="FB14" s="543"/>
      <c r="FC14" s="543"/>
      <c r="FD14" s="543"/>
      <c r="FE14" s="543"/>
      <c r="FF14" s="543"/>
      <c r="FG14" s="543"/>
      <c r="FH14" s="543"/>
      <c r="FI14" s="543"/>
      <c r="FJ14" s="543"/>
      <c r="FK14" s="543"/>
      <c r="FL14" s="543"/>
      <c r="FM14" s="543"/>
      <c r="FN14" s="543"/>
      <c r="FO14" s="543"/>
      <c r="FP14" s="543"/>
      <c r="FQ14" s="543"/>
      <c r="FR14" s="543"/>
      <c r="FS14" s="543"/>
      <c r="FT14" s="543"/>
      <c r="FU14" s="543"/>
      <c r="FV14" s="543"/>
      <c r="FW14" s="543"/>
      <c r="FX14" s="543"/>
      <c r="FY14" s="543"/>
      <c r="FZ14" s="543"/>
      <c r="GA14" s="543"/>
      <c r="GB14" s="543"/>
      <c r="GC14" s="543"/>
      <c r="GD14" s="543"/>
      <c r="GE14" s="543"/>
      <c r="GF14" s="543"/>
      <c r="GG14" s="543"/>
      <c r="GH14" s="543"/>
      <c r="GI14" s="543"/>
      <c r="GJ14" s="543"/>
      <c r="GK14" s="543"/>
      <c r="GL14" s="543"/>
      <c r="GM14" s="543"/>
      <c r="GN14" s="543"/>
      <c r="GO14" s="543"/>
      <c r="GP14" s="543"/>
      <c r="GQ14" s="543"/>
      <c r="GR14" s="543"/>
      <c r="GS14" s="543"/>
      <c r="GT14" s="543"/>
      <c r="GU14" s="543"/>
      <c r="GV14" s="543"/>
      <c r="GW14" s="543"/>
      <c r="GX14" s="543"/>
      <c r="GY14" s="543"/>
      <c r="GZ14" s="543"/>
      <c r="HA14" s="543"/>
      <c r="HB14" s="543"/>
      <c r="HC14" s="543"/>
      <c r="HD14" s="543"/>
      <c r="HE14" s="543"/>
      <c r="HF14" s="543"/>
      <c r="HG14" s="543"/>
      <c r="HH14" s="543"/>
      <c r="HI14" s="543"/>
      <c r="HJ14" s="543"/>
      <c r="HK14" s="543"/>
      <c r="HL14" s="543"/>
      <c r="HM14" s="543"/>
      <c r="HN14" s="543"/>
      <c r="HO14" s="543"/>
      <c r="HP14" s="543"/>
      <c r="HQ14" s="543"/>
      <c r="HR14" s="543"/>
      <c r="HS14" s="543"/>
      <c r="HT14" s="543"/>
      <c r="HU14" s="543"/>
      <c r="HV14" s="543"/>
      <c r="HW14" s="543"/>
      <c r="HX14" s="543"/>
      <c r="HY14" s="543"/>
      <c r="HZ14" s="543"/>
      <c r="IA14" s="543"/>
      <c r="IB14" s="543"/>
      <c r="IC14" s="543"/>
      <c r="ID14" s="543"/>
      <c r="IE14" s="543"/>
      <c r="IF14" s="543"/>
      <c r="IG14" s="543"/>
      <c r="IH14" s="543"/>
      <c r="II14" s="543"/>
      <c r="IJ14" s="543"/>
      <c r="IK14" s="543"/>
      <c r="IL14" s="543"/>
      <c r="IM14" s="543"/>
      <c r="IN14" s="543"/>
      <c r="IO14" s="543"/>
      <c r="IP14" s="543"/>
      <c r="IQ14" s="543"/>
      <c r="IR14" s="543"/>
      <c r="IS14" s="543"/>
      <c r="IT14" s="543"/>
      <c r="IU14" s="543"/>
    </row>
    <row r="15" spans="1:255">
      <c r="A15" s="555" t="s">
        <v>378</v>
      </c>
      <c r="B15" s="555"/>
      <c r="C15" s="557">
        <f t="shared" ref="C15:V15" ca="1" si="1">C13-C14</f>
        <v>-97.932010517621279</v>
      </c>
      <c r="D15" s="557">
        <f t="shared" ca="1" si="1"/>
        <v>1744.7830215499714</v>
      </c>
      <c r="E15" s="557">
        <f t="shared" ca="1" si="1"/>
        <v>2175.0812538126088</v>
      </c>
      <c r="F15" s="557">
        <f t="shared" ca="1" si="1"/>
        <v>4736.6322150562219</v>
      </c>
      <c r="G15" s="557">
        <f t="shared" ca="1" si="1"/>
        <v>6501.7874069331683</v>
      </c>
      <c r="H15" s="557">
        <f t="shared" ca="1" si="1"/>
        <v>1942.8267169346448</v>
      </c>
      <c r="I15" s="557">
        <f t="shared" ca="1" si="1"/>
        <v>9222.93654473682</v>
      </c>
      <c r="J15" s="557">
        <f t="shared" ca="1" si="1"/>
        <v>16880.496707203354</v>
      </c>
      <c r="K15" s="557">
        <f t="shared" ca="1" si="1"/>
        <v>17693.305825593125</v>
      </c>
      <c r="L15" s="557">
        <f t="shared" ca="1" si="1"/>
        <v>16134.828859537694</v>
      </c>
      <c r="M15" s="557">
        <f t="shared" ca="1" si="1"/>
        <v>17236.957842340158</v>
      </c>
      <c r="N15" s="557">
        <f t="shared" ca="1" si="1"/>
        <v>16146.177872990251</v>
      </c>
      <c r="O15" s="557">
        <f t="shared" ca="1" si="1"/>
        <v>15625.612196782085</v>
      </c>
      <c r="P15" s="557">
        <f t="shared" ca="1" si="1"/>
        <v>13322.760483815418</v>
      </c>
      <c r="Q15" s="557">
        <f t="shared" ca="1" si="1"/>
        <v>19014.228509568438</v>
      </c>
      <c r="R15" s="557">
        <f t="shared" ca="1" si="1"/>
        <v>29218.147942128609</v>
      </c>
      <c r="S15" s="557">
        <f t="shared" ca="1" si="1"/>
        <v>39319.880686413133</v>
      </c>
      <c r="T15" s="557">
        <f t="shared" ca="1" si="1"/>
        <v>40558.652085400048</v>
      </c>
      <c r="U15" s="557">
        <f t="shared" ca="1" si="1"/>
        <v>44378.782687475526</v>
      </c>
      <c r="V15" s="557">
        <f t="shared" ca="1" si="1"/>
        <v>36698.619250180382</v>
      </c>
      <c r="W15" s="543"/>
      <c r="X15" s="543"/>
      <c r="Y15" s="543"/>
      <c r="Z15" s="543"/>
      <c r="AA15" s="543"/>
      <c r="AB15" s="543"/>
      <c r="AC15" s="543"/>
      <c r="AD15" s="543"/>
      <c r="AE15" s="543"/>
      <c r="AF15" s="543"/>
      <c r="AG15" s="543"/>
      <c r="AH15" s="543"/>
      <c r="AI15" s="543"/>
      <c r="AJ15" s="543"/>
      <c r="AK15" s="543"/>
      <c r="AL15" s="543"/>
      <c r="AM15" s="543"/>
      <c r="AN15" s="543"/>
      <c r="AO15" s="543"/>
      <c r="AP15" s="543"/>
      <c r="AQ15" s="543"/>
      <c r="AR15" s="543"/>
      <c r="AS15" s="543"/>
      <c r="AT15" s="543"/>
      <c r="AU15" s="543"/>
      <c r="AV15" s="543"/>
      <c r="AW15" s="543"/>
      <c r="AX15" s="543"/>
      <c r="AY15" s="543"/>
      <c r="AZ15" s="543"/>
      <c r="BA15" s="543"/>
      <c r="BB15" s="543"/>
      <c r="BC15" s="543"/>
      <c r="BD15" s="543"/>
      <c r="BE15" s="543"/>
      <c r="BF15" s="543"/>
      <c r="BG15" s="543"/>
      <c r="BH15" s="543"/>
      <c r="BI15" s="543"/>
      <c r="BJ15" s="543"/>
      <c r="BK15" s="543"/>
      <c r="BL15" s="543"/>
      <c r="BM15" s="543"/>
      <c r="BN15" s="543"/>
      <c r="BO15" s="543"/>
      <c r="BP15" s="543"/>
      <c r="BQ15" s="543"/>
      <c r="BR15" s="543"/>
      <c r="BS15" s="543"/>
      <c r="BT15" s="543"/>
      <c r="BU15" s="543"/>
      <c r="BV15" s="543"/>
      <c r="BW15" s="543"/>
      <c r="BX15" s="543"/>
      <c r="BY15" s="543"/>
      <c r="BZ15" s="543"/>
      <c r="CA15" s="543"/>
      <c r="CB15" s="543"/>
      <c r="CC15" s="543"/>
      <c r="CD15" s="543"/>
      <c r="CE15" s="543"/>
      <c r="CF15" s="543"/>
      <c r="CG15" s="543"/>
      <c r="CH15" s="543"/>
      <c r="CI15" s="543"/>
      <c r="CJ15" s="543"/>
      <c r="CK15" s="543"/>
      <c r="CL15" s="543"/>
      <c r="CM15" s="543"/>
      <c r="CN15" s="543"/>
      <c r="CO15" s="543"/>
      <c r="CP15" s="543"/>
      <c r="CQ15" s="543"/>
      <c r="CR15" s="543"/>
      <c r="CS15" s="543"/>
      <c r="CT15" s="543"/>
      <c r="CU15" s="543"/>
      <c r="CV15" s="543"/>
      <c r="CW15" s="543"/>
      <c r="CX15" s="543"/>
      <c r="CY15" s="543"/>
      <c r="CZ15" s="543"/>
      <c r="DA15" s="543"/>
      <c r="DB15" s="543"/>
      <c r="DC15" s="543"/>
      <c r="DD15" s="543"/>
      <c r="DE15" s="543"/>
      <c r="DF15" s="543"/>
      <c r="DG15" s="543"/>
      <c r="DH15" s="543"/>
      <c r="DI15" s="543"/>
      <c r="DJ15" s="543"/>
      <c r="DK15" s="543"/>
      <c r="DL15" s="543"/>
      <c r="DM15" s="543"/>
      <c r="DN15" s="543"/>
      <c r="DO15" s="543"/>
      <c r="DP15" s="543"/>
      <c r="DQ15" s="543"/>
      <c r="DR15" s="543"/>
      <c r="DS15" s="543"/>
      <c r="DT15" s="543"/>
      <c r="DU15" s="543"/>
      <c r="DV15" s="543"/>
      <c r="DW15" s="543"/>
      <c r="DX15" s="543"/>
      <c r="DY15" s="543"/>
      <c r="DZ15" s="543"/>
      <c r="EA15" s="543"/>
      <c r="EB15" s="543"/>
      <c r="EC15" s="543"/>
      <c r="ED15" s="543"/>
      <c r="EE15" s="543"/>
      <c r="EF15" s="543"/>
      <c r="EG15" s="543"/>
      <c r="EH15" s="543"/>
      <c r="EI15" s="543"/>
      <c r="EJ15" s="543"/>
      <c r="EK15" s="543"/>
      <c r="EL15" s="543"/>
      <c r="EM15" s="543"/>
      <c r="EN15" s="543"/>
      <c r="EO15" s="543"/>
      <c r="EP15" s="543"/>
      <c r="EQ15" s="543"/>
      <c r="ER15" s="543"/>
      <c r="ES15" s="543"/>
      <c r="ET15" s="543"/>
      <c r="EU15" s="543"/>
      <c r="EV15" s="543"/>
      <c r="EW15" s="543"/>
      <c r="EX15" s="543"/>
      <c r="EY15" s="543"/>
      <c r="EZ15" s="543"/>
      <c r="FA15" s="543"/>
      <c r="FB15" s="543"/>
      <c r="FC15" s="543"/>
      <c r="FD15" s="543"/>
      <c r="FE15" s="543"/>
      <c r="FF15" s="543"/>
      <c r="FG15" s="543"/>
      <c r="FH15" s="543"/>
      <c r="FI15" s="543"/>
      <c r="FJ15" s="543"/>
      <c r="FK15" s="543"/>
      <c r="FL15" s="543"/>
      <c r="FM15" s="543"/>
      <c r="FN15" s="543"/>
      <c r="FO15" s="543"/>
      <c r="FP15" s="543"/>
      <c r="FQ15" s="543"/>
      <c r="FR15" s="543"/>
      <c r="FS15" s="543"/>
      <c r="FT15" s="543"/>
      <c r="FU15" s="543"/>
      <c r="FV15" s="543"/>
      <c r="FW15" s="543"/>
      <c r="FX15" s="543"/>
      <c r="FY15" s="543"/>
      <c r="FZ15" s="543"/>
      <c r="GA15" s="543"/>
      <c r="GB15" s="543"/>
      <c r="GC15" s="543"/>
      <c r="GD15" s="543"/>
      <c r="GE15" s="543"/>
      <c r="GF15" s="543"/>
      <c r="GG15" s="543"/>
      <c r="GH15" s="543"/>
      <c r="GI15" s="543"/>
      <c r="GJ15" s="543"/>
      <c r="GK15" s="543"/>
      <c r="GL15" s="543"/>
      <c r="GM15" s="543"/>
      <c r="GN15" s="543"/>
      <c r="GO15" s="543"/>
      <c r="GP15" s="543"/>
      <c r="GQ15" s="543"/>
      <c r="GR15" s="543"/>
      <c r="GS15" s="543"/>
      <c r="GT15" s="543"/>
      <c r="GU15" s="543"/>
      <c r="GV15" s="543"/>
      <c r="GW15" s="543"/>
      <c r="GX15" s="543"/>
      <c r="GY15" s="543"/>
      <c r="GZ15" s="543"/>
      <c r="HA15" s="543"/>
      <c r="HB15" s="543"/>
      <c r="HC15" s="543"/>
      <c r="HD15" s="543"/>
      <c r="HE15" s="543"/>
      <c r="HF15" s="543"/>
      <c r="HG15" s="543"/>
      <c r="HH15" s="543"/>
      <c r="HI15" s="543"/>
      <c r="HJ15" s="543"/>
      <c r="HK15" s="543"/>
      <c r="HL15" s="543"/>
      <c r="HM15" s="543"/>
      <c r="HN15" s="543"/>
      <c r="HO15" s="543"/>
      <c r="HP15" s="543"/>
      <c r="HQ15" s="543"/>
      <c r="HR15" s="543"/>
      <c r="HS15" s="543"/>
      <c r="HT15" s="543"/>
      <c r="HU15" s="543"/>
      <c r="HV15" s="543"/>
      <c r="HW15" s="543"/>
      <c r="HX15" s="543"/>
      <c r="HY15" s="543"/>
      <c r="HZ15" s="543"/>
      <c r="IA15" s="543"/>
      <c r="IB15" s="543"/>
      <c r="IC15" s="543"/>
      <c r="ID15" s="543"/>
      <c r="IE15" s="543"/>
      <c r="IF15" s="543"/>
      <c r="IG15" s="543"/>
      <c r="IH15" s="543"/>
      <c r="II15" s="543"/>
      <c r="IJ15" s="543"/>
      <c r="IK15" s="543"/>
      <c r="IL15" s="543"/>
      <c r="IM15" s="543"/>
      <c r="IN15" s="543"/>
      <c r="IO15" s="543"/>
      <c r="IP15" s="543"/>
      <c r="IQ15" s="543"/>
      <c r="IR15" s="543"/>
      <c r="IS15" s="543"/>
      <c r="IT15" s="543"/>
      <c r="IU15" s="543"/>
    </row>
    <row r="16" spans="1:255">
      <c r="A16" s="555"/>
      <c r="B16" s="555"/>
      <c r="C16" s="555"/>
      <c r="D16" s="555"/>
      <c r="E16" s="555"/>
      <c r="F16" s="555"/>
      <c r="G16" s="555"/>
      <c r="H16" s="555"/>
      <c r="I16" s="555"/>
      <c r="J16" s="555"/>
      <c r="K16" s="555"/>
      <c r="L16" s="555"/>
      <c r="M16" s="555"/>
      <c r="N16" s="555"/>
      <c r="O16" s="555"/>
      <c r="P16" s="555"/>
      <c r="Q16" s="555"/>
      <c r="R16" s="555"/>
      <c r="S16" s="555"/>
      <c r="T16" s="555"/>
      <c r="U16" s="555"/>
      <c r="V16" s="555"/>
      <c r="W16" s="543"/>
      <c r="X16" s="543"/>
      <c r="Y16" s="543"/>
      <c r="Z16" s="543"/>
      <c r="AA16" s="543"/>
      <c r="AB16" s="543"/>
      <c r="AC16" s="543"/>
      <c r="AD16" s="543"/>
      <c r="AE16" s="543"/>
      <c r="AF16" s="543"/>
      <c r="AG16" s="543"/>
      <c r="AH16" s="543"/>
      <c r="AI16" s="543"/>
      <c r="AJ16" s="543"/>
      <c r="AK16" s="543"/>
      <c r="AL16" s="543"/>
      <c r="AM16" s="543"/>
      <c r="AN16" s="543"/>
      <c r="AO16" s="543"/>
      <c r="AP16" s="543"/>
      <c r="AQ16" s="543"/>
      <c r="AR16" s="543"/>
      <c r="AS16" s="543"/>
      <c r="AT16" s="543"/>
      <c r="AU16" s="543"/>
      <c r="AV16" s="543"/>
      <c r="AW16" s="543"/>
      <c r="AX16" s="543"/>
      <c r="AY16" s="543"/>
      <c r="AZ16" s="543"/>
      <c r="BA16" s="543"/>
      <c r="BB16" s="543"/>
      <c r="BC16" s="543"/>
      <c r="BD16" s="543"/>
      <c r="BE16" s="543"/>
      <c r="BF16" s="543"/>
      <c r="BG16" s="543"/>
      <c r="BH16" s="543"/>
      <c r="BI16" s="543"/>
      <c r="BJ16" s="543"/>
      <c r="BK16" s="543"/>
      <c r="BL16" s="543"/>
      <c r="BM16" s="543"/>
      <c r="BN16" s="543"/>
      <c r="BO16" s="543"/>
      <c r="BP16" s="543"/>
      <c r="BQ16" s="543"/>
      <c r="BR16" s="543"/>
      <c r="BS16" s="543"/>
      <c r="BT16" s="543"/>
      <c r="BU16" s="543"/>
      <c r="BV16" s="543"/>
      <c r="BW16" s="543"/>
      <c r="BX16" s="543"/>
      <c r="BY16" s="543"/>
      <c r="BZ16" s="543"/>
      <c r="CA16" s="543"/>
      <c r="CB16" s="543"/>
      <c r="CC16" s="543"/>
      <c r="CD16" s="543"/>
      <c r="CE16" s="543"/>
      <c r="CF16" s="543"/>
      <c r="CG16" s="543"/>
      <c r="CH16" s="543"/>
      <c r="CI16" s="543"/>
      <c r="CJ16" s="543"/>
      <c r="CK16" s="543"/>
      <c r="CL16" s="543"/>
      <c r="CM16" s="543"/>
      <c r="CN16" s="543"/>
      <c r="CO16" s="543"/>
      <c r="CP16" s="543"/>
      <c r="CQ16" s="543"/>
      <c r="CR16" s="543"/>
      <c r="CS16" s="543"/>
      <c r="CT16" s="543"/>
      <c r="CU16" s="543"/>
      <c r="CV16" s="543"/>
      <c r="CW16" s="543"/>
      <c r="CX16" s="543"/>
      <c r="CY16" s="543"/>
      <c r="CZ16" s="543"/>
      <c r="DA16" s="543"/>
      <c r="DB16" s="543"/>
      <c r="DC16" s="543"/>
      <c r="DD16" s="543"/>
      <c r="DE16" s="543"/>
      <c r="DF16" s="543"/>
      <c r="DG16" s="543"/>
      <c r="DH16" s="543"/>
      <c r="DI16" s="543"/>
      <c r="DJ16" s="543"/>
      <c r="DK16" s="543"/>
      <c r="DL16" s="543"/>
      <c r="DM16" s="543"/>
      <c r="DN16" s="543"/>
      <c r="DO16" s="543"/>
      <c r="DP16" s="543"/>
      <c r="DQ16" s="543"/>
      <c r="DR16" s="543"/>
      <c r="DS16" s="543"/>
      <c r="DT16" s="543"/>
      <c r="DU16" s="543"/>
      <c r="DV16" s="543"/>
      <c r="DW16" s="543"/>
      <c r="DX16" s="543"/>
      <c r="DY16" s="543"/>
      <c r="DZ16" s="543"/>
      <c r="EA16" s="543"/>
      <c r="EB16" s="543"/>
      <c r="EC16" s="543"/>
      <c r="ED16" s="543"/>
      <c r="EE16" s="543"/>
      <c r="EF16" s="543"/>
      <c r="EG16" s="543"/>
      <c r="EH16" s="543"/>
      <c r="EI16" s="543"/>
      <c r="EJ16" s="543"/>
      <c r="EK16" s="543"/>
      <c r="EL16" s="543"/>
      <c r="EM16" s="543"/>
      <c r="EN16" s="543"/>
      <c r="EO16" s="543"/>
      <c r="EP16" s="543"/>
      <c r="EQ16" s="543"/>
      <c r="ER16" s="543"/>
      <c r="ES16" s="543"/>
      <c r="ET16" s="543"/>
      <c r="EU16" s="543"/>
      <c r="EV16" s="543"/>
      <c r="EW16" s="543"/>
      <c r="EX16" s="543"/>
      <c r="EY16" s="543"/>
      <c r="EZ16" s="543"/>
      <c r="FA16" s="543"/>
      <c r="FB16" s="543"/>
      <c r="FC16" s="543"/>
      <c r="FD16" s="543"/>
      <c r="FE16" s="543"/>
      <c r="FF16" s="543"/>
      <c r="FG16" s="543"/>
      <c r="FH16" s="543"/>
      <c r="FI16" s="543"/>
      <c r="FJ16" s="543"/>
      <c r="FK16" s="543"/>
      <c r="FL16" s="543"/>
      <c r="FM16" s="543"/>
      <c r="FN16" s="543"/>
      <c r="FO16" s="543"/>
      <c r="FP16" s="543"/>
      <c r="FQ16" s="543"/>
      <c r="FR16" s="543"/>
      <c r="FS16" s="543"/>
      <c r="FT16" s="543"/>
      <c r="FU16" s="543"/>
      <c r="FV16" s="543"/>
      <c r="FW16" s="543"/>
      <c r="FX16" s="543"/>
      <c r="FY16" s="543"/>
      <c r="FZ16" s="543"/>
      <c r="GA16" s="543"/>
      <c r="GB16" s="543"/>
      <c r="GC16" s="543"/>
      <c r="GD16" s="543"/>
      <c r="GE16" s="543"/>
      <c r="GF16" s="543"/>
      <c r="GG16" s="543"/>
      <c r="GH16" s="543"/>
      <c r="GI16" s="543"/>
      <c r="GJ16" s="543"/>
      <c r="GK16" s="543"/>
      <c r="GL16" s="543"/>
      <c r="GM16" s="543"/>
      <c r="GN16" s="543"/>
      <c r="GO16" s="543"/>
      <c r="GP16" s="543"/>
      <c r="GQ16" s="543"/>
      <c r="GR16" s="543"/>
      <c r="GS16" s="543"/>
      <c r="GT16" s="543"/>
      <c r="GU16" s="543"/>
      <c r="GV16" s="543"/>
      <c r="GW16" s="543"/>
      <c r="GX16" s="543"/>
      <c r="GY16" s="543"/>
      <c r="GZ16" s="543"/>
      <c r="HA16" s="543"/>
      <c r="HB16" s="543"/>
      <c r="HC16" s="543"/>
      <c r="HD16" s="543"/>
      <c r="HE16" s="543"/>
      <c r="HF16" s="543"/>
      <c r="HG16" s="543"/>
      <c r="HH16" s="543"/>
      <c r="HI16" s="543"/>
      <c r="HJ16" s="543"/>
      <c r="HK16" s="543"/>
      <c r="HL16" s="543"/>
      <c r="HM16" s="543"/>
      <c r="HN16" s="543"/>
      <c r="HO16" s="543"/>
      <c r="HP16" s="543"/>
      <c r="HQ16" s="543"/>
      <c r="HR16" s="543"/>
      <c r="HS16" s="543"/>
      <c r="HT16" s="543"/>
      <c r="HU16" s="543"/>
      <c r="HV16" s="543"/>
      <c r="HW16" s="543"/>
      <c r="HX16" s="543"/>
      <c r="HY16" s="543"/>
      <c r="HZ16" s="543"/>
      <c r="IA16" s="543"/>
      <c r="IB16" s="543"/>
      <c r="IC16" s="543"/>
      <c r="ID16" s="543"/>
      <c r="IE16" s="543"/>
      <c r="IF16" s="543"/>
      <c r="IG16" s="543"/>
      <c r="IH16" s="543"/>
      <c r="II16" s="543"/>
      <c r="IJ16" s="543"/>
      <c r="IK16" s="543"/>
      <c r="IL16" s="543"/>
      <c r="IM16" s="543"/>
      <c r="IN16" s="543"/>
      <c r="IO16" s="543"/>
      <c r="IP16" s="543"/>
      <c r="IQ16" s="543"/>
      <c r="IR16" s="543"/>
      <c r="IS16" s="543"/>
      <c r="IT16" s="543"/>
      <c r="IU16" s="543"/>
    </row>
    <row r="17" spans="1:255">
      <c r="A17" s="560" t="s">
        <v>379</v>
      </c>
      <c r="B17" s="555"/>
      <c r="C17" s="555"/>
      <c r="D17" s="555"/>
      <c r="E17" s="555"/>
      <c r="F17" s="555"/>
      <c r="G17" s="555"/>
      <c r="H17" s="555"/>
      <c r="I17" s="555"/>
      <c r="J17" s="555"/>
      <c r="K17" s="555"/>
      <c r="L17" s="555"/>
      <c r="M17" s="555"/>
      <c r="N17" s="555"/>
      <c r="O17" s="555"/>
      <c r="P17" s="555"/>
      <c r="Q17" s="555"/>
      <c r="R17" s="555"/>
      <c r="S17" s="555"/>
      <c r="T17" s="555"/>
      <c r="U17" s="555"/>
      <c r="V17" s="555"/>
      <c r="W17" s="543"/>
      <c r="X17" s="543"/>
      <c r="Y17" s="543"/>
      <c r="Z17" s="543"/>
      <c r="AA17" s="543"/>
      <c r="AB17" s="543"/>
      <c r="AC17" s="543"/>
      <c r="AD17" s="543"/>
      <c r="AE17" s="543"/>
      <c r="AF17" s="543"/>
      <c r="AG17" s="543"/>
      <c r="AH17" s="543"/>
      <c r="AI17" s="543"/>
      <c r="AJ17" s="543"/>
      <c r="AK17" s="543"/>
      <c r="AL17" s="543"/>
      <c r="AM17" s="543"/>
      <c r="AN17" s="543"/>
      <c r="AO17" s="543"/>
      <c r="AP17" s="543"/>
      <c r="AQ17" s="543"/>
      <c r="AR17" s="543"/>
      <c r="AS17" s="543"/>
      <c r="AT17" s="543"/>
      <c r="AU17" s="543"/>
      <c r="AV17" s="543"/>
      <c r="AW17" s="543"/>
      <c r="AX17" s="543"/>
      <c r="AY17" s="543"/>
      <c r="AZ17" s="543"/>
      <c r="BA17" s="543"/>
      <c r="BB17" s="543"/>
      <c r="BC17" s="543"/>
      <c r="BD17" s="543"/>
      <c r="BE17" s="543"/>
      <c r="BF17" s="543"/>
      <c r="BG17" s="543"/>
      <c r="BH17" s="543"/>
      <c r="BI17" s="543"/>
      <c r="BJ17" s="543"/>
      <c r="BK17" s="543"/>
      <c r="BL17" s="543"/>
      <c r="BM17" s="543"/>
      <c r="BN17" s="543"/>
      <c r="BO17" s="543"/>
      <c r="BP17" s="543"/>
      <c r="BQ17" s="543"/>
      <c r="BR17" s="543"/>
      <c r="BS17" s="543"/>
      <c r="BT17" s="543"/>
      <c r="BU17" s="543"/>
      <c r="BV17" s="543"/>
      <c r="BW17" s="543"/>
      <c r="BX17" s="543"/>
      <c r="BY17" s="543"/>
      <c r="BZ17" s="543"/>
      <c r="CA17" s="543"/>
      <c r="CB17" s="543"/>
      <c r="CC17" s="543"/>
      <c r="CD17" s="543"/>
      <c r="CE17" s="543"/>
      <c r="CF17" s="543"/>
      <c r="CG17" s="543"/>
      <c r="CH17" s="543"/>
      <c r="CI17" s="543"/>
      <c r="CJ17" s="543"/>
      <c r="CK17" s="543"/>
      <c r="CL17" s="543"/>
      <c r="CM17" s="543"/>
      <c r="CN17" s="543"/>
      <c r="CO17" s="543"/>
      <c r="CP17" s="543"/>
      <c r="CQ17" s="543"/>
      <c r="CR17" s="543"/>
      <c r="CS17" s="543"/>
      <c r="CT17" s="543"/>
      <c r="CU17" s="543"/>
      <c r="CV17" s="543"/>
      <c r="CW17" s="543"/>
      <c r="CX17" s="543"/>
      <c r="CY17" s="543"/>
      <c r="CZ17" s="543"/>
      <c r="DA17" s="543"/>
      <c r="DB17" s="543"/>
      <c r="DC17" s="543"/>
      <c r="DD17" s="543"/>
      <c r="DE17" s="543"/>
      <c r="DF17" s="543"/>
      <c r="DG17" s="543"/>
      <c r="DH17" s="543"/>
      <c r="DI17" s="543"/>
      <c r="DJ17" s="543"/>
      <c r="DK17" s="543"/>
      <c r="DL17" s="543"/>
      <c r="DM17" s="543"/>
      <c r="DN17" s="543"/>
      <c r="DO17" s="543"/>
      <c r="DP17" s="543"/>
      <c r="DQ17" s="543"/>
      <c r="DR17" s="543"/>
      <c r="DS17" s="543"/>
      <c r="DT17" s="543"/>
      <c r="DU17" s="543"/>
      <c r="DV17" s="543"/>
      <c r="DW17" s="543"/>
      <c r="DX17" s="543"/>
      <c r="DY17" s="543"/>
      <c r="DZ17" s="543"/>
      <c r="EA17" s="543"/>
      <c r="EB17" s="543"/>
      <c r="EC17" s="543"/>
      <c r="ED17" s="543"/>
      <c r="EE17" s="543"/>
      <c r="EF17" s="543"/>
      <c r="EG17" s="543"/>
      <c r="EH17" s="543"/>
      <c r="EI17" s="543"/>
      <c r="EJ17" s="543"/>
      <c r="EK17" s="543"/>
      <c r="EL17" s="543"/>
      <c r="EM17" s="543"/>
      <c r="EN17" s="543"/>
      <c r="EO17" s="543"/>
      <c r="EP17" s="543"/>
      <c r="EQ17" s="543"/>
      <c r="ER17" s="543"/>
      <c r="ES17" s="543"/>
      <c r="ET17" s="543"/>
      <c r="EU17" s="543"/>
      <c r="EV17" s="543"/>
      <c r="EW17" s="543"/>
      <c r="EX17" s="543"/>
      <c r="EY17" s="543"/>
      <c r="EZ17" s="543"/>
      <c r="FA17" s="543"/>
      <c r="FB17" s="543"/>
      <c r="FC17" s="543"/>
      <c r="FD17" s="543"/>
      <c r="FE17" s="543"/>
      <c r="FF17" s="543"/>
      <c r="FG17" s="543"/>
      <c r="FH17" s="543"/>
      <c r="FI17" s="543"/>
      <c r="FJ17" s="543"/>
      <c r="FK17" s="543"/>
      <c r="FL17" s="543"/>
      <c r="FM17" s="543"/>
      <c r="FN17" s="543"/>
      <c r="FO17" s="543"/>
      <c r="FP17" s="543"/>
      <c r="FQ17" s="543"/>
      <c r="FR17" s="543"/>
      <c r="FS17" s="543"/>
      <c r="FT17" s="543"/>
      <c r="FU17" s="543"/>
      <c r="FV17" s="543"/>
      <c r="FW17" s="543"/>
      <c r="FX17" s="543"/>
      <c r="FY17" s="543"/>
      <c r="FZ17" s="543"/>
      <c r="GA17" s="543"/>
      <c r="GB17" s="543"/>
      <c r="GC17" s="543"/>
      <c r="GD17" s="543"/>
      <c r="GE17" s="543"/>
      <c r="GF17" s="543"/>
      <c r="GG17" s="543"/>
      <c r="GH17" s="543"/>
      <c r="GI17" s="543"/>
      <c r="GJ17" s="543"/>
      <c r="GK17" s="543"/>
      <c r="GL17" s="543"/>
      <c r="GM17" s="543"/>
      <c r="GN17" s="543"/>
      <c r="GO17" s="543"/>
      <c r="GP17" s="543"/>
      <c r="GQ17" s="543"/>
      <c r="GR17" s="543"/>
      <c r="GS17" s="543"/>
      <c r="GT17" s="543"/>
      <c r="GU17" s="543"/>
      <c r="GV17" s="543"/>
      <c r="GW17" s="543"/>
      <c r="GX17" s="543"/>
      <c r="GY17" s="543"/>
      <c r="GZ17" s="543"/>
      <c r="HA17" s="543"/>
      <c r="HB17" s="543"/>
      <c r="HC17" s="543"/>
      <c r="HD17" s="543"/>
      <c r="HE17" s="543"/>
      <c r="HF17" s="543"/>
      <c r="HG17" s="543"/>
      <c r="HH17" s="543"/>
      <c r="HI17" s="543"/>
      <c r="HJ17" s="543"/>
      <c r="HK17" s="543"/>
      <c r="HL17" s="543"/>
      <c r="HM17" s="543"/>
      <c r="HN17" s="543"/>
      <c r="HO17" s="543"/>
      <c r="HP17" s="543"/>
      <c r="HQ17" s="543"/>
      <c r="HR17" s="543"/>
      <c r="HS17" s="543"/>
      <c r="HT17" s="543"/>
      <c r="HU17" s="543"/>
      <c r="HV17" s="543"/>
      <c r="HW17" s="543"/>
      <c r="HX17" s="543"/>
      <c r="HY17" s="543"/>
      <c r="HZ17" s="543"/>
      <c r="IA17" s="543"/>
      <c r="IB17" s="543"/>
      <c r="IC17" s="543"/>
      <c r="ID17" s="543"/>
      <c r="IE17" s="543"/>
      <c r="IF17" s="543"/>
      <c r="IG17" s="543"/>
      <c r="IH17" s="543"/>
      <c r="II17" s="543"/>
      <c r="IJ17" s="543"/>
      <c r="IK17" s="543"/>
      <c r="IL17" s="543"/>
      <c r="IM17" s="543"/>
      <c r="IN17" s="543"/>
      <c r="IO17" s="543"/>
      <c r="IP17" s="543"/>
      <c r="IQ17" s="543"/>
      <c r="IR17" s="543"/>
      <c r="IS17" s="543"/>
      <c r="IT17" s="543"/>
      <c r="IU17" s="543"/>
    </row>
    <row r="18" spans="1:255">
      <c r="A18" s="543" t="s">
        <v>380</v>
      </c>
      <c r="B18" s="555"/>
      <c r="C18" s="561">
        <v>0</v>
      </c>
      <c r="D18" s="561">
        <f t="shared" ref="D18:V18" ca="1" si="2">C21</f>
        <v>97.932010517621279</v>
      </c>
      <c r="E18" s="561">
        <f t="shared" ca="1" si="2"/>
        <v>0</v>
      </c>
      <c r="F18" s="561">
        <f t="shared" ca="1" si="2"/>
        <v>0</v>
      </c>
      <c r="G18" s="561">
        <f t="shared" ca="1" si="2"/>
        <v>0</v>
      </c>
      <c r="H18" s="561">
        <f t="shared" ca="1" si="2"/>
        <v>0</v>
      </c>
      <c r="I18" s="561">
        <f t="shared" ca="1" si="2"/>
        <v>0</v>
      </c>
      <c r="J18" s="561">
        <f t="shared" ca="1" si="2"/>
        <v>0</v>
      </c>
      <c r="K18" s="561">
        <f t="shared" ca="1" si="2"/>
        <v>0</v>
      </c>
      <c r="L18" s="561">
        <f t="shared" ca="1" si="2"/>
        <v>0</v>
      </c>
      <c r="M18" s="561">
        <f t="shared" ca="1" si="2"/>
        <v>0</v>
      </c>
      <c r="N18" s="561">
        <f t="shared" ca="1" si="2"/>
        <v>0</v>
      </c>
      <c r="O18" s="561">
        <f t="shared" ca="1" si="2"/>
        <v>0</v>
      </c>
      <c r="P18" s="561">
        <f t="shared" ca="1" si="2"/>
        <v>0</v>
      </c>
      <c r="Q18" s="561">
        <f t="shared" ca="1" si="2"/>
        <v>0</v>
      </c>
      <c r="R18" s="561">
        <f t="shared" ca="1" si="2"/>
        <v>0</v>
      </c>
      <c r="S18" s="561">
        <f t="shared" ca="1" si="2"/>
        <v>0</v>
      </c>
      <c r="T18" s="561">
        <f t="shared" ca="1" si="2"/>
        <v>0</v>
      </c>
      <c r="U18" s="561">
        <f t="shared" ca="1" si="2"/>
        <v>0</v>
      </c>
      <c r="V18" s="561">
        <f t="shared" ca="1" si="2"/>
        <v>0</v>
      </c>
      <c r="W18" s="543"/>
      <c r="X18" s="543"/>
      <c r="Y18" s="543"/>
      <c r="Z18" s="543"/>
      <c r="AA18" s="543"/>
      <c r="AB18" s="543"/>
      <c r="AC18" s="543"/>
      <c r="AD18" s="543"/>
      <c r="AE18" s="543"/>
      <c r="AF18" s="543"/>
      <c r="AG18" s="543"/>
      <c r="AH18" s="543"/>
      <c r="AI18" s="543"/>
      <c r="AJ18" s="543"/>
      <c r="AK18" s="543"/>
      <c r="AL18" s="543"/>
      <c r="AM18" s="543"/>
      <c r="AN18" s="543"/>
      <c r="AO18" s="543"/>
      <c r="AP18" s="543"/>
      <c r="AQ18" s="543"/>
      <c r="AR18" s="543"/>
      <c r="AS18" s="543"/>
      <c r="AT18" s="543"/>
      <c r="AU18" s="543"/>
      <c r="AV18" s="543"/>
      <c r="AW18" s="543"/>
      <c r="AX18" s="543"/>
      <c r="AY18" s="543"/>
      <c r="AZ18" s="543"/>
      <c r="BA18" s="543"/>
      <c r="BB18" s="543"/>
      <c r="BC18" s="543"/>
      <c r="BD18" s="543"/>
      <c r="BE18" s="543"/>
      <c r="BF18" s="543"/>
      <c r="BG18" s="543"/>
      <c r="BH18" s="543"/>
      <c r="BI18" s="543"/>
      <c r="BJ18" s="543"/>
      <c r="BK18" s="543"/>
      <c r="BL18" s="543"/>
      <c r="BM18" s="543"/>
      <c r="BN18" s="543"/>
      <c r="BO18" s="543"/>
      <c r="BP18" s="543"/>
      <c r="BQ18" s="543"/>
      <c r="BR18" s="543"/>
      <c r="BS18" s="543"/>
      <c r="BT18" s="543"/>
      <c r="BU18" s="543"/>
      <c r="BV18" s="543"/>
      <c r="BW18" s="543"/>
      <c r="BX18" s="543"/>
      <c r="BY18" s="543"/>
      <c r="BZ18" s="543"/>
      <c r="CA18" s="543"/>
      <c r="CB18" s="543"/>
      <c r="CC18" s="543"/>
      <c r="CD18" s="543"/>
      <c r="CE18" s="543"/>
      <c r="CF18" s="543"/>
      <c r="CG18" s="543"/>
      <c r="CH18" s="543"/>
      <c r="CI18" s="543"/>
      <c r="CJ18" s="543"/>
      <c r="CK18" s="543"/>
      <c r="CL18" s="543"/>
      <c r="CM18" s="543"/>
      <c r="CN18" s="543"/>
      <c r="CO18" s="543"/>
      <c r="CP18" s="543"/>
      <c r="CQ18" s="543"/>
      <c r="CR18" s="543"/>
      <c r="CS18" s="543"/>
      <c r="CT18" s="543"/>
      <c r="CU18" s="543"/>
      <c r="CV18" s="543"/>
      <c r="CW18" s="543"/>
      <c r="CX18" s="543"/>
      <c r="CY18" s="543"/>
      <c r="CZ18" s="543"/>
      <c r="DA18" s="543"/>
      <c r="DB18" s="543"/>
      <c r="DC18" s="543"/>
      <c r="DD18" s="543"/>
      <c r="DE18" s="543"/>
      <c r="DF18" s="543"/>
      <c r="DG18" s="543"/>
      <c r="DH18" s="543"/>
      <c r="DI18" s="543"/>
      <c r="DJ18" s="543"/>
      <c r="DK18" s="543"/>
      <c r="DL18" s="543"/>
      <c r="DM18" s="543"/>
      <c r="DN18" s="543"/>
      <c r="DO18" s="543"/>
      <c r="DP18" s="543"/>
      <c r="DQ18" s="543"/>
      <c r="DR18" s="543"/>
      <c r="DS18" s="543"/>
      <c r="DT18" s="543"/>
      <c r="DU18" s="543"/>
      <c r="DV18" s="543"/>
      <c r="DW18" s="543"/>
      <c r="DX18" s="543"/>
      <c r="DY18" s="543"/>
      <c r="DZ18" s="543"/>
      <c r="EA18" s="543"/>
      <c r="EB18" s="543"/>
      <c r="EC18" s="543"/>
      <c r="ED18" s="543"/>
      <c r="EE18" s="543"/>
      <c r="EF18" s="543"/>
      <c r="EG18" s="543"/>
      <c r="EH18" s="543"/>
      <c r="EI18" s="543"/>
      <c r="EJ18" s="543"/>
      <c r="EK18" s="543"/>
      <c r="EL18" s="543"/>
      <c r="EM18" s="543"/>
      <c r="EN18" s="543"/>
      <c r="EO18" s="543"/>
      <c r="EP18" s="543"/>
      <c r="EQ18" s="543"/>
      <c r="ER18" s="543"/>
      <c r="ES18" s="543"/>
      <c r="ET18" s="543"/>
      <c r="EU18" s="543"/>
      <c r="EV18" s="543"/>
      <c r="EW18" s="543"/>
      <c r="EX18" s="543"/>
      <c r="EY18" s="543"/>
      <c r="EZ18" s="543"/>
      <c r="FA18" s="543"/>
      <c r="FB18" s="543"/>
      <c r="FC18" s="543"/>
      <c r="FD18" s="543"/>
      <c r="FE18" s="543"/>
      <c r="FF18" s="543"/>
      <c r="FG18" s="543"/>
      <c r="FH18" s="543"/>
      <c r="FI18" s="543"/>
      <c r="FJ18" s="543"/>
      <c r="FK18" s="543"/>
      <c r="FL18" s="543"/>
      <c r="FM18" s="543"/>
      <c r="FN18" s="543"/>
      <c r="FO18" s="543"/>
      <c r="FP18" s="543"/>
      <c r="FQ18" s="543"/>
      <c r="FR18" s="543"/>
      <c r="FS18" s="543"/>
      <c r="FT18" s="543"/>
      <c r="FU18" s="543"/>
      <c r="FV18" s="543"/>
      <c r="FW18" s="543"/>
      <c r="FX18" s="543"/>
      <c r="FY18" s="543"/>
      <c r="FZ18" s="543"/>
      <c r="GA18" s="543"/>
      <c r="GB18" s="543"/>
      <c r="GC18" s="543"/>
      <c r="GD18" s="543"/>
      <c r="GE18" s="543"/>
      <c r="GF18" s="543"/>
      <c r="GG18" s="543"/>
      <c r="GH18" s="543"/>
      <c r="GI18" s="543"/>
      <c r="GJ18" s="543"/>
      <c r="GK18" s="543"/>
      <c r="GL18" s="543"/>
      <c r="GM18" s="543"/>
      <c r="GN18" s="543"/>
      <c r="GO18" s="543"/>
      <c r="GP18" s="543"/>
      <c r="GQ18" s="543"/>
      <c r="GR18" s="543"/>
      <c r="GS18" s="543"/>
      <c r="GT18" s="543"/>
      <c r="GU18" s="543"/>
      <c r="GV18" s="543"/>
      <c r="GW18" s="543"/>
      <c r="GX18" s="543"/>
      <c r="GY18" s="543"/>
      <c r="GZ18" s="543"/>
      <c r="HA18" s="543"/>
      <c r="HB18" s="543"/>
      <c r="HC18" s="543"/>
      <c r="HD18" s="543"/>
      <c r="HE18" s="543"/>
      <c r="HF18" s="543"/>
      <c r="HG18" s="543"/>
      <c r="HH18" s="543"/>
      <c r="HI18" s="543"/>
      <c r="HJ18" s="543"/>
      <c r="HK18" s="543"/>
      <c r="HL18" s="543"/>
      <c r="HM18" s="543"/>
      <c r="HN18" s="543"/>
      <c r="HO18" s="543"/>
      <c r="HP18" s="543"/>
      <c r="HQ18" s="543"/>
      <c r="HR18" s="543"/>
      <c r="HS18" s="543"/>
      <c r="HT18" s="543"/>
      <c r="HU18" s="543"/>
      <c r="HV18" s="543"/>
      <c r="HW18" s="543"/>
      <c r="HX18" s="543"/>
      <c r="HY18" s="543"/>
      <c r="HZ18" s="543"/>
      <c r="IA18" s="543"/>
      <c r="IB18" s="543"/>
      <c r="IC18" s="543"/>
      <c r="ID18" s="543"/>
      <c r="IE18" s="543"/>
      <c r="IF18" s="543"/>
      <c r="IG18" s="543"/>
      <c r="IH18" s="543"/>
      <c r="II18" s="543"/>
      <c r="IJ18" s="543"/>
      <c r="IK18" s="543"/>
      <c r="IL18" s="543"/>
      <c r="IM18" s="543"/>
      <c r="IN18" s="543"/>
      <c r="IO18" s="543"/>
      <c r="IP18" s="543"/>
      <c r="IQ18" s="543"/>
      <c r="IR18" s="543"/>
      <c r="IS18" s="543"/>
      <c r="IT18" s="543"/>
      <c r="IU18" s="543"/>
    </row>
    <row r="19" spans="1:255">
      <c r="A19" s="543" t="s">
        <v>381</v>
      </c>
      <c r="B19" s="555"/>
      <c r="C19" s="561">
        <f t="shared" ref="C19:V19" ca="1" si="3">IF(C15&lt;0,-C15,0)</f>
        <v>97.932010517621279</v>
      </c>
      <c r="D19" s="561">
        <f t="shared" ca="1" si="3"/>
        <v>0</v>
      </c>
      <c r="E19" s="561">
        <f t="shared" ca="1" si="3"/>
        <v>0</v>
      </c>
      <c r="F19" s="561">
        <f t="shared" ca="1" si="3"/>
        <v>0</v>
      </c>
      <c r="G19" s="561">
        <f t="shared" ca="1" si="3"/>
        <v>0</v>
      </c>
      <c r="H19" s="561">
        <f t="shared" ca="1" si="3"/>
        <v>0</v>
      </c>
      <c r="I19" s="561">
        <f t="shared" ca="1" si="3"/>
        <v>0</v>
      </c>
      <c r="J19" s="561">
        <f t="shared" ca="1" si="3"/>
        <v>0</v>
      </c>
      <c r="K19" s="561">
        <f t="shared" ca="1" si="3"/>
        <v>0</v>
      </c>
      <c r="L19" s="561">
        <f t="shared" ca="1" si="3"/>
        <v>0</v>
      </c>
      <c r="M19" s="561">
        <f t="shared" ca="1" si="3"/>
        <v>0</v>
      </c>
      <c r="N19" s="561">
        <f t="shared" ca="1" si="3"/>
        <v>0</v>
      </c>
      <c r="O19" s="561">
        <f t="shared" ca="1" si="3"/>
        <v>0</v>
      </c>
      <c r="P19" s="561">
        <f t="shared" ca="1" si="3"/>
        <v>0</v>
      </c>
      <c r="Q19" s="561">
        <f t="shared" ca="1" si="3"/>
        <v>0</v>
      </c>
      <c r="R19" s="561">
        <f t="shared" ca="1" si="3"/>
        <v>0</v>
      </c>
      <c r="S19" s="561">
        <f t="shared" ca="1" si="3"/>
        <v>0</v>
      </c>
      <c r="T19" s="561">
        <f t="shared" ca="1" si="3"/>
        <v>0</v>
      </c>
      <c r="U19" s="561">
        <f t="shared" ca="1" si="3"/>
        <v>0</v>
      </c>
      <c r="V19" s="561">
        <f t="shared" ca="1" si="3"/>
        <v>0</v>
      </c>
      <c r="W19" s="543"/>
      <c r="X19" s="543"/>
      <c r="Y19" s="543"/>
      <c r="Z19" s="543"/>
      <c r="AA19" s="543"/>
      <c r="AB19" s="543"/>
      <c r="AC19" s="543"/>
      <c r="AD19" s="543"/>
      <c r="AE19" s="543"/>
      <c r="AF19" s="543"/>
      <c r="AG19" s="543"/>
      <c r="AH19" s="543"/>
      <c r="AI19" s="543"/>
      <c r="AJ19" s="543"/>
      <c r="AK19" s="543"/>
      <c r="AL19" s="543"/>
      <c r="AM19" s="543"/>
      <c r="AN19" s="543"/>
      <c r="AO19" s="543"/>
      <c r="AP19" s="543"/>
      <c r="AQ19" s="543"/>
      <c r="AR19" s="543"/>
      <c r="AS19" s="543"/>
      <c r="AT19" s="543"/>
      <c r="AU19" s="543"/>
      <c r="AV19" s="543"/>
      <c r="AW19" s="543"/>
      <c r="AX19" s="543"/>
      <c r="AY19" s="543"/>
      <c r="AZ19" s="543"/>
      <c r="BA19" s="543"/>
      <c r="BB19" s="543"/>
      <c r="BC19" s="543"/>
      <c r="BD19" s="543"/>
      <c r="BE19" s="543"/>
      <c r="BF19" s="543"/>
      <c r="BG19" s="543"/>
      <c r="BH19" s="543"/>
      <c r="BI19" s="543"/>
      <c r="BJ19" s="543"/>
      <c r="BK19" s="543"/>
      <c r="BL19" s="543"/>
      <c r="BM19" s="543"/>
      <c r="BN19" s="543"/>
      <c r="BO19" s="543"/>
      <c r="BP19" s="543"/>
      <c r="BQ19" s="543"/>
      <c r="BR19" s="543"/>
      <c r="BS19" s="543"/>
      <c r="BT19" s="543"/>
      <c r="BU19" s="543"/>
      <c r="BV19" s="543"/>
      <c r="BW19" s="543"/>
      <c r="BX19" s="543"/>
      <c r="BY19" s="543"/>
      <c r="BZ19" s="543"/>
      <c r="CA19" s="543"/>
      <c r="CB19" s="543"/>
      <c r="CC19" s="543"/>
      <c r="CD19" s="543"/>
      <c r="CE19" s="543"/>
      <c r="CF19" s="543"/>
      <c r="CG19" s="543"/>
      <c r="CH19" s="543"/>
      <c r="CI19" s="543"/>
      <c r="CJ19" s="543"/>
      <c r="CK19" s="543"/>
      <c r="CL19" s="543"/>
      <c r="CM19" s="543"/>
      <c r="CN19" s="543"/>
      <c r="CO19" s="543"/>
      <c r="CP19" s="543"/>
      <c r="CQ19" s="543"/>
      <c r="CR19" s="543"/>
      <c r="CS19" s="543"/>
      <c r="CT19" s="543"/>
      <c r="CU19" s="543"/>
      <c r="CV19" s="543"/>
      <c r="CW19" s="543"/>
      <c r="CX19" s="543"/>
      <c r="CY19" s="543"/>
      <c r="CZ19" s="543"/>
      <c r="DA19" s="543"/>
      <c r="DB19" s="543"/>
      <c r="DC19" s="543"/>
      <c r="DD19" s="543"/>
      <c r="DE19" s="543"/>
      <c r="DF19" s="543"/>
      <c r="DG19" s="543"/>
      <c r="DH19" s="543"/>
      <c r="DI19" s="543"/>
      <c r="DJ19" s="543"/>
      <c r="DK19" s="543"/>
      <c r="DL19" s="543"/>
      <c r="DM19" s="543"/>
      <c r="DN19" s="543"/>
      <c r="DO19" s="543"/>
      <c r="DP19" s="543"/>
      <c r="DQ19" s="543"/>
      <c r="DR19" s="543"/>
      <c r="DS19" s="543"/>
      <c r="DT19" s="543"/>
      <c r="DU19" s="543"/>
      <c r="DV19" s="543"/>
      <c r="DW19" s="543"/>
      <c r="DX19" s="543"/>
      <c r="DY19" s="543"/>
      <c r="DZ19" s="543"/>
      <c r="EA19" s="543"/>
      <c r="EB19" s="543"/>
      <c r="EC19" s="543"/>
      <c r="ED19" s="543"/>
      <c r="EE19" s="543"/>
      <c r="EF19" s="543"/>
      <c r="EG19" s="543"/>
      <c r="EH19" s="543"/>
      <c r="EI19" s="543"/>
      <c r="EJ19" s="543"/>
      <c r="EK19" s="543"/>
      <c r="EL19" s="543"/>
      <c r="EM19" s="543"/>
      <c r="EN19" s="543"/>
      <c r="EO19" s="543"/>
      <c r="EP19" s="543"/>
      <c r="EQ19" s="543"/>
      <c r="ER19" s="543"/>
      <c r="ES19" s="543"/>
      <c r="ET19" s="543"/>
      <c r="EU19" s="543"/>
      <c r="EV19" s="543"/>
      <c r="EW19" s="543"/>
      <c r="EX19" s="543"/>
      <c r="EY19" s="543"/>
      <c r="EZ19" s="543"/>
      <c r="FA19" s="543"/>
      <c r="FB19" s="543"/>
      <c r="FC19" s="543"/>
      <c r="FD19" s="543"/>
      <c r="FE19" s="543"/>
      <c r="FF19" s="543"/>
      <c r="FG19" s="543"/>
      <c r="FH19" s="543"/>
      <c r="FI19" s="543"/>
      <c r="FJ19" s="543"/>
      <c r="FK19" s="543"/>
      <c r="FL19" s="543"/>
      <c r="FM19" s="543"/>
      <c r="FN19" s="543"/>
      <c r="FO19" s="543"/>
      <c r="FP19" s="543"/>
      <c r="FQ19" s="543"/>
      <c r="FR19" s="543"/>
      <c r="FS19" s="543"/>
      <c r="FT19" s="543"/>
      <c r="FU19" s="543"/>
      <c r="FV19" s="543"/>
      <c r="FW19" s="543"/>
      <c r="FX19" s="543"/>
      <c r="FY19" s="543"/>
      <c r="FZ19" s="543"/>
      <c r="GA19" s="543"/>
      <c r="GB19" s="543"/>
      <c r="GC19" s="543"/>
      <c r="GD19" s="543"/>
      <c r="GE19" s="543"/>
      <c r="GF19" s="543"/>
      <c r="GG19" s="543"/>
      <c r="GH19" s="543"/>
      <c r="GI19" s="543"/>
      <c r="GJ19" s="543"/>
      <c r="GK19" s="543"/>
      <c r="GL19" s="543"/>
      <c r="GM19" s="543"/>
      <c r="GN19" s="543"/>
      <c r="GO19" s="543"/>
      <c r="GP19" s="543"/>
      <c r="GQ19" s="543"/>
      <c r="GR19" s="543"/>
      <c r="GS19" s="543"/>
      <c r="GT19" s="543"/>
      <c r="GU19" s="543"/>
      <c r="GV19" s="543"/>
      <c r="GW19" s="543"/>
      <c r="GX19" s="543"/>
      <c r="GY19" s="543"/>
      <c r="GZ19" s="543"/>
      <c r="HA19" s="543"/>
      <c r="HB19" s="543"/>
      <c r="HC19" s="543"/>
      <c r="HD19" s="543"/>
      <c r="HE19" s="543"/>
      <c r="HF19" s="543"/>
      <c r="HG19" s="543"/>
      <c r="HH19" s="543"/>
      <c r="HI19" s="543"/>
      <c r="HJ19" s="543"/>
      <c r="HK19" s="543"/>
      <c r="HL19" s="543"/>
      <c r="HM19" s="543"/>
      <c r="HN19" s="543"/>
      <c r="HO19" s="543"/>
      <c r="HP19" s="543"/>
      <c r="HQ19" s="543"/>
      <c r="HR19" s="543"/>
      <c r="HS19" s="543"/>
      <c r="HT19" s="543"/>
      <c r="HU19" s="543"/>
      <c r="HV19" s="543"/>
      <c r="HW19" s="543"/>
      <c r="HX19" s="543"/>
      <c r="HY19" s="543"/>
      <c r="HZ19" s="543"/>
      <c r="IA19" s="543"/>
      <c r="IB19" s="543"/>
      <c r="IC19" s="543"/>
      <c r="ID19" s="543"/>
      <c r="IE19" s="543"/>
      <c r="IF19" s="543"/>
      <c r="IG19" s="543"/>
      <c r="IH19" s="543"/>
      <c r="II19" s="543"/>
      <c r="IJ19" s="543"/>
      <c r="IK19" s="543"/>
      <c r="IL19" s="543"/>
      <c r="IM19" s="543"/>
      <c r="IN19" s="543"/>
      <c r="IO19" s="543"/>
      <c r="IP19" s="543"/>
      <c r="IQ19" s="543"/>
      <c r="IR19" s="543"/>
      <c r="IS19" s="543"/>
      <c r="IT19" s="543"/>
      <c r="IU19" s="543"/>
    </row>
    <row r="20" spans="1:255">
      <c r="A20" s="543" t="s">
        <v>382</v>
      </c>
      <c r="B20" s="555"/>
      <c r="C20" s="561">
        <f t="shared" ref="C20:V20" ca="1" si="4">IF(C15&lt;0,0,IF(C15&gt;C18,-C18,-C15))</f>
        <v>0</v>
      </c>
      <c r="D20" s="561">
        <f t="shared" ca="1" si="4"/>
        <v>-97.932010517621279</v>
      </c>
      <c r="E20" s="561">
        <f t="shared" ca="1" si="4"/>
        <v>0</v>
      </c>
      <c r="F20" s="561">
        <f t="shared" ca="1" si="4"/>
        <v>0</v>
      </c>
      <c r="G20" s="561">
        <f t="shared" ca="1" si="4"/>
        <v>0</v>
      </c>
      <c r="H20" s="561">
        <f t="shared" ca="1" si="4"/>
        <v>0</v>
      </c>
      <c r="I20" s="561">
        <f t="shared" ca="1" si="4"/>
        <v>0</v>
      </c>
      <c r="J20" s="561">
        <f t="shared" ca="1" si="4"/>
        <v>0</v>
      </c>
      <c r="K20" s="561">
        <f t="shared" ca="1" si="4"/>
        <v>0</v>
      </c>
      <c r="L20" s="561">
        <f t="shared" ca="1" si="4"/>
        <v>0</v>
      </c>
      <c r="M20" s="561">
        <f t="shared" ca="1" si="4"/>
        <v>0</v>
      </c>
      <c r="N20" s="561">
        <f t="shared" ca="1" si="4"/>
        <v>0</v>
      </c>
      <c r="O20" s="561">
        <f t="shared" ca="1" si="4"/>
        <v>0</v>
      </c>
      <c r="P20" s="561">
        <f t="shared" ca="1" si="4"/>
        <v>0</v>
      </c>
      <c r="Q20" s="561">
        <f t="shared" ca="1" si="4"/>
        <v>0</v>
      </c>
      <c r="R20" s="561">
        <f t="shared" ca="1" si="4"/>
        <v>0</v>
      </c>
      <c r="S20" s="561">
        <f t="shared" ca="1" si="4"/>
        <v>0</v>
      </c>
      <c r="T20" s="561">
        <f t="shared" ca="1" si="4"/>
        <v>0</v>
      </c>
      <c r="U20" s="561">
        <f t="shared" ca="1" si="4"/>
        <v>0</v>
      </c>
      <c r="V20" s="561">
        <f t="shared" ca="1" si="4"/>
        <v>0</v>
      </c>
      <c r="W20" s="543"/>
      <c r="X20" s="543"/>
      <c r="Y20" s="543"/>
      <c r="Z20" s="543"/>
      <c r="AA20" s="543"/>
      <c r="AB20" s="543"/>
      <c r="AC20" s="543"/>
      <c r="AD20" s="543"/>
      <c r="AE20" s="543"/>
      <c r="AF20" s="543"/>
      <c r="AG20" s="543"/>
      <c r="AH20" s="543"/>
      <c r="AI20" s="543"/>
      <c r="AJ20" s="543"/>
      <c r="AK20" s="543"/>
      <c r="AL20" s="543"/>
      <c r="AM20" s="543"/>
      <c r="AN20" s="543"/>
      <c r="AO20" s="543"/>
      <c r="AP20" s="543"/>
      <c r="AQ20" s="543"/>
      <c r="AR20" s="543"/>
      <c r="AS20" s="543"/>
      <c r="AT20" s="543"/>
      <c r="AU20" s="543"/>
      <c r="AV20" s="543"/>
      <c r="AW20" s="543"/>
      <c r="AX20" s="543"/>
      <c r="AY20" s="543"/>
      <c r="AZ20" s="543"/>
      <c r="BA20" s="543"/>
      <c r="BB20" s="543"/>
      <c r="BC20" s="543"/>
      <c r="BD20" s="543"/>
      <c r="BE20" s="543"/>
      <c r="BF20" s="543"/>
      <c r="BG20" s="543"/>
      <c r="BH20" s="543"/>
      <c r="BI20" s="543"/>
      <c r="BJ20" s="543"/>
      <c r="BK20" s="543"/>
      <c r="BL20" s="543"/>
      <c r="BM20" s="543"/>
      <c r="BN20" s="543"/>
      <c r="BO20" s="543"/>
      <c r="BP20" s="543"/>
      <c r="BQ20" s="543"/>
      <c r="BR20" s="543"/>
      <c r="BS20" s="543"/>
      <c r="BT20" s="543"/>
      <c r="BU20" s="543"/>
      <c r="BV20" s="543"/>
      <c r="BW20" s="543"/>
      <c r="BX20" s="543"/>
      <c r="BY20" s="543"/>
      <c r="BZ20" s="543"/>
      <c r="CA20" s="543"/>
      <c r="CB20" s="543"/>
      <c r="CC20" s="543"/>
      <c r="CD20" s="543"/>
      <c r="CE20" s="543"/>
      <c r="CF20" s="543"/>
      <c r="CG20" s="543"/>
      <c r="CH20" s="543"/>
      <c r="CI20" s="543"/>
      <c r="CJ20" s="543"/>
      <c r="CK20" s="543"/>
      <c r="CL20" s="543"/>
      <c r="CM20" s="543"/>
      <c r="CN20" s="543"/>
      <c r="CO20" s="543"/>
      <c r="CP20" s="543"/>
      <c r="CQ20" s="543"/>
      <c r="CR20" s="543"/>
      <c r="CS20" s="543"/>
      <c r="CT20" s="543"/>
      <c r="CU20" s="543"/>
      <c r="CV20" s="543"/>
      <c r="CW20" s="543"/>
      <c r="CX20" s="543"/>
      <c r="CY20" s="543"/>
      <c r="CZ20" s="543"/>
      <c r="DA20" s="543"/>
      <c r="DB20" s="543"/>
      <c r="DC20" s="543"/>
      <c r="DD20" s="543"/>
      <c r="DE20" s="543"/>
      <c r="DF20" s="543"/>
      <c r="DG20" s="543"/>
      <c r="DH20" s="543"/>
      <c r="DI20" s="543"/>
      <c r="DJ20" s="543"/>
      <c r="DK20" s="543"/>
      <c r="DL20" s="543"/>
      <c r="DM20" s="543"/>
      <c r="DN20" s="543"/>
      <c r="DO20" s="543"/>
      <c r="DP20" s="543"/>
      <c r="DQ20" s="543"/>
      <c r="DR20" s="543"/>
      <c r="DS20" s="543"/>
      <c r="DT20" s="543"/>
      <c r="DU20" s="543"/>
      <c r="DV20" s="543"/>
      <c r="DW20" s="543"/>
      <c r="DX20" s="543"/>
      <c r="DY20" s="543"/>
      <c r="DZ20" s="543"/>
      <c r="EA20" s="543"/>
      <c r="EB20" s="543"/>
      <c r="EC20" s="543"/>
      <c r="ED20" s="543"/>
      <c r="EE20" s="543"/>
      <c r="EF20" s="543"/>
      <c r="EG20" s="543"/>
      <c r="EH20" s="543"/>
      <c r="EI20" s="543"/>
      <c r="EJ20" s="543"/>
      <c r="EK20" s="543"/>
      <c r="EL20" s="543"/>
      <c r="EM20" s="543"/>
      <c r="EN20" s="543"/>
      <c r="EO20" s="543"/>
      <c r="EP20" s="543"/>
      <c r="EQ20" s="543"/>
      <c r="ER20" s="543"/>
      <c r="ES20" s="543"/>
      <c r="ET20" s="543"/>
      <c r="EU20" s="543"/>
      <c r="EV20" s="543"/>
      <c r="EW20" s="543"/>
      <c r="EX20" s="543"/>
      <c r="EY20" s="543"/>
      <c r="EZ20" s="543"/>
      <c r="FA20" s="543"/>
      <c r="FB20" s="543"/>
      <c r="FC20" s="543"/>
      <c r="FD20" s="543"/>
      <c r="FE20" s="543"/>
      <c r="FF20" s="543"/>
      <c r="FG20" s="543"/>
      <c r="FH20" s="543"/>
      <c r="FI20" s="543"/>
      <c r="FJ20" s="543"/>
      <c r="FK20" s="543"/>
      <c r="FL20" s="543"/>
      <c r="FM20" s="543"/>
      <c r="FN20" s="543"/>
      <c r="FO20" s="543"/>
      <c r="FP20" s="543"/>
      <c r="FQ20" s="543"/>
      <c r="FR20" s="543"/>
      <c r="FS20" s="543"/>
      <c r="FT20" s="543"/>
      <c r="FU20" s="543"/>
      <c r="FV20" s="543"/>
      <c r="FW20" s="543"/>
      <c r="FX20" s="543"/>
      <c r="FY20" s="543"/>
      <c r="FZ20" s="543"/>
      <c r="GA20" s="543"/>
      <c r="GB20" s="543"/>
      <c r="GC20" s="543"/>
      <c r="GD20" s="543"/>
      <c r="GE20" s="543"/>
      <c r="GF20" s="543"/>
      <c r="GG20" s="543"/>
      <c r="GH20" s="543"/>
      <c r="GI20" s="543"/>
      <c r="GJ20" s="543"/>
      <c r="GK20" s="543"/>
      <c r="GL20" s="543"/>
      <c r="GM20" s="543"/>
      <c r="GN20" s="543"/>
      <c r="GO20" s="543"/>
      <c r="GP20" s="543"/>
      <c r="GQ20" s="543"/>
      <c r="GR20" s="543"/>
      <c r="GS20" s="543"/>
      <c r="GT20" s="543"/>
      <c r="GU20" s="543"/>
      <c r="GV20" s="543"/>
      <c r="GW20" s="543"/>
      <c r="GX20" s="543"/>
      <c r="GY20" s="543"/>
      <c r="GZ20" s="543"/>
      <c r="HA20" s="543"/>
      <c r="HB20" s="543"/>
      <c r="HC20" s="543"/>
      <c r="HD20" s="543"/>
      <c r="HE20" s="543"/>
      <c r="HF20" s="543"/>
      <c r="HG20" s="543"/>
      <c r="HH20" s="543"/>
      <c r="HI20" s="543"/>
      <c r="HJ20" s="543"/>
      <c r="HK20" s="543"/>
      <c r="HL20" s="543"/>
      <c r="HM20" s="543"/>
      <c r="HN20" s="543"/>
      <c r="HO20" s="543"/>
      <c r="HP20" s="543"/>
      <c r="HQ20" s="543"/>
      <c r="HR20" s="543"/>
      <c r="HS20" s="543"/>
      <c r="HT20" s="543"/>
      <c r="HU20" s="543"/>
      <c r="HV20" s="543"/>
      <c r="HW20" s="543"/>
      <c r="HX20" s="543"/>
      <c r="HY20" s="543"/>
      <c r="HZ20" s="543"/>
      <c r="IA20" s="543"/>
      <c r="IB20" s="543"/>
      <c r="IC20" s="543"/>
      <c r="ID20" s="543"/>
      <c r="IE20" s="543"/>
      <c r="IF20" s="543"/>
      <c r="IG20" s="543"/>
      <c r="IH20" s="543"/>
      <c r="II20" s="543"/>
      <c r="IJ20" s="543"/>
      <c r="IK20" s="543"/>
      <c r="IL20" s="543"/>
      <c r="IM20" s="543"/>
      <c r="IN20" s="543"/>
      <c r="IO20" s="543"/>
      <c r="IP20" s="543"/>
      <c r="IQ20" s="543"/>
      <c r="IR20" s="543"/>
      <c r="IS20" s="543"/>
      <c r="IT20" s="543"/>
      <c r="IU20" s="543"/>
    </row>
    <row r="21" spans="1:255">
      <c r="A21" s="543" t="s">
        <v>383</v>
      </c>
      <c r="B21" s="555"/>
      <c r="C21" s="561">
        <f t="shared" ref="C21:V21" ca="1" si="5">C18+C19+C20</f>
        <v>97.932010517621279</v>
      </c>
      <c r="D21" s="561">
        <f t="shared" ca="1" si="5"/>
        <v>0</v>
      </c>
      <c r="E21" s="561">
        <f t="shared" ca="1" si="5"/>
        <v>0</v>
      </c>
      <c r="F21" s="561">
        <f t="shared" ca="1" si="5"/>
        <v>0</v>
      </c>
      <c r="G21" s="561">
        <f t="shared" ca="1" si="5"/>
        <v>0</v>
      </c>
      <c r="H21" s="561">
        <f t="shared" ca="1" si="5"/>
        <v>0</v>
      </c>
      <c r="I21" s="561">
        <f t="shared" ca="1" si="5"/>
        <v>0</v>
      </c>
      <c r="J21" s="561">
        <f t="shared" ca="1" si="5"/>
        <v>0</v>
      </c>
      <c r="K21" s="561">
        <f t="shared" ca="1" si="5"/>
        <v>0</v>
      </c>
      <c r="L21" s="561">
        <f t="shared" ca="1" si="5"/>
        <v>0</v>
      </c>
      <c r="M21" s="561">
        <f t="shared" ca="1" si="5"/>
        <v>0</v>
      </c>
      <c r="N21" s="561">
        <f t="shared" ca="1" si="5"/>
        <v>0</v>
      </c>
      <c r="O21" s="561">
        <f t="shared" ca="1" si="5"/>
        <v>0</v>
      </c>
      <c r="P21" s="561">
        <f t="shared" ca="1" si="5"/>
        <v>0</v>
      </c>
      <c r="Q21" s="561">
        <f t="shared" ca="1" si="5"/>
        <v>0</v>
      </c>
      <c r="R21" s="561">
        <f t="shared" ca="1" si="5"/>
        <v>0</v>
      </c>
      <c r="S21" s="561">
        <f t="shared" ca="1" si="5"/>
        <v>0</v>
      </c>
      <c r="T21" s="561">
        <f t="shared" ca="1" si="5"/>
        <v>0</v>
      </c>
      <c r="U21" s="561">
        <f t="shared" ca="1" si="5"/>
        <v>0</v>
      </c>
      <c r="V21" s="561">
        <f t="shared" ca="1" si="5"/>
        <v>0</v>
      </c>
      <c r="W21" s="543"/>
      <c r="X21" s="543"/>
      <c r="Y21" s="543"/>
      <c r="Z21" s="543"/>
      <c r="AA21" s="543"/>
      <c r="AB21" s="543"/>
      <c r="AC21" s="543"/>
      <c r="AD21" s="543"/>
      <c r="AE21" s="543"/>
      <c r="AF21" s="543"/>
      <c r="AG21" s="543"/>
      <c r="AH21" s="543"/>
      <c r="AI21" s="543"/>
      <c r="AJ21" s="543"/>
      <c r="AK21" s="543"/>
      <c r="AL21" s="543"/>
      <c r="AM21" s="543"/>
      <c r="AN21" s="543"/>
      <c r="AO21" s="543"/>
      <c r="AP21" s="543"/>
      <c r="AQ21" s="543"/>
      <c r="AR21" s="543"/>
      <c r="AS21" s="543"/>
      <c r="AT21" s="543"/>
      <c r="AU21" s="543"/>
      <c r="AV21" s="543"/>
      <c r="AW21" s="543"/>
      <c r="AX21" s="543"/>
      <c r="AY21" s="543"/>
      <c r="AZ21" s="543"/>
      <c r="BA21" s="543"/>
      <c r="BB21" s="543"/>
      <c r="BC21" s="543"/>
      <c r="BD21" s="543"/>
      <c r="BE21" s="543"/>
      <c r="BF21" s="543"/>
      <c r="BG21" s="543"/>
      <c r="BH21" s="543"/>
      <c r="BI21" s="543"/>
      <c r="BJ21" s="543"/>
      <c r="BK21" s="543"/>
      <c r="BL21" s="543"/>
      <c r="BM21" s="543"/>
      <c r="BN21" s="543"/>
      <c r="BO21" s="543"/>
      <c r="BP21" s="543"/>
      <c r="BQ21" s="543"/>
      <c r="BR21" s="543"/>
      <c r="BS21" s="543"/>
      <c r="BT21" s="543"/>
      <c r="BU21" s="543"/>
      <c r="BV21" s="543"/>
      <c r="BW21" s="543"/>
      <c r="BX21" s="543"/>
      <c r="BY21" s="543"/>
      <c r="BZ21" s="543"/>
      <c r="CA21" s="543"/>
      <c r="CB21" s="543"/>
      <c r="CC21" s="543"/>
      <c r="CD21" s="543"/>
      <c r="CE21" s="543"/>
      <c r="CF21" s="543"/>
      <c r="CG21" s="543"/>
      <c r="CH21" s="543"/>
      <c r="CI21" s="543"/>
      <c r="CJ21" s="543"/>
      <c r="CK21" s="543"/>
      <c r="CL21" s="543"/>
      <c r="CM21" s="543"/>
      <c r="CN21" s="543"/>
      <c r="CO21" s="543"/>
      <c r="CP21" s="543"/>
      <c r="CQ21" s="543"/>
      <c r="CR21" s="543"/>
      <c r="CS21" s="543"/>
      <c r="CT21" s="543"/>
      <c r="CU21" s="543"/>
      <c r="CV21" s="543"/>
      <c r="CW21" s="543"/>
      <c r="CX21" s="543"/>
      <c r="CY21" s="543"/>
      <c r="CZ21" s="543"/>
      <c r="DA21" s="543"/>
      <c r="DB21" s="543"/>
      <c r="DC21" s="543"/>
      <c r="DD21" s="543"/>
      <c r="DE21" s="543"/>
      <c r="DF21" s="543"/>
      <c r="DG21" s="543"/>
      <c r="DH21" s="543"/>
      <c r="DI21" s="543"/>
      <c r="DJ21" s="543"/>
      <c r="DK21" s="543"/>
      <c r="DL21" s="543"/>
      <c r="DM21" s="543"/>
      <c r="DN21" s="543"/>
      <c r="DO21" s="543"/>
      <c r="DP21" s="543"/>
      <c r="DQ21" s="543"/>
      <c r="DR21" s="543"/>
      <c r="DS21" s="543"/>
      <c r="DT21" s="543"/>
      <c r="DU21" s="543"/>
      <c r="DV21" s="543"/>
      <c r="DW21" s="543"/>
      <c r="DX21" s="543"/>
      <c r="DY21" s="543"/>
      <c r="DZ21" s="543"/>
      <c r="EA21" s="543"/>
      <c r="EB21" s="543"/>
      <c r="EC21" s="543"/>
      <c r="ED21" s="543"/>
      <c r="EE21" s="543"/>
      <c r="EF21" s="543"/>
      <c r="EG21" s="543"/>
      <c r="EH21" s="543"/>
      <c r="EI21" s="543"/>
      <c r="EJ21" s="543"/>
      <c r="EK21" s="543"/>
      <c r="EL21" s="543"/>
      <c r="EM21" s="543"/>
      <c r="EN21" s="543"/>
      <c r="EO21" s="543"/>
      <c r="EP21" s="543"/>
      <c r="EQ21" s="543"/>
      <c r="ER21" s="543"/>
      <c r="ES21" s="543"/>
      <c r="ET21" s="543"/>
      <c r="EU21" s="543"/>
      <c r="EV21" s="543"/>
      <c r="EW21" s="543"/>
      <c r="EX21" s="543"/>
      <c r="EY21" s="543"/>
      <c r="EZ21" s="543"/>
      <c r="FA21" s="543"/>
      <c r="FB21" s="543"/>
      <c r="FC21" s="543"/>
      <c r="FD21" s="543"/>
      <c r="FE21" s="543"/>
      <c r="FF21" s="543"/>
      <c r="FG21" s="543"/>
      <c r="FH21" s="543"/>
      <c r="FI21" s="543"/>
      <c r="FJ21" s="543"/>
      <c r="FK21" s="543"/>
      <c r="FL21" s="543"/>
      <c r="FM21" s="543"/>
      <c r="FN21" s="543"/>
      <c r="FO21" s="543"/>
      <c r="FP21" s="543"/>
      <c r="FQ21" s="543"/>
      <c r="FR21" s="543"/>
      <c r="FS21" s="543"/>
      <c r="FT21" s="543"/>
      <c r="FU21" s="543"/>
      <c r="FV21" s="543"/>
      <c r="FW21" s="543"/>
      <c r="FX21" s="543"/>
      <c r="FY21" s="543"/>
      <c r="FZ21" s="543"/>
      <c r="GA21" s="543"/>
      <c r="GB21" s="543"/>
      <c r="GC21" s="543"/>
      <c r="GD21" s="543"/>
      <c r="GE21" s="543"/>
      <c r="GF21" s="543"/>
      <c r="GG21" s="543"/>
      <c r="GH21" s="543"/>
      <c r="GI21" s="543"/>
      <c r="GJ21" s="543"/>
      <c r="GK21" s="543"/>
      <c r="GL21" s="543"/>
      <c r="GM21" s="543"/>
      <c r="GN21" s="543"/>
      <c r="GO21" s="543"/>
      <c r="GP21" s="543"/>
      <c r="GQ21" s="543"/>
      <c r="GR21" s="543"/>
      <c r="GS21" s="543"/>
      <c r="GT21" s="543"/>
      <c r="GU21" s="543"/>
      <c r="GV21" s="543"/>
      <c r="GW21" s="543"/>
      <c r="GX21" s="543"/>
      <c r="GY21" s="543"/>
      <c r="GZ21" s="543"/>
      <c r="HA21" s="543"/>
      <c r="HB21" s="543"/>
      <c r="HC21" s="543"/>
      <c r="HD21" s="543"/>
      <c r="HE21" s="543"/>
      <c r="HF21" s="543"/>
      <c r="HG21" s="543"/>
      <c r="HH21" s="543"/>
      <c r="HI21" s="543"/>
      <c r="HJ21" s="543"/>
      <c r="HK21" s="543"/>
      <c r="HL21" s="543"/>
      <c r="HM21" s="543"/>
      <c r="HN21" s="543"/>
      <c r="HO21" s="543"/>
      <c r="HP21" s="543"/>
      <c r="HQ21" s="543"/>
      <c r="HR21" s="543"/>
      <c r="HS21" s="543"/>
      <c r="HT21" s="543"/>
      <c r="HU21" s="543"/>
      <c r="HV21" s="543"/>
      <c r="HW21" s="543"/>
      <c r="HX21" s="543"/>
      <c r="HY21" s="543"/>
      <c r="HZ21" s="543"/>
      <c r="IA21" s="543"/>
      <c r="IB21" s="543"/>
      <c r="IC21" s="543"/>
      <c r="ID21" s="543"/>
      <c r="IE21" s="543"/>
      <c r="IF21" s="543"/>
      <c r="IG21" s="543"/>
      <c r="IH21" s="543"/>
      <c r="II21" s="543"/>
      <c r="IJ21" s="543"/>
      <c r="IK21" s="543"/>
      <c r="IL21" s="543"/>
      <c r="IM21" s="543"/>
      <c r="IN21" s="543"/>
      <c r="IO21" s="543"/>
      <c r="IP21" s="543"/>
      <c r="IQ21" s="543"/>
      <c r="IR21" s="543"/>
      <c r="IS21" s="543"/>
      <c r="IT21" s="543"/>
      <c r="IU21" s="543"/>
    </row>
    <row r="22" spans="1:255">
      <c r="A22" s="555"/>
      <c r="B22" s="555"/>
      <c r="C22" s="555"/>
      <c r="D22" s="555"/>
      <c r="E22" s="555"/>
      <c r="F22" s="555"/>
      <c r="G22" s="555"/>
      <c r="H22" s="555"/>
      <c r="I22" s="555"/>
      <c r="J22" s="555"/>
      <c r="K22" s="555"/>
      <c r="L22" s="555"/>
      <c r="M22" s="555"/>
      <c r="N22" s="555"/>
      <c r="O22" s="555"/>
      <c r="P22" s="555"/>
      <c r="Q22" s="555"/>
      <c r="R22" s="555"/>
      <c r="S22" s="555"/>
      <c r="T22" s="555"/>
      <c r="U22" s="555"/>
      <c r="V22" s="555"/>
      <c r="W22" s="543"/>
      <c r="X22" s="543"/>
      <c r="Y22" s="543"/>
      <c r="Z22" s="543"/>
      <c r="AA22" s="543"/>
      <c r="AB22" s="543"/>
      <c r="AC22" s="543"/>
      <c r="AD22" s="543"/>
      <c r="AE22" s="543"/>
      <c r="AF22" s="543"/>
      <c r="AG22" s="543"/>
      <c r="AH22" s="543"/>
      <c r="AI22" s="543"/>
      <c r="AJ22" s="543"/>
      <c r="AK22" s="543"/>
      <c r="AL22" s="543"/>
      <c r="AM22" s="543"/>
      <c r="AN22" s="543"/>
      <c r="AO22" s="543"/>
      <c r="AP22" s="543"/>
      <c r="AQ22" s="543"/>
      <c r="AR22" s="543"/>
      <c r="AS22" s="543"/>
      <c r="AT22" s="543"/>
      <c r="AU22" s="543"/>
      <c r="AV22" s="543"/>
      <c r="AW22" s="543"/>
      <c r="AX22" s="543"/>
      <c r="AY22" s="543"/>
      <c r="AZ22" s="543"/>
      <c r="BA22" s="543"/>
      <c r="BB22" s="543"/>
      <c r="BC22" s="543"/>
      <c r="BD22" s="543"/>
      <c r="BE22" s="543"/>
      <c r="BF22" s="543"/>
      <c r="BG22" s="543"/>
      <c r="BH22" s="543"/>
      <c r="BI22" s="543"/>
      <c r="BJ22" s="543"/>
      <c r="BK22" s="543"/>
      <c r="BL22" s="543"/>
      <c r="BM22" s="543"/>
      <c r="BN22" s="543"/>
      <c r="BO22" s="543"/>
      <c r="BP22" s="543"/>
      <c r="BQ22" s="543"/>
      <c r="BR22" s="543"/>
      <c r="BS22" s="543"/>
      <c r="BT22" s="543"/>
      <c r="BU22" s="543"/>
      <c r="BV22" s="543"/>
      <c r="BW22" s="543"/>
      <c r="BX22" s="543"/>
      <c r="BY22" s="543"/>
      <c r="BZ22" s="543"/>
      <c r="CA22" s="543"/>
      <c r="CB22" s="543"/>
      <c r="CC22" s="543"/>
      <c r="CD22" s="543"/>
      <c r="CE22" s="543"/>
      <c r="CF22" s="543"/>
      <c r="CG22" s="543"/>
      <c r="CH22" s="543"/>
      <c r="CI22" s="543"/>
      <c r="CJ22" s="543"/>
      <c r="CK22" s="543"/>
      <c r="CL22" s="543"/>
      <c r="CM22" s="543"/>
      <c r="CN22" s="543"/>
      <c r="CO22" s="543"/>
      <c r="CP22" s="543"/>
      <c r="CQ22" s="543"/>
      <c r="CR22" s="543"/>
      <c r="CS22" s="543"/>
      <c r="CT22" s="543"/>
      <c r="CU22" s="543"/>
      <c r="CV22" s="543"/>
      <c r="CW22" s="543"/>
      <c r="CX22" s="543"/>
      <c r="CY22" s="543"/>
      <c r="CZ22" s="543"/>
      <c r="DA22" s="543"/>
      <c r="DB22" s="543"/>
      <c r="DC22" s="543"/>
      <c r="DD22" s="543"/>
      <c r="DE22" s="543"/>
      <c r="DF22" s="543"/>
      <c r="DG22" s="543"/>
      <c r="DH22" s="543"/>
      <c r="DI22" s="543"/>
      <c r="DJ22" s="543"/>
      <c r="DK22" s="543"/>
      <c r="DL22" s="543"/>
      <c r="DM22" s="543"/>
      <c r="DN22" s="543"/>
      <c r="DO22" s="543"/>
      <c r="DP22" s="543"/>
      <c r="DQ22" s="543"/>
      <c r="DR22" s="543"/>
      <c r="DS22" s="543"/>
      <c r="DT22" s="543"/>
      <c r="DU22" s="543"/>
      <c r="DV22" s="543"/>
      <c r="DW22" s="543"/>
      <c r="DX22" s="543"/>
      <c r="DY22" s="543"/>
      <c r="DZ22" s="543"/>
      <c r="EA22" s="543"/>
      <c r="EB22" s="543"/>
      <c r="EC22" s="543"/>
      <c r="ED22" s="543"/>
      <c r="EE22" s="543"/>
      <c r="EF22" s="543"/>
      <c r="EG22" s="543"/>
      <c r="EH22" s="543"/>
      <c r="EI22" s="543"/>
      <c r="EJ22" s="543"/>
      <c r="EK22" s="543"/>
      <c r="EL22" s="543"/>
      <c r="EM22" s="543"/>
      <c r="EN22" s="543"/>
      <c r="EO22" s="543"/>
      <c r="EP22" s="543"/>
      <c r="EQ22" s="543"/>
      <c r="ER22" s="543"/>
      <c r="ES22" s="543"/>
      <c r="ET22" s="543"/>
      <c r="EU22" s="543"/>
      <c r="EV22" s="543"/>
      <c r="EW22" s="543"/>
      <c r="EX22" s="543"/>
      <c r="EY22" s="543"/>
      <c r="EZ22" s="543"/>
      <c r="FA22" s="543"/>
      <c r="FB22" s="543"/>
      <c r="FC22" s="543"/>
      <c r="FD22" s="543"/>
      <c r="FE22" s="543"/>
      <c r="FF22" s="543"/>
      <c r="FG22" s="543"/>
      <c r="FH22" s="543"/>
      <c r="FI22" s="543"/>
      <c r="FJ22" s="543"/>
      <c r="FK22" s="543"/>
      <c r="FL22" s="543"/>
      <c r="FM22" s="543"/>
      <c r="FN22" s="543"/>
      <c r="FO22" s="543"/>
      <c r="FP22" s="543"/>
      <c r="FQ22" s="543"/>
      <c r="FR22" s="543"/>
      <c r="FS22" s="543"/>
      <c r="FT22" s="543"/>
      <c r="FU22" s="543"/>
      <c r="FV22" s="543"/>
      <c r="FW22" s="543"/>
      <c r="FX22" s="543"/>
      <c r="FY22" s="543"/>
      <c r="FZ22" s="543"/>
      <c r="GA22" s="543"/>
      <c r="GB22" s="543"/>
      <c r="GC22" s="543"/>
      <c r="GD22" s="543"/>
      <c r="GE22" s="543"/>
      <c r="GF22" s="543"/>
      <c r="GG22" s="543"/>
      <c r="GH22" s="543"/>
      <c r="GI22" s="543"/>
      <c r="GJ22" s="543"/>
      <c r="GK22" s="543"/>
      <c r="GL22" s="543"/>
      <c r="GM22" s="543"/>
      <c r="GN22" s="543"/>
      <c r="GO22" s="543"/>
      <c r="GP22" s="543"/>
      <c r="GQ22" s="543"/>
      <c r="GR22" s="543"/>
      <c r="GS22" s="543"/>
      <c r="GT22" s="543"/>
      <c r="GU22" s="543"/>
      <c r="GV22" s="543"/>
      <c r="GW22" s="543"/>
      <c r="GX22" s="543"/>
      <c r="GY22" s="543"/>
      <c r="GZ22" s="543"/>
      <c r="HA22" s="543"/>
      <c r="HB22" s="543"/>
      <c r="HC22" s="543"/>
      <c r="HD22" s="543"/>
      <c r="HE22" s="543"/>
      <c r="HF22" s="543"/>
      <c r="HG22" s="543"/>
      <c r="HH22" s="543"/>
      <c r="HI22" s="543"/>
      <c r="HJ22" s="543"/>
      <c r="HK22" s="543"/>
      <c r="HL22" s="543"/>
      <c r="HM22" s="543"/>
      <c r="HN22" s="543"/>
      <c r="HO22" s="543"/>
      <c r="HP22" s="543"/>
      <c r="HQ22" s="543"/>
      <c r="HR22" s="543"/>
      <c r="HS22" s="543"/>
      <c r="HT22" s="543"/>
      <c r="HU22" s="543"/>
      <c r="HV22" s="543"/>
      <c r="HW22" s="543"/>
      <c r="HX22" s="543"/>
      <c r="HY22" s="543"/>
      <c r="HZ22" s="543"/>
      <c r="IA22" s="543"/>
      <c r="IB22" s="543"/>
      <c r="IC22" s="543"/>
      <c r="ID22" s="543"/>
      <c r="IE22" s="543"/>
      <c r="IF22" s="543"/>
      <c r="IG22" s="543"/>
      <c r="IH22" s="543"/>
      <c r="II22" s="543"/>
      <c r="IJ22" s="543"/>
      <c r="IK22" s="543"/>
      <c r="IL22" s="543"/>
      <c r="IM22" s="543"/>
      <c r="IN22" s="543"/>
      <c r="IO22" s="543"/>
      <c r="IP22" s="543"/>
      <c r="IQ22" s="543"/>
      <c r="IR22" s="543"/>
      <c r="IS22" s="543"/>
      <c r="IT22" s="543"/>
      <c r="IU22" s="543"/>
    </row>
    <row r="23" spans="1:255">
      <c r="A23" s="554" t="s">
        <v>384</v>
      </c>
      <c r="B23" s="554"/>
      <c r="C23" s="562">
        <f t="shared" ref="C23:V23" ca="1" si="6">IF(C15&lt;0,0,C15+C20)</f>
        <v>0</v>
      </c>
      <c r="D23" s="562">
        <f t="shared" ca="1" si="6"/>
        <v>1646.85101103235</v>
      </c>
      <c r="E23" s="562">
        <f t="shared" ca="1" si="6"/>
        <v>2175.0812538126088</v>
      </c>
      <c r="F23" s="562">
        <f t="shared" ca="1" si="6"/>
        <v>4736.6322150562219</v>
      </c>
      <c r="G23" s="562">
        <f t="shared" ca="1" si="6"/>
        <v>6501.7874069331683</v>
      </c>
      <c r="H23" s="562">
        <f t="shared" ca="1" si="6"/>
        <v>1942.8267169346448</v>
      </c>
      <c r="I23" s="562">
        <f t="shared" ca="1" si="6"/>
        <v>9222.93654473682</v>
      </c>
      <c r="J23" s="562">
        <f t="shared" ca="1" si="6"/>
        <v>16880.496707203354</v>
      </c>
      <c r="K23" s="562">
        <f t="shared" ca="1" si="6"/>
        <v>17693.305825593125</v>
      </c>
      <c r="L23" s="562">
        <f t="shared" ca="1" si="6"/>
        <v>16134.828859537694</v>
      </c>
      <c r="M23" s="562">
        <f t="shared" ca="1" si="6"/>
        <v>17236.957842340158</v>
      </c>
      <c r="N23" s="562">
        <f t="shared" ca="1" si="6"/>
        <v>16146.177872990251</v>
      </c>
      <c r="O23" s="562">
        <f t="shared" ca="1" si="6"/>
        <v>15625.612196782085</v>
      </c>
      <c r="P23" s="562">
        <f t="shared" ca="1" si="6"/>
        <v>13322.760483815418</v>
      </c>
      <c r="Q23" s="562">
        <f t="shared" ca="1" si="6"/>
        <v>19014.228509568438</v>
      </c>
      <c r="R23" s="562">
        <f t="shared" ca="1" si="6"/>
        <v>29218.147942128609</v>
      </c>
      <c r="S23" s="562">
        <f t="shared" ca="1" si="6"/>
        <v>39319.880686413133</v>
      </c>
      <c r="T23" s="562">
        <f t="shared" ca="1" si="6"/>
        <v>40558.652085400048</v>
      </c>
      <c r="U23" s="562">
        <f t="shared" ca="1" si="6"/>
        <v>44378.782687475526</v>
      </c>
      <c r="V23" s="562">
        <f t="shared" ca="1" si="6"/>
        <v>36698.619250180382</v>
      </c>
      <c r="W23" s="543"/>
      <c r="X23" s="543"/>
      <c r="Y23" s="543"/>
      <c r="Z23" s="543"/>
      <c r="AA23" s="543"/>
      <c r="AB23" s="543"/>
      <c r="AC23" s="543"/>
      <c r="AD23" s="543"/>
      <c r="AE23" s="543"/>
      <c r="AF23" s="543"/>
      <c r="AG23" s="543"/>
      <c r="AH23" s="543"/>
      <c r="AI23" s="543"/>
      <c r="AJ23" s="543"/>
      <c r="AK23" s="543"/>
      <c r="AL23" s="543"/>
      <c r="AM23" s="543"/>
      <c r="AN23" s="543"/>
      <c r="AO23" s="543"/>
      <c r="AP23" s="543"/>
      <c r="AQ23" s="543"/>
      <c r="AR23" s="543"/>
      <c r="AS23" s="543"/>
      <c r="AT23" s="543"/>
      <c r="AU23" s="543"/>
      <c r="AV23" s="543"/>
      <c r="AW23" s="543"/>
      <c r="AX23" s="543"/>
      <c r="AY23" s="543"/>
      <c r="AZ23" s="543"/>
      <c r="BA23" s="543"/>
      <c r="BB23" s="543"/>
      <c r="BC23" s="543"/>
      <c r="BD23" s="543"/>
      <c r="BE23" s="543"/>
      <c r="BF23" s="543"/>
      <c r="BG23" s="543"/>
      <c r="BH23" s="543"/>
      <c r="BI23" s="543"/>
      <c r="BJ23" s="543"/>
      <c r="BK23" s="543"/>
      <c r="BL23" s="543"/>
      <c r="BM23" s="543"/>
      <c r="BN23" s="543"/>
      <c r="BO23" s="543"/>
      <c r="BP23" s="543"/>
      <c r="BQ23" s="543"/>
      <c r="BR23" s="543"/>
      <c r="BS23" s="543"/>
      <c r="BT23" s="543"/>
      <c r="BU23" s="543"/>
      <c r="BV23" s="543"/>
      <c r="BW23" s="543"/>
      <c r="BX23" s="543"/>
      <c r="BY23" s="543"/>
      <c r="BZ23" s="543"/>
      <c r="CA23" s="543"/>
      <c r="CB23" s="543"/>
      <c r="CC23" s="543"/>
      <c r="CD23" s="543"/>
      <c r="CE23" s="543"/>
      <c r="CF23" s="543"/>
      <c r="CG23" s="543"/>
      <c r="CH23" s="543"/>
      <c r="CI23" s="543"/>
      <c r="CJ23" s="543"/>
      <c r="CK23" s="543"/>
      <c r="CL23" s="543"/>
      <c r="CM23" s="543"/>
      <c r="CN23" s="543"/>
      <c r="CO23" s="543"/>
      <c r="CP23" s="543"/>
      <c r="CQ23" s="543"/>
      <c r="CR23" s="543"/>
      <c r="CS23" s="543"/>
      <c r="CT23" s="543"/>
      <c r="CU23" s="543"/>
      <c r="CV23" s="543"/>
      <c r="CW23" s="543"/>
      <c r="CX23" s="543"/>
      <c r="CY23" s="543"/>
      <c r="CZ23" s="543"/>
      <c r="DA23" s="543"/>
      <c r="DB23" s="543"/>
      <c r="DC23" s="543"/>
      <c r="DD23" s="543"/>
      <c r="DE23" s="543"/>
      <c r="DF23" s="543"/>
      <c r="DG23" s="543"/>
      <c r="DH23" s="543"/>
      <c r="DI23" s="543"/>
      <c r="DJ23" s="543"/>
      <c r="DK23" s="543"/>
      <c r="DL23" s="543"/>
      <c r="DM23" s="543"/>
      <c r="DN23" s="543"/>
      <c r="DO23" s="543"/>
      <c r="DP23" s="543"/>
      <c r="DQ23" s="543"/>
      <c r="DR23" s="543"/>
      <c r="DS23" s="543"/>
      <c r="DT23" s="543"/>
      <c r="DU23" s="543"/>
      <c r="DV23" s="543"/>
      <c r="DW23" s="543"/>
      <c r="DX23" s="543"/>
      <c r="DY23" s="543"/>
      <c r="DZ23" s="543"/>
      <c r="EA23" s="543"/>
      <c r="EB23" s="543"/>
      <c r="EC23" s="543"/>
      <c r="ED23" s="543"/>
      <c r="EE23" s="543"/>
      <c r="EF23" s="543"/>
      <c r="EG23" s="543"/>
      <c r="EH23" s="543"/>
      <c r="EI23" s="543"/>
      <c r="EJ23" s="543"/>
      <c r="EK23" s="543"/>
      <c r="EL23" s="543"/>
      <c r="EM23" s="543"/>
      <c r="EN23" s="543"/>
      <c r="EO23" s="543"/>
      <c r="EP23" s="543"/>
      <c r="EQ23" s="543"/>
      <c r="ER23" s="543"/>
      <c r="ES23" s="543"/>
      <c r="ET23" s="543"/>
      <c r="EU23" s="543"/>
      <c r="EV23" s="543"/>
      <c r="EW23" s="543"/>
      <c r="EX23" s="543"/>
      <c r="EY23" s="543"/>
      <c r="EZ23" s="543"/>
      <c r="FA23" s="543"/>
      <c r="FB23" s="543"/>
      <c r="FC23" s="543"/>
      <c r="FD23" s="543"/>
      <c r="FE23" s="543"/>
      <c r="FF23" s="543"/>
      <c r="FG23" s="543"/>
      <c r="FH23" s="543"/>
      <c r="FI23" s="543"/>
      <c r="FJ23" s="543"/>
      <c r="FK23" s="543"/>
      <c r="FL23" s="543"/>
      <c r="FM23" s="543"/>
      <c r="FN23" s="543"/>
      <c r="FO23" s="543"/>
      <c r="FP23" s="543"/>
      <c r="FQ23" s="543"/>
      <c r="FR23" s="543"/>
      <c r="FS23" s="543"/>
      <c r="FT23" s="543"/>
      <c r="FU23" s="543"/>
      <c r="FV23" s="543"/>
      <c r="FW23" s="543"/>
      <c r="FX23" s="543"/>
      <c r="FY23" s="543"/>
      <c r="FZ23" s="543"/>
      <c r="GA23" s="543"/>
      <c r="GB23" s="543"/>
      <c r="GC23" s="543"/>
      <c r="GD23" s="543"/>
      <c r="GE23" s="543"/>
      <c r="GF23" s="543"/>
      <c r="GG23" s="543"/>
      <c r="GH23" s="543"/>
      <c r="GI23" s="543"/>
      <c r="GJ23" s="543"/>
      <c r="GK23" s="543"/>
      <c r="GL23" s="543"/>
      <c r="GM23" s="543"/>
      <c r="GN23" s="543"/>
      <c r="GO23" s="543"/>
      <c r="GP23" s="543"/>
      <c r="GQ23" s="543"/>
      <c r="GR23" s="543"/>
      <c r="GS23" s="543"/>
      <c r="GT23" s="543"/>
      <c r="GU23" s="543"/>
      <c r="GV23" s="543"/>
      <c r="GW23" s="543"/>
      <c r="GX23" s="543"/>
      <c r="GY23" s="543"/>
      <c r="GZ23" s="543"/>
      <c r="HA23" s="543"/>
      <c r="HB23" s="543"/>
      <c r="HC23" s="543"/>
      <c r="HD23" s="543"/>
      <c r="HE23" s="543"/>
      <c r="HF23" s="543"/>
      <c r="HG23" s="543"/>
      <c r="HH23" s="543"/>
      <c r="HI23" s="543"/>
      <c r="HJ23" s="543"/>
      <c r="HK23" s="543"/>
      <c r="HL23" s="543"/>
      <c r="HM23" s="543"/>
      <c r="HN23" s="543"/>
      <c r="HO23" s="543"/>
      <c r="HP23" s="543"/>
      <c r="HQ23" s="543"/>
      <c r="HR23" s="543"/>
      <c r="HS23" s="543"/>
      <c r="HT23" s="543"/>
      <c r="HU23" s="543"/>
      <c r="HV23" s="543"/>
      <c r="HW23" s="543"/>
      <c r="HX23" s="543"/>
      <c r="HY23" s="543"/>
      <c r="HZ23" s="543"/>
      <c r="IA23" s="543"/>
      <c r="IB23" s="543"/>
      <c r="IC23" s="543"/>
      <c r="ID23" s="543"/>
      <c r="IE23" s="543"/>
      <c r="IF23" s="543"/>
      <c r="IG23" s="543"/>
      <c r="IH23" s="543"/>
      <c r="II23" s="543"/>
      <c r="IJ23" s="543"/>
      <c r="IK23" s="543"/>
      <c r="IL23" s="543"/>
      <c r="IM23" s="543"/>
      <c r="IN23" s="543"/>
      <c r="IO23" s="543"/>
      <c r="IP23" s="543"/>
      <c r="IQ23" s="543"/>
      <c r="IR23" s="543"/>
      <c r="IS23" s="543"/>
      <c r="IT23" s="543"/>
      <c r="IU23" s="543"/>
    </row>
    <row r="24" spans="1:255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5"/>
      <c r="P24" s="555"/>
      <c r="Q24" s="555"/>
      <c r="R24" s="555"/>
      <c r="S24" s="555"/>
      <c r="T24" s="555"/>
      <c r="U24" s="555"/>
      <c r="V24" s="555"/>
      <c r="W24" s="543"/>
      <c r="X24" s="543"/>
      <c r="Y24" s="543"/>
      <c r="Z24" s="543"/>
      <c r="AA24" s="543"/>
      <c r="AB24" s="543"/>
      <c r="AC24" s="543"/>
      <c r="AD24" s="543"/>
      <c r="AE24" s="543"/>
      <c r="AF24" s="543"/>
      <c r="AG24" s="543"/>
      <c r="AH24" s="543"/>
      <c r="AI24" s="543"/>
      <c r="AJ24" s="543"/>
      <c r="AK24" s="543"/>
      <c r="AL24" s="543"/>
      <c r="AM24" s="543"/>
      <c r="AN24" s="543"/>
      <c r="AO24" s="543"/>
      <c r="AP24" s="543"/>
      <c r="AQ24" s="543"/>
      <c r="AR24" s="543"/>
      <c r="AS24" s="543"/>
      <c r="AT24" s="543"/>
      <c r="AU24" s="543"/>
      <c r="AV24" s="543"/>
      <c r="AW24" s="543"/>
      <c r="AX24" s="543"/>
      <c r="AY24" s="543"/>
      <c r="AZ24" s="543"/>
      <c r="BA24" s="543"/>
      <c r="BB24" s="543"/>
      <c r="BC24" s="543"/>
      <c r="BD24" s="543"/>
      <c r="BE24" s="543"/>
      <c r="BF24" s="543"/>
      <c r="BG24" s="543"/>
      <c r="BH24" s="543"/>
      <c r="BI24" s="543"/>
      <c r="BJ24" s="543"/>
      <c r="BK24" s="543"/>
      <c r="BL24" s="543"/>
      <c r="BM24" s="543"/>
      <c r="BN24" s="543"/>
      <c r="BO24" s="543"/>
      <c r="BP24" s="543"/>
      <c r="BQ24" s="543"/>
      <c r="BR24" s="543"/>
      <c r="BS24" s="543"/>
      <c r="BT24" s="543"/>
      <c r="BU24" s="543"/>
      <c r="BV24" s="543"/>
      <c r="BW24" s="543"/>
      <c r="BX24" s="543"/>
      <c r="BY24" s="543"/>
      <c r="BZ24" s="543"/>
      <c r="CA24" s="543"/>
      <c r="CB24" s="543"/>
      <c r="CC24" s="543"/>
      <c r="CD24" s="543"/>
      <c r="CE24" s="543"/>
      <c r="CF24" s="543"/>
      <c r="CG24" s="543"/>
      <c r="CH24" s="543"/>
      <c r="CI24" s="543"/>
      <c r="CJ24" s="543"/>
      <c r="CK24" s="543"/>
      <c r="CL24" s="543"/>
      <c r="CM24" s="543"/>
      <c r="CN24" s="543"/>
      <c r="CO24" s="543"/>
      <c r="CP24" s="543"/>
      <c r="CQ24" s="543"/>
      <c r="CR24" s="543"/>
      <c r="CS24" s="543"/>
      <c r="CT24" s="543"/>
      <c r="CU24" s="543"/>
      <c r="CV24" s="543"/>
      <c r="CW24" s="543"/>
      <c r="CX24" s="543"/>
      <c r="CY24" s="543"/>
      <c r="CZ24" s="543"/>
      <c r="DA24" s="543"/>
      <c r="DB24" s="543"/>
      <c r="DC24" s="543"/>
      <c r="DD24" s="543"/>
      <c r="DE24" s="543"/>
      <c r="DF24" s="543"/>
      <c r="DG24" s="543"/>
      <c r="DH24" s="543"/>
      <c r="DI24" s="543"/>
      <c r="DJ24" s="543"/>
      <c r="DK24" s="543"/>
      <c r="DL24" s="543"/>
      <c r="DM24" s="543"/>
      <c r="DN24" s="543"/>
      <c r="DO24" s="543"/>
      <c r="DP24" s="543"/>
      <c r="DQ24" s="543"/>
      <c r="DR24" s="543"/>
      <c r="DS24" s="543"/>
      <c r="DT24" s="543"/>
      <c r="DU24" s="543"/>
      <c r="DV24" s="543"/>
      <c r="DW24" s="543"/>
      <c r="DX24" s="543"/>
      <c r="DY24" s="543"/>
      <c r="DZ24" s="543"/>
      <c r="EA24" s="543"/>
      <c r="EB24" s="543"/>
      <c r="EC24" s="543"/>
      <c r="ED24" s="543"/>
      <c r="EE24" s="543"/>
      <c r="EF24" s="543"/>
      <c r="EG24" s="543"/>
      <c r="EH24" s="543"/>
      <c r="EI24" s="543"/>
      <c r="EJ24" s="543"/>
      <c r="EK24" s="543"/>
      <c r="EL24" s="543"/>
      <c r="EM24" s="543"/>
      <c r="EN24" s="543"/>
      <c r="EO24" s="543"/>
      <c r="EP24" s="543"/>
      <c r="EQ24" s="543"/>
      <c r="ER24" s="543"/>
      <c r="ES24" s="543"/>
      <c r="ET24" s="543"/>
      <c r="EU24" s="543"/>
      <c r="EV24" s="543"/>
      <c r="EW24" s="543"/>
      <c r="EX24" s="543"/>
      <c r="EY24" s="543"/>
      <c r="EZ24" s="543"/>
      <c r="FA24" s="543"/>
      <c r="FB24" s="543"/>
      <c r="FC24" s="543"/>
      <c r="FD24" s="543"/>
      <c r="FE24" s="543"/>
      <c r="FF24" s="543"/>
      <c r="FG24" s="543"/>
      <c r="FH24" s="543"/>
      <c r="FI24" s="543"/>
      <c r="FJ24" s="543"/>
      <c r="FK24" s="543"/>
      <c r="FL24" s="543"/>
      <c r="FM24" s="543"/>
      <c r="FN24" s="543"/>
      <c r="FO24" s="543"/>
      <c r="FP24" s="543"/>
      <c r="FQ24" s="543"/>
      <c r="FR24" s="543"/>
      <c r="FS24" s="543"/>
      <c r="FT24" s="543"/>
      <c r="FU24" s="543"/>
      <c r="FV24" s="543"/>
      <c r="FW24" s="543"/>
      <c r="FX24" s="543"/>
      <c r="FY24" s="543"/>
      <c r="FZ24" s="543"/>
      <c r="GA24" s="543"/>
      <c r="GB24" s="543"/>
      <c r="GC24" s="543"/>
      <c r="GD24" s="543"/>
      <c r="GE24" s="543"/>
      <c r="GF24" s="543"/>
      <c r="GG24" s="543"/>
      <c r="GH24" s="543"/>
      <c r="GI24" s="543"/>
      <c r="GJ24" s="543"/>
      <c r="GK24" s="543"/>
      <c r="GL24" s="543"/>
      <c r="GM24" s="543"/>
      <c r="GN24" s="543"/>
      <c r="GO24" s="543"/>
      <c r="GP24" s="543"/>
      <c r="GQ24" s="543"/>
      <c r="GR24" s="543"/>
      <c r="GS24" s="543"/>
      <c r="GT24" s="543"/>
      <c r="GU24" s="543"/>
      <c r="GV24" s="543"/>
      <c r="GW24" s="543"/>
      <c r="GX24" s="543"/>
      <c r="GY24" s="543"/>
      <c r="GZ24" s="543"/>
      <c r="HA24" s="543"/>
      <c r="HB24" s="543"/>
      <c r="HC24" s="543"/>
      <c r="HD24" s="543"/>
      <c r="HE24" s="543"/>
      <c r="HF24" s="543"/>
      <c r="HG24" s="543"/>
      <c r="HH24" s="543"/>
      <c r="HI24" s="543"/>
      <c r="HJ24" s="543"/>
      <c r="HK24" s="543"/>
      <c r="HL24" s="543"/>
      <c r="HM24" s="543"/>
      <c r="HN24" s="543"/>
      <c r="HO24" s="543"/>
      <c r="HP24" s="543"/>
      <c r="HQ24" s="543"/>
      <c r="HR24" s="543"/>
      <c r="HS24" s="543"/>
      <c r="HT24" s="543"/>
      <c r="HU24" s="543"/>
      <c r="HV24" s="543"/>
      <c r="HW24" s="543"/>
      <c r="HX24" s="543"/>
      <c r="HY24" s="543"/>
      <c r="HZ24" s="543"/>
      <c r="IA24" s="543"/>
      <c r="IB24" s="543"/>
      <c r="IC24" s="543"/>
      <c r="ID24" s="543"/>
      <c r="IE24" s="543"/>
      <c r="IF24" s="543"/>
      <c r="IG24" s="543"/>
      <c r="IH24" s="543"/>
      <c r="II24" s="543"/>
      <c r="IJ24" s="543"/>
      <c r="IK24" s="543"/>
      <c r="IL24" s="543"/>
      <c r="IM24" s="543"/>
      <c r="IN24" s="543"/>
      <c r="IO24" s="543"/>
      <c r="IP24" s="543"/>
      <c r="IQ24" s="543"/>
      <c r="IR24" s="543"/>
      <c r="IS24" s="543"/>
      <c r="IT24" s="543"/>
      <c r="IU24" s="543"/>
    </row>
    <row r="25" spans="1:255">
      <c r="A25" s="543" t="s">
        <v>385</v>
      </c>
      <c r="W25" s="543"/>
      <c r="X25" s="543"/>
      <c r="Y25" s="543"/>
      <c r="Z25" s="543"/>
      <c r="AA25" s="543"/>
      <c r="AB25" s="543"/>
      <c r="AC25" s="543"/>
      <c r="AD25" s="543"/>
      <c r="AE25" s="543"/>
      <c r="AF25" s="543"/>
      <c r="AG25" s="543"/>
      <c r="AH25" s="543"/>
      <c r="AI25" s="543"/>
      <c r="AJ25" s="543"/>
      <c r="AK25" s="543"/>
      <c r="AL25" s="543"/>
      <c r="AM25" s="543"/>
      <c r="AN25" s="543"/>
      <c r="AO25" s="543"/>
      <c r="AP25" s="543"/>
      <c r="AQ25" s="543"/>
      <c r="AR25" s="543"/>
      <c r="AS25" s="543"/>
      <c r="AT25" s="543"/>
      <c r="AU25" s="543"/>
      <c r="AV25" s="543"/>
      <c r="AW25" s="543"/>
      <c r="AX25" s="543"/>
      <c r="AY25" s="543"/>
      <c r="AZ25" s="543"/>
      <c r="BA25" s="543"/>
      <c r="BB25" s="543"/>
      <c r="BC25" s="543"/>
      <c r="BD25" s="543"/>
      <c r="BE25" s="543"/>
      <c r="BF25" s="543"/>
      <c r="BG25" s="543"/>
      <c r="BH25" s="543"/>
      <c r="BI25" s="543"/>
      <c r="BJ25" s="543"/>
      <c r="BK25" s="543"/>
      <c r="BL25" s="543"/>
      <c r="BM25" s="543"/>
      <c r="BN25" s="543"/>
      <c r="BO25" s="543"/>
      <c r="BP25" s="543"/>
      <c r="BQ25" s="543"/>
      <c r="BR25" s="543"/>
      <c r="BS25" s="543"/>
      <c r="BT25" s="543"/>
      <c r="BU25" s="543"/>
      <c r="BV25" s="543"/>
      <c r="BW25" s="543"/>
      <c r="BX25" s="543"/>
      <c r="BY25" s="543"/>
      <c r="BZ25" s="543"/>
      <c r="CA25" s="543"/>
      <c r="CB25" s="543"/>
      <c r="CC25" s="543"/>
      <c r="CD25" s="543"/>
      <c r="CE25" s="543"/>
      <c r="CF25" s="543"/>
      <c r="CG25" s="543"/>
      <c r="CH25" s="543"/>
      <c r="CI25" s="543"/>
      <c r="CJ25" s="543"/>
      <c r="CK25" s="543"/>
      <c r="CL25" s="543"/>
      <c r="CM25" s="543"/>
      <c r="CN25" s="543"/>
      <c r="CO25" s="543"/>
      <c r="CP25" s="543"/>
      <c r="CQ25" s="543"/>
      <c r="CR25" s="543"/>
      <c r="CS25" s="543"/>
      <c r="CT25" s="543"/>
      <c r="CU25" s="543"/>
      <c r="CV25" s="543"/>
      <c r="CW25" s="543"/>
      <c r="CX25" s="543"/>
      <c r="CY25" s="543"/>
      <c r="CZ25" s="543"/>
      <c r="DA25" s="543"/>
      <c r="DB25" s="543"/>
      <c r="DC25" s="543"/>
      <c r="DD25" s="543"/>
      <c r="DE25" s="543"/>
      <c r="DF25" s="543"/>
      <c r="DG25" s="543"/>
      <c r="DH25" s="543"/>
      <c r="DI25" s="543"/>
      <c r="DJ25" s="543"/>
      <c r="DK25" s="543"/>
      <c r="DL25" s="543"/>
      <c r="DM25" s="543"/>
      <c r="DN25" s="543"/>
      <c r="DO25" s="543"/>
      <c r="DP25" s="543"/>
      <c r="DQ25" s="543"/>
      <c r="DR25" s="543"/>
      <c r="DS25" s="543"/>
      <c r="DT25" s="543"/>
      <c r="DU25" s="543"/>
      <c r="DV25" s="543"/>
      <c r="DW25" s="543"/>
      <c r="DX25" s="543"/>
      <c r="DY25" s="543"/>
      <c r="DZ25" s="543"/>
      <c r="EA25" s="543"/>
      <c r="EB25" s="543"/>
      <c r="EC25" s="543"/>
      <c r="ED25" s="543"/>
      <c r="EE25" s="543"/>
      <c r="EF25" s="543"/>
      <c r="EG25" s="543"/>
      <c r="EH25" s="543"/>
      <c r="EI25" s="543"/>
      <c r="EJ25" s="543"/>
      <c r="EK25" s="543"/>
      <c r="EL25" s="543"/>
      <c r="EM25" s="543"/>
      <c r="EN25" s="543"/>
      <c r="EO25" s="543"/>
      <c r="EP25" s="543"/>
      <c r="EQ25" s="543"/>
      <c r="ER25" s="543"/>
      <c r="ES25" s="543"/>
      <c r="ET25" s="543"/>
      <c r="EU25" s="543"/>
      <c r="EV25" s="543"/>
      <c r="EW25" s="543"/>
      <c r="EX25" s="543"/>
      <c r="EY25" s="543"/>
      <c r="EZ25" s="543"/>
      <c r="FA25" s="543"/>
      <c r="FB25" s="543"/>
      <c r="FC25" s="543"/>
      <c r="FD25" s="543"/>
      <c r="FE25" s="543"/>
      <c r="FF25" s="543"/>
      <c r="FG25" s="543"/>
      <c r="FH25" s="543"/>
      <c r="FI25" s="543"/>
      <c r="FJ25" s="543"/>
      <c r="FK25" s="543"/>
      <c r="FL25" s="543"/>
      <c r="FM25" s="543"/>
      <c r="FN25" s="543"/>
      <c r="FO25" s="543"/>
      <c r="FP25" s="543"/>
      <c r="FQ25" s="543"/>
      <c r="FR25" s="543"/>
      <c r="FS25" s="543"/>
      <c r="FT25" s="543"/>
      <c r="FU25" s="543"/>
      <c r="FV25" s="543"/>
      <c r="FW25" s="543"/>
      <c r="FX25" s="543"/>
      <c r="FY25" s="543"/>
      <c r="FZ25" s="543"/>
      <c r="GA25" s="543"/>
      <c r="GB25" s="543"/>
      <c r="GC25" s="543"/>
      <c r="GD25" s="543"/>
      <c r="GE25" s="543"/>
      <c r="GF25" s="543"/>
      <c r="GG25" s="543"/>
      <c r="GH25" s="543"/>
      <c r="GI25" s="543"/>
      <c r="GJ25" s="543"/>
      <c r="GK25" s="543"/>
      <c r="GL25" s="543"/>
      <c r="GM25" s="543"/>
      <c r="GN25" s="543"/>
      <c r="GO25" s="543"/>
      <c r="GP25" s="543"/>
      <c r="GQ25" s="543"/>
      <c r="GR25" s="543"/>
      <c r="GS25" s="543"/>
      <c r="GT25" s="543"/>
      <c r="GU25" s="543"/>
      <c r="GV25" s="543"/>
      <c r="GW25" s="543"/>
      <c r="GX25" s="543"/>
      <c r="GY25" s="543"/>
      <c r="GZ25" s="543"/>
      <c r="HA25" s="543"/>
      <c r="HB25" s="543"/>
      <c r="HC25" s="543"/>
      <c r="HD25" s="543"/>
      <c r="HE25" s="543"/>
      <c r="HF25" s="543"/>
      <c r="HG25" s="543"/>
      <c r="HH25" s="543"/>
      <c r="HI25" s="543"/>
      <c r="HJ25" s="543"/>
      <c r="HK25" s="543"/>
      <c r="HL25" s="543"/>
      <c r="HM25" s="543"/>
      <c r="HN25" s="543"/>
      <c r="HO25" s="543"/>
      <c r="HP25" s="543"/>
      <c r="HQ25" s="543"/>
      <c r="HR25" s="543"/>
      <c r="HS25" s="543"/>
      <c r="HT25" s="543"/>
      <c r="HU25" s="543"/>
      <c r="HV25" s="543"/>
      <c r="HW25" s="543"/>
      <c r="HX25" s="543"/>
      <c r="HY25" s="543"/>
      <c r="HZ25" s="543"/>
      <c r="IA25" s="543"/>
      <c r="IB25" s="543"/>
      <c r="IC25" s="543"/>
      <c r="ID25" s="543"/>
      <c r="IE25" s="543"/>
      <c r="IF25" s="543"/>
      <c r="IG25" s="543"/>
      <c r="IH25" s="543"/>
      <c r="II25" s="543"/>
      <c r="IJ25" s="543"/>
      <c r="IK25" s="543"/>
      <c r="IL25" s="543"/>
      <c r="IM25" s="543"/>
      <c r="IN25" s="543"/>
      <c r="IO25" s="543"/>
      <c r="IP25" s="543"/>
      <c r="IQ25" s="543"/>
      <c r="IR25" s="543"/>
      <c r="IS25" s="543"/>
      <c r="IT25" s="543"/>
      <c r="IU25" s="543"/>
    </row>
    <row r="26" spans="1:255">
      <c r="A26" s="543" t="s">
        <v>386</v>
      </c>
      <c r="C26" s="563">
        <f>'ASSUM 1'!N38</f>
        <v>0.35</v>
      </c>
      <c r="D26" s="563">
        <f>'ASSUM 1'!N38</f>
        <v>0.35</v>
      </c>
      <c r="E26" s="563">
        <f>'ASSUM 1'!N38</f>
        <v>0.35</v>
      </c>
      <c r="F26" s="563">
        <f>'ASSUM 1'!N38</f>
        <v>0.35</v>
      </c>
      <c r="G26" s="563">
        <f>'ASSUM 1'!N38</f>
        <v>0.35</v>
      </c>
      <c r="H26" s="563">
        <f>'ASSUM 1'!N38</f>
        <v>0.35</v>
      </c>
      <c r="I26" s="563">
        <f>'ASSUM 1'!N38</f>
        <v>0.35</v>
      </c>
      <c r="J26" s="563">
        <f>'ASSUM 1'!N38</f>
        <v>0.35</v>
      </c>
      <c r="K26" s="563">
        <f>'ASSUM 1'!N38</f>
        <v>0.35</v>
      </c>
      <c r="L26" s="563">
        <f>'ASSUM 1'!N38</f>
        <v>0.35</v>
      </c>
      <c r="M26" s="563">
        <f>'ASSUM 1'!N38</f>
        <v>0.35</v>
      </c>
      <c r="N26" s="563">
        <f>'ASSUM 1'!N38</f>
        <v>0.35</v>
      </c>
      <c r="O26" s="563">
        <f>'ASSUM 1'!N38</f>
        <v>0.35</v>
      </c>
      <c r="P26" s="563">
        <f>'ASSUM 1'!N38</f>
        <v>0.35</v>
      </c>
      <c r="Q26" s="563">
        <f>'ASSUM 1'!N38</f>
        <v>0.35</v>
      </c>
      <c r="R26" s="563">
        <f>'ASSUM 1'!N38</f>
        <v>0.35</v>
      </c>
      <c r="S26" s="563">
        <f>'ASSUM 1'!N38</f>
        <v>0.35</v>
      </c>
      <c r="T26" s="563">
        <f>'ASSUM 1'!N38</f>
        <v>0.35</v>
      </c>
      <c r="U26" s="563">
        <f>'ASSUM 1'!N38</f>
        <v>0.35</v>
      </c>
      <c r="V26" s="563">
        <f>'ASSUM 1'!N38</f>
        <v>0.35</v>
      </c>
      <c r="W26" s="543"/>
      <c r="X26" s="543"/>
      <c r="Y26" s="543"/>
      <c r="Z26" s="543"/>
      <c r="AA26" s="543"/>
      <c r="AB26" s="543"/>
      <c r="AC26" s="543"/>
      <c r="AD26" s="543"/>
      <c r="AE26" s="543"/>
      <c r="AF26" s="543"/>
      <c r="AG26" s="543"/>
      <c r="AH26" s="543"/>
      <c r="AI26" s="543"/>
      <c r="AJ26" s="543"/>
      <c r="AK26" s="543"/>
      <c r="AL26" s="543"/>
      <c r="AM26" s="543"/>
      <c r="AN26" s="543"/>
      <c r="AO26" s="543"/>
      <c r="AP26" s="543"/>
      <c r="AQ26" s="543"/>
      <c r="AR26" s="543"/>
      <c r="AS26" s="543"/>
      <c r="AT26" s="543"/>
      <c r="AU26" s="543"/>
      <c r="AV26" s="543"/>
      <c r="AW26" s="543"/>
      <c r="AX26" s="543"/>
      <c r="AY26" s="543"/>
      <c r="AZ26" s="543"/>
      <c r="BA26" s="543"/>
      <c r="BB26" s="543"/>
      <c r="BC26" s="543"/>
      <c r="BD26" s="543"/>
      <c r="BE26" s="543"/>
      <c r="BF26" s="543"/>
      <c r="BG26" s="543"/>
      <c r="BH26" s="543"/>
      <c r="BI26" s="543"/>
      <c r="BJ26" s="543"/>
      <c r="BK26" s="543"/>
      <c r="BL26" s="543"/>
      <c r="BM26" s="543"/>
      <c r="BN26" s="543"/>
      <c r="BO26" s="543"/>
      <c r="BP26" s="543"/>
      <c r="BQ26" s="543"/>
      <c r="BR26" s="543"/>
      <c r="BS26" s="543"/>
      <c r="BT26" s="543"/>
      <c r="BU26" s="543"/>
      <c r="BV26" s="543"/>
      <c r="BW26" s="543"/>
      <c r="BX26" s="543"/>
      <c r="BY26" s="543"/>
      <c r="BZ26" s="543"/>
      <c r="CA26" s="543"/>
      <c r="CB26" s="543"/>
      <c r="CC26" s="543"/>
      <c r="CD26" s="543"/>
      <c r="CE26" s="543"/>
      <c r="CF26" s="543"/>
      <c r="CG26" s="543"/>
      <c r="CH26" s="543"/>
      <c r="CI26" s="543"/>
      <c r="CJ26" s="543"/>
      <c r="CK26" s="543"/>
      <c r="CL26" s="543"/>
      <c r="CM26" s="543"/>
      <c r="CN26" s="543"/>
      <c r="CO26" s="543"/>
      <c r="CP26" s="543"/>
      <c r="CQ26" s="543"/>
      <c r="CR26" s="543"/>
      <c r="CS26" s="543"/>
      <c r="CT26" s="543"/>
      <c r="CU26" s="543"/>
      <c r="CV26" s="543"/>
      <c r="CW26" s="543"/>
      <c r="CX26" s="543"/>
      <c r="CY26" s="543"/>
      <c r="CZ26" s="543"/>
      <c r="DA26" s="543"/>
      <c r="DB26" s="543"/>
      <c r="DC26" s="543"/>
      <c r="DD26" s="543"/>
      <c r="DE26" s="543"/>
      <c r="DF26" s="543"/>
      <c r="DG26" s="543"/>
      <c r="DH26" s="543"/>
      <c r="DI26" s="543"/>
      <c r="DJ26" s="543"/>
      <c r="DK26" s="543"/>
      <c r="DL26" s="543"/>
      <c r="DM26" s="543"/>
      <c r="DN26" s="543"/>
      <c r="DO26" s="543"/>
      <c r="DP26" s="543"/>
      <c r="DQ26" s="543"/>
      <c r="DR26" s="543"/>
      <c r="DS26" s="543"/>
      <c r="DT26" s="543"/>
      <c r="DU26" s="543"/>
      <c r="DV26" s="543"/>
      <c r="DW26" s="543"/>
      <c r="DX26" s="543"/>
      <c r="DY26" s="543"/>
      <c r="DZ26" s="543"/>
      <c r="EA26" s="543"/>
      <c r="EB26" s="543"/>
      <c r="EC26" s="543"/>
      <c r="ED26" s="543"/>
      <c r="EE26" s="543"/>
      <c r="EF26" s="543"/>
      <c r="EG26" s="543"/>
      <c r="EH26" s="543"/>
      <c r="EI26" s="543"/>
      <c r="EJ26" s="543"/>
      <c r="EK26" s="543"/>
      <c r="EL26" s="543"/>
      <c r="EM26" s="543"/>
      <c r="EN26" s="543"/>
      <c r="EO26" s="543"/>
      <c r="EP26" s="543"/>
      <c r="EQ26" s="543"/>
      <c r="ER26" s="543"/>
      <c r="ES26" s="543"/>
      <c r="ET26" s="543"/>
      <c r="EU26" s="543"/>
      <c r="EV26" s="543"/>
      <c r="EW26" s="543"/>
      <c r="EX26" s="543"/>
      <c r="EY26" s="543"/>
      <c r="EZ26" s="543"/>
      <c r="FA26" s="543"/>
      <c r="FB26" s="543"/>
      <c r="FC26" s="543"/>
      <c r="FD26" s="543"/>
      <c r="FE26" s="543"/>
      <c r="FF26" s="543"/>
      <c r="FG26" s="543"/>
      <c r="FH26" s="543"/>
      <c r="FI26" s="543"/>
      <c r="FJ26" s="543"/>
      <c r="FK26" s="543"/>
      <c r="FL26" s="543"/>
      <c r="FM26" s="543"/>
      <c r="FN26" s="543"/>
      <c r="FO26" s="543"/>
      <c r="FP26" s="543"/>
      <c r="FQ26" s="543"/>
      <c r="FR26" s="543"/>
      <c r="FS26" s="543"/>
      <c r="FT26" s="543"/>
      <c r="FU26" s="543"/>
      <c r="FV26" s="543"/>
      <c r="FW26" s="543"/>
      <c r="FX26" s="543"/>
      <c r="FY26" s="543"/>
      <c r="FZ26" s="543"/>
      <c r="GA26" s="543"/>
      <c r="GB26" s="543"/>
      <c r="GC26" s="543"/>
      <c r="GD26" s="543"/>
      <c r="GE26" s="543"/>
      <c r="GF26" s="543"/>
      <c r="GG26" s="543"/>
      <c r="GH26" s="543"/>
      <c r="GI26" s="543"/>
      <c r="GJ26" s="543"/>
      <c r="GK26" s="543"/>
      <c r="GL26" s="543"/>
      <c r="GM26" s="543"/>
      <c r="GN26" s="543"/>
      <c r="GO26" s="543"/>
      <c r="GP26" s="543"/>
      <c r="GQ26" s="543"/>
      <c r="GR26" s="543"/>
      <c r="GS26" s="543"/>
      <c r="GT26" s="543"/>
      <c r="GU26" s="543"/>
      <c r="GV26" s="543"/>
      <c r="GW26" s="543"/>
      <c r="GX26" s="543"/>
      <c r="GY26" s="543"/>
      <c r="GZ26" s="543"/>
      <c r="HA26" s="543"/>
      <c r="HB26" s="543"/>
      <c r="HC26" s="543"/>
      <c r="HD26" s="543"/>
      <c r="HE26" s="543"/>
      <c r="HF26" s="543"/>
      <c r="HG26" s="543"/>
      <c r="HH26" s="543"/>
      <c r="HI26" s="543"/>
      <c r="HJ26" s="543"/>
      <c r="HK26" s="543"/>
      <c r="HL26" s="543"/>
      <c r="HM26" s="543"/>
      <c r="HN26" s="543"/>
      <c r="HO26" s="543"/>
      <c r="HP26" s="543"/>
      <c r="HQ26" s="543"/>
      <c r="HR26" s="543"/>
      <c r="HS26" s="543"/>
      <c r="HT26" s="543"/>
      <c r="HU26" s="543"/>
      <c r="HV26" s="543"/>
      <c r="HW26" s="543"/>
      <c r="HX26" s="543"/>
      <c r="HY26" s="543"/>
      <c r="HZ26" s="543"/>
      <c r="IA26" s="543"/>
      <c r="IB26" s="543"/>
      <c r="IC26" s="543"/>
      <c r="ID26" s="543"/>
      <c r="IE26" s="543"/>
      <c r="IF26" s="543"/>
      <c r="IG26" s="543"/>
      <c r="IH26" s="543"/>
      <c r="II26" s="543"/>
      <c r="IJ26" s="543"/>
      <c r="IK26" s="543"/>
      <c r="IL26" s="543"/>
      <c r="IM26" s="543"/>
      <c r="IN26" s="543"/>
      <c r="IO26" s="543"/>
      <c r="IP26" s="543"/>
      <c r="IQ26" s="543"/>
      <c r="IR26" s="543"/>
      <c r="IS26" s="543"/>
      <c r="IT26" s="543"/>
      <c r="IU26" s="543"/>
    </row>
    <row r="27" spans="1:255">
      <c r="W27" s="543"/>
      <c r="X27" s="543"/>
      <c r="Y27" s="543"/>
      <c r="Z27" s="543"/>
      <c r="AA27" s="543"/>
      <c r="AB27" s="543"/>
      <c r="AC27" s="543"/>
      <c r="AD27" s="543"/>
      <c r="AE27" s="543"/>
      <c r="AF27" s="543"/>
      <c r="AG27" s="543"/>
      <c r="AH27" s="543"/>
      <c r="AI27" s="543"/>
      <c r="AJ27" s="543"/>
      <c r="AK27" s="543"/>
      <c r="AL27" s="543"/>
      <c r="AM27" s="543"/>
      <c r="AN27" s="543"/>
      <c r="AO27" s="543"/>
      <c r="AP27" s="543"/>
      <c r="AQ27" s="543"/>
      <c r="AR27" s="543"/>
      <c r="AS27" s="543"/>
      <c r="AT27" s="543"/>
      <c r="AU27" s="543"/>
      <c r="AV27" s="543"/>
      <c r="AW27" s="543"/>
      <c r="AX27" s="543"/>
      <c r="AY27" s="543"/>
      <c r="AZ27" s="543"/>
      <c r="BA27" s="543"/>
      <c r="BB27" s="543"/>
      <c r="BC27" s="543"/>
      <c r="BD27" s="543"/>
      <c r="BE27" s="543"/>
      <c r="BF27" s="543"/>
      <c r="BG27" s="543"/>
      <c r="BH27" s="543"/>
      <c r="BI27" s="543"/>
      <c r="BJ27" s="543"/>
      <c r="BK27" s="543"/>
      <c r="BL27" s="543"/>
      <c r="BM27" s="543"/>
      <c r="BN27" s="543"/>
      <c r="BO27" s="543"/>
      <c r="BP27" s="543"/>
      <c r="BQ27" s="543"/>
      <c r="BR27" s="543"/>
      <c r="BS27" s="543"/>
      <c r="BT27" s="543"/>
      <c r="BU27" s="543"/>
      <c r="BV27" s="543"/>
      <c r="BW27" s="543"/>
      <c r="BX27" s="543"/>
      <c r="BY27" s="543"/>
      <c r="BZ27" s="543"/>
      <c r="CA27" s="543"/>
      <c r="CB27" s="543"/>
      <c r="CC27" s="543"/>
      <c r="CD27" s="543"/>
      <c r="CE27" s="543"/>
      <c r="CF27" s="543"/>
      <c r="CG27" s="543"/>
      <c r="CH27" s="543"/>
      <c r="CI27" s="543"/>
      <c r="CJ27" s="543"/>
      <c r="CK27" s="543"/>
      <c r="CL27" s="543"/>
      <c r="CM27" s="543"/>
      <c r="CN27" s="543"/>
      <c r="CO27" s="543"/>
      <c r="CP27" s="543"/>
      <c r="CQ27" s="543"/>
      <c r="CR27" s="543"/>
      <c r="CS27" s="543"/>
      <c r="CT27" s="543"/>
      <c r="CU27" s="543"/>
      <c r="CV27" s="543"/>
      <c r="CW27" s="543"/>
      <c r="CX27" s="543"/>
      <c r="CY27" s="543"/>
      <c r="CZ27" s="543"/>
      <c r="DA27" s="543"/>
      <c r="DB27" s="543"/>
      <c r="DC27" s="543"/>
      <c r="DD27" s="543"/>
      <c r="DE27" s="543"/>
      <c r="DF27" s="543"/>
      <c r="DG27" s="543"/>
      <c r="DH27" s="543"/>
      <c r="DI27" s="543"/>
      <c r="DJ27" s="543"/>
      <c r="DK27" s="543"/>
      <c r="DL27" s="543"/>
      <c r="DM27" s="543"/>
      <c r="DN27" s="543"/>
      <c r="DO27" s="543"/>
      <c r="DP27" s="543"/>
      <c r="DQ27" s="543"/>
      <c r="DR27" s="543"/>
      <c r="DS27" s="543"/>
      <c r="DT27" s="543"/>
      <c r="DU27" s="543"/>
      <c r="DV27" s="543"/>
      <c r="DW27" s="543"/>
      <c r="DX27" s="543"/>
      <c r="DY27" s="543"/>
      <c r="DZ27" s="543"/>
      <c r="EA27" s="543"/>
      <c r="EB27" s="543"/>
      <c r="EC27" s="543"/>
      <c r="ED27" s="543"/>
      <c r="EE27" s="543"/>
      <c r="EF27" s="543"/>
      <c r="EG27" s="543"/>
      <c r="EH27" s="543"/>
      <c r="EI27" s="543"/>
      <c r="EJ27" s="543"/>
      <c r="EK27" s="543"/>
      <c r="EL27" s="543"/>
      <c r="EM27" s="543"/>
      <c r="EN27" s="543"/>
      <c r="EO27" s="543"/>
      <c r="EP27" s="543"/>
      <c r="EQ27" s="543"/>
      <c r="ER27" s="543"/>
      <c r="ES27" s="543"/>
      <c r="ET27" s="543"/>
      <c r="EU27" s="543"/>
      <c r="EV27" s="543"/>
      <c r="EW27" s="543"/>
      <c r="EX27" s="543"/>
      <c r="EY27" s="543"/>
      <c r="EZ27" s="543"/>
      <c r="FA27" s="543"/>
      <c r="FB27" s="543"/>
      <c r="FC27" s="543"/>
      <c r="FD27" s="543"/>
      <c r="FE27" s="543"/>
      <c r="FF27" s="543"/>
      <c r="FG27" s="543"/>
      <c r="FH27" s="543"/>
      <c r="FI27" s="543"/>
      <c r="FJ27" s="543"/>
      <c r="FK27" s="543"/>
      <c r="FL27" s="543"/>
      <c r="FM27" s="543"/>
      <c r="FN27" s="543"/>
      <c r="FO27" s="543"/>
      <c r="FP27" s="543"/>
      <c r="FQ27" s="543"/>
      <c r="FR27" s="543"/>
      <c r="FS27" s="543"/>
      <c r="FT27" s="543"/>
      <c r="FU27" s="543"/>
      <c r="FV27" s="543"/>
      <c r="FW27" s="543"/>
      <c r="FX27" s="543"/>
      <c r="FY27" s="543"/>
      <c r="FZ27" s="543"/>
      <c r="GA27" s="543"/>
      <c r="GB27" s="543"/>
      <c r="GC27" s="543"/>
      <c r="GD27" s="543"/>
      <c r="GE27" s="543"/>
      <c r="GF27" s="543"/>
      <c r="GG27" s="543"/>
      <c r="GH27" s="543"/>
      <c r="GI27" s="543"/>
      <c r="GJ27" s="543"/>
      <c r="GK27" s="543"/>
      <c r="GL27" s="543"/>
      <c r="GM27" s="543"/>
      <c r="GN27" s="543"/>
      <c r="GO27" s="543"/>
      <c r="GP27" s="543"/>
      <c r="GQ27" s="543"/>
      <c r="GR27" s="543"/>
      <c r="GS27" s="543"/>
      <c r="GT27" s="543"/>
      <c r="GU27" s="543"/>
      <c r="GV27" s="543"/>
      <c r="GW27" s="543"/>
      <c r="GX27" s="543"/>
      <c r="GY27" s="543"/>
      <c r="GZ27" s="543"/>
      <c r="HA27" s="543"/>
      <c r="HB27" s="543"/>
      <c r="HC27" s="543"/>
      <c r="HD27" s="543"/>
      <c r="HE27" s="543"/>
      <c r="HF27" s="543"/>
      <c r="HG27" s="543"/>
      <c r="HH27" s="543"/>
      <c r="HI27" s="543"/>
      <c r="HJ27" s="543"/>
      <c r="HK27" s="543"/>
      <c r="HL27" s="543"/>
      <c r="HM27" s="543"/>
      <c r="HN27" s="543"/>
      <c r="HO27" s="543"/>
      <c r="HP27" s="543"/>
      <c r="HQ27" s="543"/>
      <c r="HR27" s="543"/>
      <c r="HS27" s="543"/>
      <c r="HT27" s="543"/>
      <c r="HU27" s="543"/>
      <c r="HV27" s="543"/>
      <c r="HW27" s="543"/>
      <c r="HX27" s="543"/>
      <c r="HY27" s="543"/>
      <c r="HZ27" s="543"/>
      <c r="IA27" s="543"/>
      <c r="IB27" s="543"/>
      <c r="IC27" s="543"/>
      <c r="ID27" s="543"/>
      <c r="IE27" s="543"/>
      <c r="IF27" s="543"/>
      <c r="IG27" s="543"/>
      <c r="IH27" s="543"/>
      <c r="II27" s="543"/>
      <c r="IJ27" s="543"/>
      <c r="IK27" s="543"/>
      <c r="IL27" s="543"/>
      <c r="IM27" s="543"/>
      <c r="IN27" s="543"/>
      <c r="IO27" s="543"/>
      <c r="IP27" s="543"/>
      <c r="IQ27" s="543"/>
      <c r="IR27" s="543"/>
      <c r="IS27" s="543"/>
      <c r="IT27" s="543"/>
      <c r="IU27" s="543"/>
    </row>
    <row r="28" spans="1:255">
      <c r="A28" s="564" t="s">
        <v>387</v>
      </c>
      <c r="C28" s="565">
        <f t="shared" ref="C28:V28" ca="1" si="7">C23</f>
        <v>0</v>
      </c>
      <c r="D28" s="565">
        <f t="shared" ca="1" si="7"/>
        <v>1646.85101103235</v>
      </c>
      <c r="E28" s="565">
        <f t="shared" ca="1" si="7"/>
        <v>2175.0812538126088</v>
      </c>
      <c r="F28" s="565">
        <f t="shared" ca="1" si="7"/>
        <v>4736.6322150562219</v>
      </c>
      <c r="G28" s="565">
        <f t="shared" ca="1" si="7"/>
        <v>6501.7874069331683</v>
      </c>
      <c r="H28" s="565">
        <f t="shared" ca="1" si="7"/>
        <v>1942.8267169346448</v>
      </c>
      <c r="I28" s="565">
        <f t="shared" ca="1" si="7"/>
        <v>9222.93654473682</v>
      </c>
      <c r="J28" s="565">
        <f t="shared" ca="1" si="7"/>
        <v>16880.496707203354</v>
      </c>
      <c r="K28" s="565">
        <f t="shared" ca="1" si="7"/>
        <v>17693.305825593125</v>
      </c>
      <c r="L28" s="565">
        <f t="shared" ca="1" si="7"/>
        <v>16134.828859537694</v>
      </c>
      <c r="M28" s="565">
        <f t="shared" ca="1" si="7"/>
        <v>17236.957842340158</v>
      </c>
      <c r="N28" s="565">
        <f t="shared" ca="1" si="7"/>
        <v>16146.177872990251</v>
      </c>
      <c r="O28" s="565">
        <f t="shared" ca="1" si="7"/>
        <v>15625.612196782085</v>
      </c>
      <c r="P28" s="565">
        <f t="shared" ca="1" si="7"/>
        <v>13322.760483815418</v>
      </c>
      <c r="Q28" s="565">
        <f t="shared" ca="1" si="7"/>
        <v>19014.228509568438</v>
      </c>
      <c r="R28" s="565">
        <f t="shared" ca="1" si="7"/>
        <v>29218.147942128609</v>
      </c>
      <c r="S28" s="565">
        <f t="shared" ca="1" si="7"/>
        <v>39319.880686413133</v>
      </c>
      <c r="T28" s="565">
        <f t="shared" ca="1" si="7"/>
        <v>40558.652085400048</v>
      </c>
      <c r="U28" s="565">
        <f t="shared" ca="1" si="7"/>
        <v>44378.782687475526</v>
      </c>
      <c r="V28" s="565">
        <f t="shared" ca="1" si="7"/>
        <v>36698.619250180382</v>
      </c>
      <c r="W28" s="543"/>
      <c r="X28" s="543"/>
      <c r="Y28" s="543"/>
      <c r="Z28" s="543"/>
      <c r="AA28" s="543"/>
      <c r="AB28" s="543"/>
      <c r="AC28" s="543"/>
      <c r="AD28" s="543"/>
      <c r="AE28" s="543"/>
      <c r="AF28" s="543"/>
      <c r="AG28" s="543"/>
      <c r="AH28" s="543"/>
      <c r="AI28" s="543"/>
      <c r="AJ28" s="543"/>
      <c r="AK28" s="543"/>
      <c r="AL28" s="543"/>
      <c r="AM28" s="543"/>
      <c r="AN28" s="543"/>
      <c r="AO28" s="543"/>
      <c r="AP28" s="543"/>
      <c r="AQ28" s="543"/>
      <c r="AR28" s="543"/>
      <c r="AS28" s="543"/>
      <c r="AT28" s="543"/>
      <c r="AU28" s="543"/>
      <c r="AV28" s="543"/>
      <c r="AW28" s="543"/>
      <c r="AX28" s="543"/>
      <c r="AY28" s="543"/>
      <c r="AZ28" s="543"/>
      <c r="BA28" s="543"/>
      <c r="BB28" s="543"/>
      <c r="BC28" s="543"/>
      <c r="BD28" s="543"/>
      <c r="BE28" s="543"/>
      <c r="BF28" s="543"/>
      <c r="BG28" s="543"/>
      <c r="BH28" s="543"/>
      <c r="BI28" s="543"/>
      <c r="BJ28" s="543"/>
      <c r="BK28" s="543"/>
      <c r="BL28" s="543"/>
      <c r="BM28" s="543"/>
      <c r="BN28" s="543"/>
      <c r="BO28" s="543"/>
      <c r="BP28" s="543"/>
      <c r="BQ28" s="543"/>
      <c r="BR28" s="543"/>
      <c r="BS28" s="543"/>
      <c r="BT28" s="543"/>
      <c r="BU28" s="543"/>
      <c r="BV28" s="543"/>
      <c r="BW28" s="543"/>
      <c r="BX28" s="543"/>
      <c r="BY28" s="543"/>
      <c r="BZ28" s="543"/>
      <c r="CA28" s="543"/>
      <c r="CB28" s="543"/>
      <c r="CC28" s="543"/>
      <c r="CD28" s="543"/>
      <c r="CE28" s="543"/>
      <c r="CF28" s="543"/>
      <c r="CG28" s="543"/>
      <c r="CH28" s="543"/>
      <c r="CI28" s="543"/>
      <c r="CJ28" s="543"/>
      <c r="CK28" s="543"/>
      <c r="CL28" s="543"/>
      <c r="CM28" s="543"/>
      <c r="CN28" s="543"/>
      <c r="CO28" s="543"/>
      <c r="CP28" s="543"/>
      <c r="CQ28" s="543"/>
      <c r="CR28" s="543"/>
      <c r="CS28" s="543"/>
      <c r="CT28" s="543"/>
      <c r="CU28" s="543"/>
      <c r="CV28" s="543"/>
      <c r="CW28" s="543"/>
      <c r="CX28" s="543"/>
      <c r="CY28" s="543"/>
      <c r="CZ28" s="543"/>
      <c r="DA28" s="543"/>
      <c r="DB28" s="543"/>
      <c r="DC28" s="543"/>
      <c r="DD28" s="543"/>
      <c r="DE28" s="543"/>
      <c r="DF28" s="543"/>
      <c r="DG28" s="543"/>
      <c r="DH28" s="543"/>
      <c r="DI28" s="543"/>
      <c r="DJ28" s="543"/>
      <c r="DK28" s="543"/>
      <c r="DL28" s="543"/>
      <c r="DM28" s="543"/>
      <c r="DN28" s="543"/>
      <c r="DO28" s="543"/>
      <c r="DP28" s="543"/>
      <c r="DQ28" s="543"/>
      <c r="DR28" s="543"/>
      <c r="DS28" s="543"/>
      <c r="DT28" s="543"/>
      <c r="DU28" s="543"/>
      <c r="DV28" s="543"/>
      <c r="DW28" s="543"/>
      <c r="DX28" s="543"/>
      <c r="DY28" s="543"/>
      <c r="DZ28" s="543"/>
      <c r="EA28" s="543"/>
      <c r="EB28" s="543"/>
      <c r="EC28" s="543"/>
      <c r="ED28" s="543"/>
      <c r="EE28" s="543"/>
      <c r="EF28" s="543"/>
      <c r="EG28" s="543"/>
      <c r="EH28" s="543"/>
      <c r="EI28" s="543"/>
      <c r="EJ28" s="543"/>
      <c r="EK28" s="543"/>
      <c r="EL28" s="543"/>
      <c r="EM28" s="543"/>
      <c r="EN28" s="543"/>
      <c r="EO28" s="543"/>
      <c r="EP28" s="543"/>
      <c r="EQ28" s="543"/>
      <c r="ER28" s="543"/>
      <c r="ES28" s="543"/>
      <c r="ET28" s="543"/>
      <c r="EU28" s="543"/>
      <c r="EV28" s="543"/>
      <c r="EW28" s="543"/>
      <c r="EX28" s="543"/>
      <c r="EY28" s="543"/>
      <c r="EZ28" s="543"/>
      <c r="FA28" s="543"/>
      <c r="FB28" s="543"/>
      <c r="FC28" s="543"/>
      <c r="FD28" s="543"/>
      <c r="FE28" s="543"/>
      <c r="FF28" s="543"/>
      <c r="FG28" s="543"/>
      <c r="FH28" s="543"/>
      <c r="FI28" s="543"/>
      <c r="FJ28" s="543"/>
      <c r="FK28" s="543"/>
      <c r="FL28" s="543"/>
      <c r="FM28" s="543"/>
      <c r="FN28" s="543"/>
      <c r="FO28" s="543"/>
      <c r="FP28" s="543"/>
      <c r="FQ28" s="543"/>
      <c r="FR28" s="543"/>
      <c r="FS28" s="543"/>
      <c r="FT28" s="543"/>
      <c r="FU28" s="543"/>
      <c r="FV28" s="543"/>
      <c r="FW28" s="543"/>
      <c r="FX28" s="543"/>
      <c r="FY28" s="543"/>
      <c r="FZ28" s="543"/>
      <c r="GA28" s="543"/>
      <c r="GB28" s="543"/>
      <c r="GC28" s="543"/>
      <c r="GD28" s="543"/>
      <c r="GE28" s="543"/>
      <c r="GF28" s="543"/>
      <c r="GG28" s="543"/>
      <c r="GH28" s="543"/>
      <c r="GI28" s="543"/>
      <c r="GJ28" s="543"/>
      <c r="GK28" s="543"/>
      <c r="GL28" s="543"/>
      <c r="GM28" s="543"/>
      <c r="GN28" s="543"/>
      <c r="GO28" s="543"/>
      <c r="GP28" s="543"/>
      <c r="GQ28" s="543"/>
      <c r="GR28" s="543"/>
      <c r="GS28" s="543"/>
      <c r="GT28" s="543"/>
      <c r="GU28" s="543"/>
      <c r="GV28" s="543"/>
      <c r="GW28" s="543"/>
      <c r="GX28" s="543"/>
      <c r="GY28" s="543"/>
      <c r="GZ28" s="543"/>
      <c r="HA28" s="543"/>
      <c r="HB28" s="543"/>
      <c r="HC28" s="543"/>
      <c r="HD28" s="543"/>
      <c r="HE28" s="543"/>
      <c r="HF28" s="543"/>
      <c r="HG28" s="543"/>
      <c r="HH28" s="543"/>
      <c r="HI28" s="543"/>
      <c r="HJ28" s="543"/>
      <c r="HK28" s="543"/>
      <c r="HL28" s="543"/>
      <c r="HM28" s="543"/>
      <c r="HN28" s="543"/>
      <c r="HO28" s="543"/>
      <c r="HP28" s="543"/>
      <c r="HQ28" s="543"/>
      <c r="HR28" s="543"/>
      <c r="HS28" s="543"/>
      <c r="HT28" s="543"/>
      <c r="HU28" s="543"/>
      <c r="HV28" s="543"/>
      <c r="HW28" s="543"/>
      <c r="HX28" s="543"/>
      <c r="HY28" s="543"/>
      <c r="HZ28" s="543"/>
      <c r="IA28" s="543"/>
      <c r="IB28" s="543"/>
      <c r="IC28" s="543"/>
      <c r="ID28" s="543"/>
      <c r="IE28" s="543"/>
      <c r="IF28" s="543"/>
      <c r="IG28" s="543"/>
      <c r="IH28" s="543"/>
      <c r="II28" s="543"/>
      <c r="IJ28" s="543"/>
      <c r="IK28" s="543"/>
      <c r="IL28" s="543"/>
      <c r="IM28" s="543"/>
      <c r="IN28" s="543"/>
      <c r="IO28" s="543"/>
      <c r="IP28" s="543"/>
      <c r="IQ28" s="543"/>
      <c r="IR28" s="543"/>
      <c r="IS28" s="543"/>
      <c r="IT28" s="543"/>
      <c r="IU28" s="543"/>
    </row>
    <row r="29" spans="1:255">
      <c r="W29" s="543"/>
      <c r="X29" s="543"/>
      <c r="Y29" s="543"/>
      <c r="Z29" s="543"/>
      <c r="AA29" s="543"/>
      <c r="AB29" s="543"/>
      <c r="AC29" s="543"/>
      <c r="AD29" s="543"/>
      <c r="AE29" s="543"/>
      <c r="AF29" s="543"/>
      <c r="AG29" s="543"/>
      <c r="AH29" s="543"/>
      <c r="AI29" s="543"/>
      <c r="AJ29" s="543"/>
      <c r="AK29" s="543"/>
      <c r="AL29" s="543"/>
      <c r="AM29" s="543"/>
      <c r="AN29" s="543"/>
      <c r="AO29" s="543"/>
      <c r="AP29" s="543"/>
      <c r="AQ29" s="543"/>
      <c r="AR29" s="543"/>
      <c r="AS29" s="543"/>
      <c r="AT29" s="543"/>
      <c r="AU29" s="543"/>
      <c r="AV29" s="543"/>
      <c r="AW29" s="543"/>
      <c r="AX29" s="543"/>
      <c r="AY29" s="543"/>
      <c r="AZ29" s="543"/>
      <c r="BA29" s="543"/>
      <c r="BB29" s="543"/>
      <c r="BC29" s="543"/>
      <c r="BD29" s="543"/>
      <c r="BE29" s="543"/>
      <c r="BF29" s="543"/>
      <c r="BG29" s="543"/>
      <c r="BH29" s="543"/>
      <c r="BI29" s="543"/>
      <c r="BJ29" s="543"/>
      <c r="BK29" s="543"/>
      <c r="BL29" s="543"/>
      <c r="BM29" s="543"/>
      <c r="BN29" s="543"/>
      <c r="BO29" s="543"/>
      <c r="BP29" s="543"/>
      <c r="BQ29" s="543"/>
      <c r="BR29" s="543"/>
      <c r="BS29" s="543"/>
      <c r="BT29" s="543"/>
      <c r="BU29" s="543"/>
      <c r="BV29" s="543"/>
      <c r="BW29" s="543"/>
      <c r="BX29" s="543"/>
      <c r="BY29" s="543"/>
      <c r="BZ29" s="543"/>
      <c r="CA29" s="543"/>
      <c r="CB29" s="543"/>
      <c r="CC29" s="543"/>
      <c r="CD29" s="543"/>
      <c r="CE29" s="543"/>
      <c r="CF29" s="543"/>
      <c r="CG29" s="543"/>
      <c r="CH29" s="543"/>
      <c r="CI29" s="543"/>
      <c r="CJ29" s="543"/>
      <c r="CK29" s="543"/>
      <c r="CL29" s="543"/>
      <c r="CM29" s="543"/>
      <c r="CN29" s="543"/>
      <c r="CO29" s="543"/>
      <c r="CP29" s="543"/>
      <c r="CQ29" s="543"/>
      <c r="CR29" s="543"/>
      <c r="CS29" s="543"/>
      <c r="CT29" s="543"/>
      <c r="CU29" s="543"/>
      <c r="CV29" s="543"/>
      <c r="CW29" s="543"/>
      <c r="CX29" s="543"/>
      <c r="CY29" s="543"/>
      <c r="CZ29" s="543"/>
      <c r="DA29" s="543"/>
      <c r="DB29" s="543"/>
      <c r="DC29" s="543"/>
      <c r="DD29" s="543"/>
      <c r="DE29" s="543"/>
      <c r="DF29" s="543"/>
      <c r="DG29" s="543"/>
      <c r="DH29" s="543"/>
      <c r="DI29" s="543"/>
      <c r="DJ29" s="543"/>
      <c r="DK29" s="543"/>
      <c r="DL29" s="543"/>
      <c r="DM29" s="543"/>
      <c r="DN29" s="543"/>
      <c r="DO29" s="543"/>
      <c r="DP29" s="543"/>
      <c r="DQ29" s="543"/>
      <c r="DR29" s="543"/>
      <c r="DS29" s="543"/>
      <c r="DT29" s="543"/>
      <c r="DU29" s="543"/>
      <c r="DV29" s="543"/>
      <c r="DW29" s="543"/>
      <c r="DX29" s="543"/>
      <c r="DY29" s="543"/>
      <c r="DZ29" s="543"/>
      <c r="EA29" s="543"/>
      <c r="EB29" s="543"/>
      <c r="EC29" s="543"/>
      <c r="ED29" s="543"/>
      <c r="EE29" s="543"/>
      <c r="EF29" s="543"/>
      <c r="EG29" s="543"/>
      <c r="EH29" s="543"/>
      <c r="EI29" s="543"/>
      <c r="EJ29" s="543"/>
      <c r="EK29" s="543"/>
      <c r="EL29" s="543"/>
      <c r="EM29" s="543"/>
      <c r="EN29" s="543"/>
      <c r="EO29" s="543"/>
      <c r="EP29" s="543"/>
      <c r="EQ29" s="543"/>
      <c r="ER29" s="543"/>
      <c r="ES29" s="543"/>
      <c r="ET29" s="543"/>
      <c r="EU29" s="543"/>
      <c r="EV29" s="543"/>
      <c r="EW29" s="543"/>
      <c r="EX29" s="543"/>
      <c r="EY29" s="543"/>
      <c r="EZ29" s="543"/>
      <c r="FA29" s="543"/>
      <c r="FB29" s="543"/>
      <c r="FC29" s="543"/>
      <c r="FD29" s="543"/>
      <c r="FE29" s="543"/>
      <c r="FF29" s="543"/>
      <c r="FG29" s="543"/>
      <c r="FH29" s="543"/>
      <c r="FI29" s="543"/>
      <c r="FJ29" s="543"/>
      <c r="FK29" s="543"/>
      <c r="FL29" s="543"/>
      <c r="FM29" s="543"/>
      <c r="FN29" s="543"/>
      <c r="FO29" s="543"/>
      <c r="FP29" s="543"/>
      <c r="FQ29" s="543"/>
      <c r="FR29" s="543"/>
      <c r="FS29" s="543"/>
      <c r="FT29" s="543"/>
      <c r="FU29" s="543"/>
      <c r="FV29" s="543"/>
      <c r="FW29" s="543"/>
      <c r="FX29" s="543"/>
      <c r="FY29" s="543"/>
      <c r="FZ29" s="543"/>
      <c r="GA29" s="543"/>
      <c r="GB29" s="543"/>
      <c r="GC29" s="543"/>
      <c r="GD29" s="543"/>
      <c r="GE29" s="543"/>
      <c r="GF29" s="543"/>
      <c r="GG29" s="543"/>
      <c r="GH29" s="543"/>
      <c r="GI29" s="543"/>
      <c r="GJ29" s="543"/>
      <c r="GK29" s="543"/>
      <c r="GL29" s="543"/>
      <c r="GM29" s="543"/>
      <c r="GN29" s="543"/>
      <c r="GO29" s="543"/>
      <c r="GP29" s="543"/>
      <c r="GQ29" s="543"/>
      <c r="GR29" s="543"/>
      <c r="GS29" s="543"/>
      <c r="GT29" s="543"/>
      <c r="GU29" s="543"/>
      <c r="GV29" s="543"/>
      <c r="GW29" s="543"/>
      <c r="GX29" s="543"/>
      <c r="GY29" s="543"/>
      <c r="GZ29" s="543"/>
      <c r="HA29" s="543"/>
      <c r="HB29" s="543"/>
      <c r="HC29" s="543"/>
      <c r="HD29" s="543"/>
      <c r="HE29" s="543"/>
      <c r="HF29" s="543"/>
      <c r="HG29" s="543"/>
      <c r="HH29" s="543"/>
      <c r="HI29" s="543"/>
      <c r="HJ29" s="543"/>
      <c r="HK29" s="543"/>
      <c r="HL29" s="543"/>
      <c r="HM29" s="543"/>
      <c r="HN29" s="543"/>
      <c r="HO29" s="543"/>
      <c r="HP29" s="543"/>
      <c r="HQ29" s="543"/>
      <c r="HR29" s="543"/>
      <c r="HS29" s="543"/>
      <c r="HT29" s="543"/>
      <c r="HU29" s="543"/>
      <c r="HV29" s="543"/>
      <c r="HW29" s="543"/>
      <c r="HX29" s="543"/>
      <c r="HY29" s="543"/>
      <c r="HZ29" s="543"/>
      <c r="IA29" s="543"/>
      <c r="IB29" s="543"/>
      <c r="IC29" s="543"/>
      <c r="ID29" s="543"/>
      <c r="IE29" s="543"/>
      <c r="IF29" s="543"/>
      <c r="IG29" s="543"/>
      <c r="IH29" s="543"/>
      <c r="II29" s="543"/>
      <c r="IJ29" s="543"/>
      <c r="IK29" s="543"/>
      <c r="IL29" s="543"/>
      <c r="IM29" s="543"/>
      <c r="IN29" s="543"/>
      <c r="IO29" s="543"/>
      <c r="IP29" s="543"/>
      <c r="IQ29" s="543"/>
      <c r="IR29" s="543"/>
      <c r="IS29" s="543"/>
      <c r="IT29" s="543"/>
      <c r="IU29" s="543"/>
    </row>
    <row r="30" spans="1:255">
      <c r="A30" s="554" t="s">
        <v>388</v>
      </c>
      <c r="B30" s="555"/>
      <c r="C30" s="562">
        <f t="shared" ref="C30:V30" ca="1" si="8">C28*C26</f>
        <v>0</v>
      </c>
      <c r="D30" s="562">
        <f t="shared" ca="1" si="8"/>
        <v>576.39785386132246</v>
      </c>
      <c r="E30" s="562">
        <f t="shared" ca="1" si="8"/>
        <v>761.27843883441301</v>
      </c>
      <c r="F30" s="562">
        <f t="shared" ca="1" si="8"/>
        <v>1657.8212752696775</v>
      </c>
      <c r="G30" s="562">
        <f t="shared" ca="1" si="8"/>
        <v>2275.6255924266088</v>
      </c>
      <c r="H30" s="562">
        <f t="shared" ca="1" si="8"/>
        <v>679.98935092712566</v>
      </c>
      <c r="I30" s="562">
        <f t="shared" ca="1" si="8"/>
        <v>3228.0277906578867</v>
      </c>
      <c r="J30" s="562">
        <f t="shared" ca="1" si="8"/>
        <v>5908.1738475211732</v>
      </c>
      <c r="K30" s="562">
        <f t="shared" ca="1" si="8"/>
        <v>6192.6570389575936</v>
      </c>
      <c r="L30" s="562">
        <f t="shared" ca="1" si="8"/>
        <v>5647.1901008381928</v>
      </c>
      <c r="M30" s="562">
        <f t="shared" ca="1" si="8"/>
        <v>6032.9352448190548</v>
      </c>
      <c r="N30" s="562">
        <f t="shared" ca="1" si="8"/>
        <v>5651.1622555465874</v>
      </c>
      <c r="O30" s="562">
        <f t="shared" ca="1" si="8"/>
        <v>5468.9642688737295</v>
      </c>
      <c r="P30" s="562">
        <f t="shared" ca="1" si="8"/>
        <v>4662.9661693353964</v>
      </c>
      <c r="Q30" s="562">
        <f t="shared" ca="1" si="8"/>
        <v>6654.9799783489534</v>
      </c>
      <c r="R30" s="562">
        <f t="shared" ca="1" si="8"/>
        <v>10226.351779745013</v>
      </c>
      <c r="S30" s="562">
        <f t="shared" ca="1" si="8"/>
        <v>13761.958240244596</v>
      </c>
      <c r="T30" s="562">
        <f t="shared" ca="1" si="8"/>
        <v>14195.528229890017</v>
      </c>
      <c r="U30" s="562">
        <f t="shared" ca="1" si="8"/>
        <v>15532.573940616434</v>
      </c>
      <c r="V30" s="562">
        <f t="shared" ca="1" si="8"/>
        <v>12844.516737563134</v>
      </c>
      <c r="W30" s="543"/>
      <c r="X30" s="543"/>
      <c r="Y30" s="543"/>
      <c r="Z30" s="543"/>
      <c r="AA30" s="543"/>
      <c r="AB30" s="543"/>
      <c r="AC30" s="543"/>
      <c r="AD30" s="543"/>
      <c r="AE30" s="543"/>
      <c r="AF30" s="543"/>
      <c r="AG30" s="543"/>
      <c r="AH30" s="543"/>
      <c r="AI30" s="543"/>
      <c r="AJ30" s="543"/>
      <c r="AK30" s="543"/>
      <c r="AL30" s="543"/>
      <c r="AM30" s="543"/>
      <c r="AN30" s="543"/>
      <c r="AO30" s="543"/>
      <c r="AP30" s="543"/>
      <c r="AQ30" s="543"/>
      <c r="AR30" s="543"/>
      <c r="AS30" s="543"/>
      <c r="AT30" s="543"/>
      <c r="AU30" s="543"/>
      <c r="AV30" s="543"/>
      <c r="AW30" s="543"/>
      <c r="AX30" s="543"/>
      <c r="AY30" s="543"/>
      <c r="AZ30" s="543"/>
      <c r="BA30" s="543"/>
      <c r="BB30" s="543"/>
      <c r="BC30" s="543"/>
      <c r="BD30" s="543"/>
      <c r="BE30" s="543"/>
      <c r="BF30" s="543"/>
      <c r="BG30" s="543"/>
      <c r="BH30" s="543"/>
      <c r="BI30" s="543"/>
      <c r="BJ30" s="543"/>
      <c r="BK30" s="543"/>
      <c r="BL30" s="543"/>
      <c r="BM30" s="543"/>
      <c r="BN30" s="543"/>
      <c r="BO30" s="543"/>
      <c r="BP30" s="543"/>
      <c r="BQ30" s="543"/>
      <c r="BR30" s="543"/>
      <c r="BS30" s="543"/>
      <c r="BT30" s="543"/>
      <c r="BU30" s="543"/>
      <c r="BV30" s="543"/>
      <c r="BW30" s="543"/>
      <c r="BX30" s="543"/>
      <c r="BY30" s="543"/>
      <c r="BZ30" s="543"/>
      <c r="CA30" s="543"/>
      <c r="CB30" s="543"/>
      <c r="CC30" s="543"/>
      <c r="CD30" s="543"/>
      <c r="CE30" s="543"/>
      <c r="CF30" s="543"/>
      <c r="CG30" s="543"/>
      <c r="CH30" s="543"/>
      <c r="CI30" s="543"/>
      <c r="CJ30" s="543"/>
      <c r="CK30" s="543"/>
      <c r="CL30" s="543"/>
      <c r="CM30" s="543"/>
      <c r="CN30" s="543"/>
      <c r="CO30" s="543"/>
      <c r="CP30" s="543"/>
      <c r="CQ30" s="543"/>
      <c r="CR30" s="543"/>
      <c r="CS30" s="543"/>
      <c r="CT30" s="543"/>
      <c r="CU30" s="543"/>
      <c r="CV30" s="543"/>
      <c r="CW30" s="543"/>
      <c r="CX30" s="543"/>
      <c r="CY30" s="543"/>
      <c r="CZ30" s="543"/>
      <c r="DA30" s="543"/>
      <c r="DB30" s="543"/>
      <c r="DC30" s="543"/>
      <c r="DD30" s="543"/>
      <c r="DE30" s="543"/>
      <c r="DF30" s="543"/>
      <c r="DG30" s="543"/>
      <c r="DH30" s="543"/>
      <c r="DI30" s="543"/>
      <c r="DJ30" s="543"/>
      <c r="DK30" s="543"/>
      <c r="DL30" s="543"/>
      <c r="DM30" s="543"/>
      <c r="DN30" s="543"/>
      <c r="DO30" s="543"/>
      <c r="DP30" s="543"/>
      <c r="DQ30" s="543"/>
      <c r="DR30" s="543"/>
      <c r="DS30" s="543"/>
      <c r="DT30" s="543"/>
      <c r="DU30" s="543"/>
      <c r="DV30" s="543"/>
      <c r="DW30" s="543"/>
      <c r="DX30" s="543"/>
      <c r="DY30" s="543"/>
      <c r="DZ30" s="543"/>
      <c r="EA30" s="543"/>
      <c r="EB30" s="543"/>
      <c r="EC30" s="543"/>
      <c r="ED30" s="543"/>
      <c r="EE30" s="543"/>
      <c r="EF30" s="543"/>
      <c r="EG30" s="543"/>
      <c r="EH30" s="543"/>
      <c r="EI30" s="543"/>
      <c r="EJ30" s="543"/>
      <c r="EK30" s="543"/>
      <c r="EL30" s="543"/>
      <c r="EM30" s="543"/>
      <c r="EN30" s="543"/>
      <c r="EO30" s="543"/>
      <c r="EP30" s="543"/>
      <c r="EQ30" s="543"/>
      <c r="ER30" s="543"/>
      <c r="ES30" s="543"/>
      <c r="ET30" s="543"/>
      <c r="EU30" s="543"/>
      <c r="EV30" s="543"/>
      <c r="EW30" s="543"/>
      <c r="EX30" s="543"/>
      <c r="EY30" s="543"/>
      <c r="EZ30" s="543"/>
      <c r="FA30" s="543"/>
      <c r="FB30" s="543"/>
      <c r="FC30" s="543"/>
      <c r="FD30" s="543"/>
      <c r="FE30" s="543"/>
      <c r="FF30" s="543"/>
      <c r="FG30" s="543"/>
      <c r="FH30" s="543"/>
      <c r="FI30" s="543"/>
      <c r="FJ30" s="543"/>
      <c r="FK30" s="543"/>
      <c r="FL30" s="543"/>
      <c r="FM30" s="543"/>
      <c r="FN30" s="543"/>
      <c r="FO30" s="543"/>
      <c r="FP30" s="543"/>
      <c r="FQ30" s="543"/>
      <c r="FR30" s="543"/>
      <c r="FS30" s="543"/>
      <c r="FT30" s="543"/>
      <c r="FU30" s="543"/>
      <c r="FV30" s="543"/>
      <c r="FW30" s="543"/>
      <c r="FX30" s="543"/>
      <c r="FY30" s="543"/>
      <c r="FZ30" s="543"/>
      <c r="GA30" s="543"/>
      <c r="GB30" s="543"/>
      <c r="GC30" s="543"/>
      <c r="GD30" s="543"/>
      <c r="GE30" s="543"/>
      <c r="GF30" s="543"/>
      <c r="GG30" s="543"/>
      <c r="GH30" s="543"/>
      <c r="GI30" s="543"/>
      <c r="GJ30" s="543"/>
      <c r="GK30" s="543"/>
      <c r="GL30" s="543"/>
      <c r="GM30" s="543"/>
      <c r="GN30" s="543"/>
      <c r="GO30" s="543"/>
      <c r="GP30" s="543"/>
      <c r="GQ30" s="543"/>
      <c r="GR30" s="543"/>
      <c r="GS30" s="543"/>
      <c r="GT30" s="543"/>
      <c r="GU30" s="543"/>
      <c r="GV30" s="543"/>
      <c r="GW30" s="543"/>
      <c r="GX30" s="543"/>
      <c r="GY30" s="543"/>
      <c r="GZ30" s="543"/>
      <c r="HA30" s="543"/>
      <c r="HB30" s="543"/>
      <c r="HC30" s="543"/>
      <c r="HD30" s="543"/>
      <c r="HE30" s="543"/>
      <c r="HF30" s="543"/>
      <c r="HG30" s="543"/>
      <c r="HH30" s="543"/>
      <c r="HI30" s="543"/>
      <c r="HJ30" s="543"/>
      <c r="HK30" s="543"/>
      <c r="HL30" s="543"/>
      <c r="HM30" s="543"/>
      <c r="HN30" s="543"/>
      <c r="HO30" s="543"/>
      <c r="HP30" s="543"/>
      <c r="HQ30" s="543"/>
      <c r="HR30" s="543"/>
      <c r="HS30" s="543"/>
      <c r="HT30" s="543"/>
      <c r="HU30" s="543"/>
      <c r="HV30" s="543"/>
      <c r="HW30" s="543"/>
      <c r="HX30" s="543"/>
      <c r="HY30" s="543"/>
      <c r="HZ30" s="543"/>
      <c r="IA30" s="543"/>
      <c r="IB30" s="543"/>
      <c r="IC30" s="543"/>
      <c r="ID30" s="543"/>
      <c r="IE30" s="543"/>
      <c r="IF30" s="543"/>
      <c r="IG30" s="543"/>
      <c r="IH30" s="543"/>
      <c r="II30" s="543"/>
      <c r="IJ30" s="543"/>
      <c r="IK30" s="543"/>
      <c r="IL30" s="543"/>
      <c r="IM30" s="543"/>
      <c r="IN30" s="543"/>
      <c r="IO30" s="543"/>
      <c r="IP30" s="543"/>
      <c r="IQ30" s="543"/>
      <c r="IR30" s="543"/>
      <c r="IS30" s="543"/>
      <c r="IT30" s="543"/>
      <c r="IU30" s="543"/>
    </row>
    <row r="31" spans="1:255"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57"/>
      <c r="P31" s="557"/>
      <c r="Q31" s="557"/>
      <c r="R31" s="557"/>
      <c r="S31" s="557"/>
      <c r="T31" s="557"/>
      <c r="U31" s="557"/>
      <c r="V31" s="557"/>
      <c r="W31" s="543"/>
      <c r="X31" s="543"/>
      <c r="Y31" s="543"/>
      <c r="Z31" s="543"/>
      <c r="AA31" s="543"/>
      <c r="AB31" s="543"/>
      <c r="AC31" s="543"/>
      <c r="AD31" s="543"/>
      <c r="AE31" s="543"/>
      <c r="AF31" s="543"/>
      <c r="AG31" s="543"/>
      <c r="AH31" s="543"/>
      <c r="AI31" s="543"/>
      <c r="AJ31" s="543"/>
      <c r="AK31" s="543"/>
      <c r="AL31" s="543"/>
      <c r="AM31" s="543"/>
      <c r="AN31" s="543"/>
      <c r="AO31" s="543"/>
      <c r="AP31" s="543"/>
      <c r="AQ31" s="543"/>
      <c r="AR31" s="543"/>
      <c r="AS31" s="543"/>
      <c r="AT31" s="543"/>
      <c r="AU31" s="543"/>
      <c r="AV31" s="543"/>
      <c r="AW31" s="543"/>
      <c r="AX31" s="543"/>
      <c r="AY31" s="543"/>
      <c r="AZ31" s="543"/>
      <c r="BA31" s="543"/>
      <c r="BB31" s="543"/>
      <c r="BC31" s="543"/>
      <c r="BD31" s="543"/>
      <c r="BE31" s="543"/>
      <c r="BF31" s="543"/>
      <c r="BG31" s="543"/>
      <c r="BH31" s="543"/>
      <c r="BI31" s="543"/>
      <c r="BJ31" s="543"/>
      <c r="BK31" s="543"/>
      <c r="BL31" s="543"/>
      <c r="BM31" s="543"/>
      <c r="BN31" s="543"/>
      <c r="BO31" s="543"/>
      <c r="BP31" s="543"/>
      <c r="BQ31" s="543"/>
      <c r="BR31" s="543"/>
      <c r="BS31" s="543"/>
      <c r="BT31" s="543"/>
      <c r="BU31" s="543"/>
      <c r="BV31" s="543"/>
      <c r="BW31" s="543"/>
      <c r="BX31" s="543"/>
      <c r="BY31" s="543"/>
      <c r="BZ31" s="543"/>
      <c r="CA31" s="543"/>
      <c r="CB31" s="543"/>
      <c r="CC31" s="543"/>
      <c r="CD31" s="543"/>
      <c r="CE31" s="543"/>
      <c r="CF31" s="543"/>
      <c r="CG31" s="543"/>
      <c r="CH31" s="543"/>
      <c r="CI31" s="543"/>
      <c r="CJ31" s="543"/>
      <c r="CK31" s="543"/>
      <c r="CL31" s="543"/>
      <c r="CM31" s="543"/>
      <c r="CN31" s="543"/>
      <c r="CO31" s="543"/>
      <c r="CP31" s="543"/>
      <c r="CQ31" s="543"/>
      <c r="CR31" s="543"/>
      <c r="CS31" s="543"/>
      <c r="CT31" s="543"/>
      <c r="CU31" s="543"/>
      <c r="CV31" s="543"/>
      <c r="CW31" s="543"/>
      <c r="CX31" s="543"/>
      <c r="CY31" s="543"/>
      <c r="CZ31" s="543"/>
      <c r="DA31" s="543"/>
      <c r="DB31" s="543"/>
      <c r="DC31" s="543"/>
      <c r="DD31" s="543"/>
      <c r="DE31" s="543"/>
      <c r="DF31" s="543"/>
      <c r="DG31" s="543"/>
      <c r="DH31" s="543"/>
      <c r="DI31" s="543"/>
      <c r="DJ31" s="543"/>
      <c r="DK31" s="543"/>
      <c r="DL31" s="543"/>
      <c r="DM31" s="543"/>
      <c r="DN31" s="543"/>
      <c r="DO31" s="543"/>
      <c r="DP31" s="543"/>
      <c r="DQ31" s="543"/>
      <c r="DR31" s="543"/>
      <c r="DS31" s="543"/>
      <c r="DT31" s="543"/>
      <c r="DU31" s="543"/>
      <c r="DV31" s="543"/>
      <c r="DW31" s="543"/>
      <c r="DX31" s="543"/>
      <c r="DY31" s="543"/>
      <c r="DZ31" s="543"/>
      <c r="EA31" s="543"/>
      <c r="EB31" s="543"/>
      <c r="EC31" s="543"/>
      <c r="ED31" s="543"/>
      <c r="EE31" s="543"/>
      <c r="EF31" s="543"/>
      <c r="EG31" s="543"/>
      <c r="EH31" s="543"/>
      <c r="EI31" s="543"/>
      <c r="EJ31" s="543"/>
      <c r="EK31" s="543"/>
      <c r="EL31" s="543"/>
      <c r="EM31" s="543"/>
      <c r="EN31" s="543"/>
      <c r="EO31" s="543"/>
      <c r="EP31" s="543"/>
      <c r="EQ31" s="543"/>
      <c r="ER31" s="543"/>
      <c r="ES31" s="543"/>
      <c r="ET31" s="543"/>
      <c r="EU31" s="543"/>
      <c r="EV31" s="543"/>
      <c r="EW31" s="543"/>
      <c r="EX31" s="543"/>
      <c r="EY31" s="543"/>
      <c r="EZ31" s="543"/>
      <c r="FA31" s="543"/>
      <c r="FB31" s="543"/>
      <c r="FC31" s="543"/>
      <c r="FD31" s="543"/>
      <c r="FE31" s="543"/>
      <c r="FF31" s="543"/>
      <c r="FG31" s="543"/>
      <c r="FH31" s="543"/>
      <c r="FI31" s="543"/>
      <c r="FJ31" s="543"/>
      <c r="FK31" s="543"/>
      <c r="FL31" s="543"/>
      <c r="FM31" s="543"/>
      <c r="FN31" s="543"/>
      <c r="FO31" s="543"/>
      <c r="FP31" s="543"/>
      <c r="FQ31" s="543"/>
      <c r="FR31" s="543"/>
      <c r="FS31" s="543"/>
      <c r="FT31" s="543"/>
      <c r="FU31" s="543"/>
      <c r="FV31" s="543"/>
      <c r="FW31" s="543"/>
      <c r="FX31" s="543"/>
      <c r="FY31" s="543"/>
      <c r="FZ31" s="543"/>
      <c r="GA31" s="543"/>
      <c r="GB31" s="543"/>
      <c r="GC31" s="543"/>
      <c r="GD31" s="543"/>
      <c r="GE31" s="543"/>
      <c r="GF31" s="543"/>
      <c r="GG31" s="543"/>
      <c r="GH31" s="543"/>
      <c r="GI31" s="543"/>
      <c r="GJ31" s="543"/>
      <c r="GK31" s="543"/>
      <c r="GL31" s="543"/>
      <c r="GM31" s="543"/>
      <c r="GN31" s="543"/>
      <c r="GO31" s="543"/>
      <c r="GP31" s="543"/>
      <c r="GQ31" s="543"/>
      <c r="GR31" s="543"/>
      <c r="GS31" s="543"/>
      <c r="GT31" s="543"/>
      <c r="GU31" s="543"/>
      <c r="GV31" s="543"/>
      <c r="GW31" s="543"/>
      <c r="GX31" s="543"/>
      <c r="GY31" s="543"/>
      <c r="GZ31" s="543"/>
      <c r="HA31" s="543"/>
      <c r="HB31" s="543"/>
      <c r="HC31" s="543"/>
      <c r="HD31" s="543"/>
      <c r="HE31" s="543"/>
      <c r="HF31" s="543"/>
      <c r="HG31" s="543"/>
      <c r="HH31" s="543"/>
      <c r="HI31" s="543"/>
      <c r="HJ31" s="543"/>
      <c r="HK31" s="543"/>
      <c r="HL31" s="543"/>
      <c r="HM31" s="543"/>
      <c r="HN31" s="543"/>
      <c r="HO31" s="543"/>
      <c r="HP31" s="543"/>
      <c r="HQ31" s="543"/>
      <c r="HR31" s="543"/>
      <c r="HS31" s="543"/>
      <c r="HT31" s="543"/>
      <c r="HU31" s="543"/>
      <c r="HV31" s="543"/>
      <c r="HW31" s="543"/>
      <c r="HX31" s="543"/>
      <c r="HY31" s="543"/>
      <c r="HZ31" s="543"/>
      <c r="IA31" s="543"/>
      <c r="IB31" s="543"/>
      <c r="IC31" s="543"/>
      <c r="ID31" s="543"/>
      <c r="IE31" s="543"/>
      <c r="IF31" s="543"/>
      <c r="IG31" s="543"/>
      <c r="IH31" s="543"/>
      <c r="II31" s="543"/>
      <c r="IJ31" s="543"/>
      <c r="IK31" s="543"/>
      <c r="IL31" s="543"/>
      <c r="IM31" s="543"/>
      <c r="IN31" s="543"/>
      <c r="IO31" s="543"/>
      <c r="IP31" s="543"/>
      <c r="IQ31" s="543"/>
      <c r="IR31" s="543"/>
      <c r="IS31" s="543"/>
      <c r="IT31" s="543"/>
      <c r="IU31" s="543"/>
    </row>
    <row r="32" spans="1:255">
      <c r="A32" s="566"/>
      <c r="B32" s="567"/>
      <c r="C32" s="567"/>
      <c r="D32" s="567"/>
      <c r="E32" s="567"/>
      <c r="F32" s="567"/>
      <c r="G32" s="567"/>
      <c r="H32" s="567"/>
      <c r="I32" s="567"/>
      <c r="J32" s="567"/>
      <c r="K32" s="567"/>
      <c r="L32" s="567"/>
      <c r="M32" s="567"/>
      <c r="N32" s="567"/>
      <c r="O32" s="567"/>
      <c r="P32" s="567"/>
      <c r="Q32" s="567"/>
      <c r="R32" s="567"/>
      <c r="S32" s="567"/>
      <c r="T32" s="567"/>
      <c r="U32" s="567"/>
      <c r="V32" s="567"/>
      <c r="W32" s="568"/>
      <c r="X32" s="543"/>
      <c r="Y32" s="543"/>
      <c r="Z32" s="543"/>
      <c r="AA32" s="543"/>
      <c r="AB32" s="543"/>
      <c r="AC32" s="543"/>
      <c r="AD32" s="543"/>
      <c r="AE32" s="543"/>
      <c r="AF32" s="543"/>
      <c r="AG32" s="543"/>
      <c r="AH32" s="543"/>
      <c r="AI32" s="543"/>
      <c r="AJ32" s="543"/>
      <c r="AK32" s="543"/>
      <c r="AL32" s="543"/>
      <c r="AM32" s="543"/>
      <c r="AN32" s="543"/>
      <c r="AO32" s="543"/>
      <c r="AP32" s="543"/>
      <c r="AQ32" s="543"/>
      <c r="AR32" s="543"/>
      <c r="AS32" s="543"/>
      <c r="AT32" s="543"/>
      <c r="AU32" s="543"/>
      <c r="AV32" s="543"/>
      <c r="AW32" s="543"/>
      <c r="AX32" s="543"/>
      <c r="AY32" s="543"/>
      <c r="AZ32" s="543"/>
      <c r="BA32" s="543"/>
      <c r="BB32" s="543"/>
      <c r="BC32" s="543"/>
      <c r="BD32" s="543"/>
      <c r="BE32" s="543"/>
      <c r="BF32" s="543"/>
      <c r="BG32" s="543"/>
      <c r="BH32" s="543"/>
      <c r="BI32" s="543"/>
      <c r="BJ32" s="543"/>
      <c r="BK32" s="543"/>
      <c r="BL32" s="543"/>
      <c r="BM32" s="543"/>
      <c r="BN32" s="543"/>
      <c r="BO32" s="543"/>
      <c r="BP32" s="543"/>
      <c r="BQ32" s="543"/>
      <c r="BR32" s="543"/>
      <c r="BS32" s="543"/>
      <c r="BT32" s="543"/>
      <c r="BU32" s="543"/>
      <c r="BV32" s="543"/>
      <c r="BW32" s="543"/>
      <c r="BX32" s="543"/>
      <c r="BY32" s="543"/>
      <c r="BZ32" s="543"/>
      <c r="CA32" s="543"/>
      <c r="CB32" s="543"/>
      <c r="CC32" s="543"/>
      <c r="CD32" s="543"/>
      <c r="CE32" s="543"/>
      <c r="CF32" s="543"/>
      <c r="CG32" s="543"/>
      <c r="CH32" s="543"/>
      <c r="CI32" s="543"/>
      <c r="CJ32" s="543"/>
      <c r="CK32" s="543"/>
      <c r="CL32" s="543"/>
      <c r="CM32" s="543"/>
      <c r="CN32" s="543"/>
      <c r="CO32" s="543"/>
      <c r="CP32" s="543"/>
      <c r="CQ32" s="543"/>
      <c r="CR32" s="543"/>
      <c r="CS32" s="543"/>
      <c r="CT32" s="543"/>
      <c r="CU32" s="543"/>
      <c r="CV32" s="543"/>
      <c r="CW32" s="543"/>
      <c r="CX32" s="543"/>
      <c r="CY32" s="543"/>
      <c r="CZ32" s="543"/>
      <c r="DA32" s="543"/>
      <c r="DB32" s="543"/>
      <c r="DC32" s="543"/>
      <c r="DD32" s="543"/>
      <c r="DE32" s="543"/>
      <c r="DF32" s="543"/>
      <c r="DG32" s="543"/>
      <c r="DH32" s="543"/>
      <c r="DI32" s="543"/>
      <c r="DJ32" s="543"/>
      <c r="DK32" s="543"/>
      <c r="DL32" s="543"/>
      <c r="DM32" s="543"/>
      <c r="DN32" s="543"/>
      <c r="DO32" s="543"/>
      <c r="DP32" s="543"/>
      <c r="DQ32" s="543"/>
      <c r="DR32" s="543"/>
      <c r="DS32" s="543"/>
      <c r="DT32" s="543"/>
      <c r="DU32" s="543"/>
      <c r="DV32" s="543"/>
      <c r="DW32" s="543"/>
      <c r="DX32" s="543"/>
      <c r="DY32" s="543"/>
      <c r="DZ32" s="543"/>
      <c r="EA32" s="543"/>
      <c r="EB32" s="543"/>
      <c r="EC32" s="543"/>
      <c r="ED32" s="543"/>
      <c r="EE32" s="543"/>
      <c r="EF32" s="543"/>
      <c r="EG32" s="543"/>
      <c r="EH32" s="543"/>
      <c r="EI32" s="543"/>
      <c r="EJ32" s="543"/>
      <c r="EK32" s="543"/>
      <c r="EL32" s="543"/>
      <c r="EM32" s="543"/>
      <c r="EN32" s="543"/>
      <c r="EO32" s="543"/>
      <c r="EP32" s="543"/>
      <c r="EQ32" s="543"/>
      <c r="ER32" s="543"/>
      <c r="ES32" s="543"/>
      <c r="ET32" s="543"/>
      <c r="EU32" s="543"/>
      <c r="EV32" s="543"/>
      <c r="EW32" s="543"/>
      <c r="EX32" s="543"/>
      <c r="EY32" s="543"/>
      <c r="EZ32" s="543"/>
      <c r="FA32" s="543"/>
      <c r="FB32" s="543"/>
      <c r="FC32" s="543"/>
      <c r="FD32" s="543"/>
      <c r="FE32" s="543"/>
      <c r="FF32" s="543"/>
      <c r="FG32" s="543"/>
      <c r="FH32" s="543"/>
      <c r="FI32" s="543"/>
      <c r="FJ32" s="543"/>
      <c r="FK32" s="543"/>
      <c r="FL32" s="543"/>
      <c r="FM32" s="543"/>
      <c r="FN32" s="543"/>
      <c r="FO32" s="543"/>
      <c r="FP32" s="543"/>
      <c r="FQ32" s="543"/>
      <c r="FR32" s="543"/>
      <c r="FS32" s="543"/>
      <c r="FT32" s="543"/>
      <c r="FU32" s="543"/>
      <c r="FV32" s="543"/>
      <c r="FW32" s="543"/>
      <c r="FX32" s="543"/>
      <c r="FY32" s="543"/>
      <c r="FZ32" s="543"/>
      <c r="GA32" s="543"/>
      <c r="GB32" s="543"/>
      <c r="GC32" s="543"/>
      <c r="GD32" s="543"/>
      <c r="GE32" s="543"/>
      <c r="GF32" s="543"/>
      <c r="GG32" s="543"/>
      <c r="GH32" s="543"/>
      <c r="GI32" s="543"/>
      <c r="GJ32" s="543"/>
      <c r="GK32" s="543"/>
      <c r="GL32" s="543"/>
      <c r="GM32" s="543"/>
      <c r="GN32" s="543"/>
      <c r="GO32" s="543"/>
      <c r="GP32" s="543"/>
      <c r="GQ32" s="543"/>
      <c r="GR32" s="543"/>
      <c r="GS32" s="543"/>
      <c r="GT32" s="543"/>
      <c r="GU32" s="543"/>
      <c r="GV32" s="543"/>
      <c r="GW32" s="543"/>
      <c r="GX32" s="543"/>
      <c r="GY32" s="543"/>
      <c r="GZ32" s="543"/>
      <c r="HA32" s="543"/>
      <c r="HB32" s="543"/>
      <c r="HC32" s="543"/>
      <c r="HD32" s="543"/>
      <c r="HE32" s="543"/>
      <c r="HF32" s="543"/>
      <c r="HG32" s="543"/>
      <c r="HH32" s="543"/>
      <c r="HI32" s="543"/>
      <c r="HJ32" s="543"/>
      <c r="HK32" s="543"/>
      <c r="HL32" s="543"/>
      <c r="HM32" s="543"/>
      <c r="HN32" s="543"/>
      <c r="HO32" s="543"/>
      <c r="HP32" s="543"/>
      <c r="HQ32" s="543"/>
      <c r="HR32" s="543"/>
      <c r="HS32" s="543"/>
      <c r="HT32" s="543"/>
      <c r="HU32" s="543"/>
      <c r="HV32" s="543"/>
      <c r="HW32" s="543"/>
      <c r="HX32" s="543"/>
      <c r="HY32" s="543"/>
      <c r="HZ32" s="543"/>
      <c r="IA32" s="543"/>
      <c r="IB32" s="543"/>
      <c r="IC32" s="543"/>
      <c r="ID32" s="543"/>
      <c r="IE32" s="543"/>
      <c r="IF32" s="543"/>
      <c r="IG32" s="543"/>
      <c r="IH32" s="543"/>
      <c r="II32" s="543"/>
      <c r="IJ32" s="543"/>
      <c r="IK32" s="543"/>
      <c r="IL32" s="543"/>
      <c r="IM32" s="543"/>
      <c r="IN32" s="543"/>
      <c r="IO32" s="543"/>
      <c r="IP32" s="543"/>
      <c r="IQ32" s="543"/>
      <c r="IR32" s="543"/>
      <c r="IS32" s="543"/>
      <c r="IT32" s="543"/>
      <c r="IU32" s="543"/>
    </row>
    <row r="33" spans="1:255">
      <c r="A33" s="569" t="s">
        <v>389</v>
      </c>
      <c r="B33" s="555"/>
      <c r="C33" s="562">
        <f t="shared" ref="C33:V33" ca="1" si="9">C30</f>
        <v>0</v>
      </c>
      <c r="D33" s="562">
        <f t="shared" ca="1" si="9"/>
        <v>576.39785386132246</v>
      </c>
      <c r="E33" s="562">
        <f t="shared" ca="1" si="9"/>
        <v>761.27843883441301</v>
      </c>
      <c r="F33" s="562">
        <f t="shared" ca="1" si="9"/>
        <v>1657.8212752696775</v>
      </c>
      <c r="G33" s="562">
        <f t="shared" ca="1" si="9"/>
        <v>2275.6255924266088</v>
      </c>
      <c r="H33" s="562">
        <f t="shared" ca="1" si="9"/>
        <v>679.98935092712566</v>
      </c>
      <c r="I33" s="562">
        <f t="shared" ca="1" si="9"/>
        <v>3228.0277906578867</v>
      </c>
      <c r="J33" s="562">
        <f t="shared" ca="1" si="9"/>
        <v>5908.1738475211732</v>
      </c>
      <c r="K33" s="562">
        <f t="shared" ca="1" si="9"/>
        <v>6192.6570389575936</v>
      </c>
      <c r="L33" s="562">
        <f t="shared" ca="1" si="9"/>
        <v>5647.1901008381928</v>
      </c>
      <c r="M33" s="562">
        <f t="shared" ca="1" si="9"/>
        <v>6032.9352448190548</v>
      </c>
      <c r="N33" s="562">
        <f t="shared" ca="1" si="9"/>
        <v>5651.1622555465874</v>
      </c>
      <c r="O33" s="562">
        <f t="shared" ca="1" si="9"/>
        <v>5468.9642688737295</v>
      </c>
      <c r="P33" s="562">
        <f t="shared" ca="1" si="9"/>
        <v>4662.9661693353964</v>
      </c>
      <c r="Q33" s="562">
        <f t="shared" ca="1" si="9"/>
        <v>6654.9799783489534</v>
      </c>
      <c r="R33" s="562">
        <f t="shared" ca="1" si="9"/>
        <v>10226.351779745013</v>
      </c>
      <c r="S33" s="562">
        <f t="shared" ca="1" si="9"/>
        <v>13761.958240244596</v>
      </c>
      <c r="T33" s="562">
        <f t="shared" ca="1" si="9"/>
        <v>14195.528229890017</v>
      </c>
      <c r="U33" s="562">
        <f t="shared" ca="1" si="9"/>
        <v>15532.573940616434</v>
      </c>
      <c r="V33" s="562">
        <f t="shared" ca="1" si="9"/>
        <v>12844.516737563134</v>
      </c>
      <c r="W33" s="568"/>
      <c r="X33" s="543"/>
      <c r="Y33" s="543"/>
      <c r="Z33" s="543"/>
      <c r="AA33" s="543"/>
      <c r="AB33" s="543"/>
      <c r="AC33" s="543"/>
      <c r="AD33" s="543"/>
      <c r="AE33" s="543"/>
      <c r="AF33" s="543"/>
      <c r="AG33" s="543"/>
      <c r="AH33" s="543"/>
      <c r="AI33" s="543"/>
      <c r="AJ33" s="543"/>
      <c r="AK33" s="543"/>
      <c r="AL33" s="543"/>
      <c r="AM33" s="543"/>
      <c r="AN33" s="543"/>
      <c r="AO33" s="543"/>
      <c r="AP33" s="543"/>
      <c r="AQ33" s="543"/>
      <c r="AR33" s="543"/>
      <c r="AS33" s="543"/>
      <c r="AT33" s="543"/>
      <c r="AU33" s="543"/>
      <c r="AV33" s="543"/>
      <c r="AW33" s="543"/>
      <c r="AX33" s="543"/>
      <c r="AY33" s="543"/>
      <c r="AZ33" s="543"/>
      <c r="BA33" s="543"/>
      <c r="BB33" s="543"/>
      <c r="BC33" s="543"/>
      <c r="BD33" s="543"/>
      <c r="BE33" s="543"/>
      <c r="BF33" s="543"/>
      <c r="BG33" s="543"/>
      <c r="BH33" s="543"/>
      <c r="BI33" s="543"/>
      <c r="BJ33" s="543"/>
      <c r="BK33" s="543"/>
      <c r="BL33" s="543"/>
      <c r="BM33" s="543"/>
      <c r="BN33" s="543"/>
      <c r="BO33" s="543"/>
      <c r="BP33" s="543"/>
      <c r="BQ33" s="543"/>
      <c r="BR33" s="543"/>
      <c r="BS33" s="543"/>
      <c r="BT33" s="543"/>
      <c r="BU33" s="543"/>
      <c r="BV33" s="543"/>
      <c r="BW33" s="543"/>
      <c r="BX33" s="543"/>
      <c r="BY33" s="543"/>
      <c r="BZ33" s="543"/>
      <c r="CA33" s="543"/>
      <c r="CB33" s="543"/>
      <c r="CC33" s="543"/>
      <c r="CD33" s="543"/>
      <c r="CE33" s="543"/>
      <c r="CF33" s="543"/>
      <c r="CG33" s="543"/>
      <c r="CH33" s="543"/>
      <c r="CI33" s="543"/>
      <c r="CJ33" s="543"/>
      <c r="CK33" s="543"/>
      <c r="CL33" s="543"/>
      <c r="CM33" s="543"/>
      <c r="CN33" s="543"/>
      <c r="CO33" s="543"/>
      <c r="CP33" s="543"/>
      <c r="CQ33" s="543"/>
      <c r="CR33" s="543"/>
      <c r="CS33" s="543"/>
      <c r="CT33" s="543"/>
      <c r="CU33" s="543"/>
      <c r="CV33" s="543"/>
      <c r="CW33" s="543"/>
      <c r="CX33" s="543"/>
      <c r="CY33" s="543"/>
      <c r="CZ33" s="543"/>
      <c r="DA33" s="543"/>
      <c r="DB33" s="543"/>
      <c r="DC33" s="543"/>
      <c r="DD33" s="543"/>
      <c r="DE33" s="543"/>
      <c r="DF33" s="543"/>
      <c r="DG33" s="543"/>
      <c r="DH33" s="543"/>
      <c r="DI33" s="543"/>
      <c r="DJ33" s="543"/>
      <c r="DK33" s="543"/>
      <c r="DL33" s="543"/>
      <c r="DM33" s="543"/>
      <c r="DN33" s="543"/>
      <c r="DO33" s="543"/>
      <c r="DP33" s="543"/>
      <c r="DQ33" s="543"/>
      <c r="DR33" s="543"/>
      <c r="DS33" s="543"/>
      <c r="DT33" s="543"/>
      <c r="DU33" s="543"/>
      <c r="DV33" s="543"/>
      <c r="DW33" s="543"/>
      <c r="DX33" s="543"/>
      <c r="DY33" s="543"/>
      <c r="DZ33" s="543"/>
      <c r="EA33" s="543"/>
      <c r="EB33" s="543"/>
      <c r="EC33" s="543"/>
      <c r="ED33" s="543"/>
      <c r="EE33" s="543"/>
      <c r="EF33" s="543"/>
      <c r="EG33" s="543"/>
      <c r="EH33" s="543"/>
      <c r="EI33" s="543"/>
      <c r="EJ33" s="543"/>
      <c r="EK33" s="543"/>
      <c r="EL33" s="543"/>
      <c r="EM33" s="543"/>
      <c r="EN33" s="543"/>
      <c r="EO33" s="543"/>
      <c r="EP33" s="543"/>
      <c r="EQ33" s="543"/>
      <c r="ER33" s="543"/>
      <c r="ES33" s="543"/>
      <c r="ET33" s="543"/>
      <c r="EU33" s="543"/>
      <c r="EV33" s="543"/>
      <c r="EW33" s="543"/>
      <c r="EX33" s="543"/>
      <c r="EY33" s="543"/>
      <c r="EZ33" s="543"/>
      <c r="FA33" s="543"/>
      <c r="FB33" s="543"/>
      <c r="FC33" s="543"/>
      <c r="FD33" s="543"/>
      <c r="FE33" s="543"/>
      <c r="FF33" s="543"/>
      <c r="FG33" s="543"/>
      <c r="FH33" s="543"/>
      <c r="FI33" s="543"/>
      <c r="FJ33" s="543"/>
      <c r="FK33" s="543"/>
      <c r="FL33" s="543"/>
      <c r="FM33" s="543"/>
      <c r="FN33" s="543"/>
      <c r="FO33" s="543"/>
      <c r="FP33" s="543"/>
      <c r="FQ33" s="543"/>
      <c r="FR33" s="543"/>
      <c r="FS33" s="543"/>
      <c r="FT33" s="543"/>
      <c r="FU33" s="543"/>
      <c r="FV33" s="543"/>
      <c r="FW33" s="543"/>
      <c r="FX33" s="543"/>
      <c r="FY33" s="543"/>
      <c r="FZ33" s="543"/>
      <c r="GA33" s="543"/>
      <c r="GB33" s="543"/>
      <c r="GC33" s="543"/>
      <c r="GD33" s="543"/>
      <c r="GE33" s="543"/>
      <c r="GF33" s="543"/>
      <c r="GG33" s="543"/>
      <c r="GH33" s="543"/>
      <c r="GI33" s="543"/>
      <c r="GJ33" s="543"/>
      <c r="GK33" s="543"/>
      <c r="GL33" s="543"/>
      <c r="GM33" s="543"/>
      <c r="GN33" s="543"/>
      <c r="GO33" s="543"/>
      <c r="GP33" s="543"/>
      <c r="GQ33" s="543"/>
      <c r="GR33" s="543"/>
      <c r="GS33" s="543"/>
      <c r="GT33" s="543"/>
      <c r="GU33" s="543"/>
      <c r="GV33" s="543"/>
      <c r="GW33" s="543"/>
      <c r="GX33" s="543"/>
      <c r="GY33" s="543"/>
      <c r="GZ33" s="543"/>
      <c r="HA33" s="543"/>
      <c r="HB33" s="543"/>
      <c r="HC33" s="543"/>
      <c r="HD33" s="543"/>
      <c r="HE33" s="543"/>
      <c r="HF33" s="543"/>
      <c r="HG33" s="543"/>
      <c r="HH33" s="543"/>
      <c r="HI33" s="543"/>
      <c r="HJ33" s="543"/>
      <c r="HK33" s="543"/>
      <c r="HL33" s="543"/>
      <c r="HM33" s="543"/>
      <c r="HN33" s="543"/>
      <c r="HO33" s="543"/>
      <c r="HP33" s="543"/>
      <c r="HQ33" s="543"/>
      <c r="HR33" s="543"/>
      <c r="HS33" s="543"/>
      <c r="HT33" s="543"/>
      <c r="HU33" s="543"/>
      <c r="HV33" s="543"/>
      <c r="HW33" s="543"/>
      <c r="HX33" s="543"/>
      <c r="HY33" s="543"/>
      <c r="HZ33" s="543"/>
      <c r="IA33" s="543"/>
      <c r="IB33" s="543"/>
      <c r="IC33" s="543"/>
      <c r="ID33" s="543"/>
      <c r="IE33" s="543"/>
      <c r="IF33" s="543"/>
      <c r="IG33" s="543"/>
      <c r="IH33" s="543"/>
      <c r="II33" s="543"/>
      <c r="IJ33" s="543"/>
      <c r="IK33" s="543"/>
      <c r="IL33" s="543"/>
      <c r="IM33" s="543"/>
      <c r="IN33" s="543"/>
      <c r="IO33" s="543"/>
      <c r="IP33" s="543"/>
      <c r="IQ33" s="543"/>
      <c r="IR33" s="543"/>
      <c r="IS33" s="543"/>
      <c r="IT33" s="543"/>
      <c r="IU33" s="543"/>
    </row>
    <row r="34" spans="1:255">
      <c r="A34" s="568"/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68"/>
      <c r="X34" s="543"/>
      <c r="Y34" s="543"/>
      <c r="Z34" s="543"/>
      <c r="AA34" s="543"/>
      <c r="AB34" s="543"/>
      <c r="AC34" s="543"/>
      <c r="AD34" s="543"/>
      <c r="AE34" s="543"/>
      <c r="AF34" s="543"/>
      <c r="AG34" s="543"/>
      <c r="AH34" s="543"/>
      <c r="AI34" s="543"/>
      <c r="AJ34" s="543"/>
      <c r="AK34" s="543"/>
      <c r="AL34" s="543"/>
      <c r="AM34" s="543"/>
      <c r="AN34" s="543"/>
      <c r="AO34" s="543"/>
      <c r="AP34" s="543"/>
      <c r="AQ34" s="543"/>
      <c r="AR34" s="543"/>
      <c r="AS34" s="543"/>
      <c r="AT34" s="543"/>
      <c r="AU34" s="543"/>
      <c r="AV34" s="543"/>
      <c r="AW34" s="543"/>
      <c r="AX34" s="543"/>
      <c r="AY34" s="543"/>
      <c r="AZ34" s="543"/>
      <c r="BA34" s="543"/>
      <c r="BB34" s="543"/>
      <c r="BC34" s="543"/>
      <c r="BD34" s="543"/>
      <c r="BE34" s="543"/>
      <c r="BF34" s="543"/>
      <c r="BG34" s="543"/>
      <c r="BH34" s="543"/>
      <c r="BI34" s="543"/>
      <c r="BJ34" s="543"/>
      <c r="BK34" s="543"/>
      <c r="BL34" s="543"/>
      <c r="BM34" s="543"/>
      <c r="BN34" s="543"/>
      <c r="BO34" s="543"/>
      <c r="BP34" s="543"/>
      <c r="BQ34" s="543"/>
      <c r="BR34" s="543"/>
      <c r="BS34" s="543"/>
      <c r="BT34" s="543"/>
      <c r="BU34" s="543"/>
      <c r="BV34" s="543"/>
      <c r="BW34" s="543"/>
      <c r="BX34" s="543"/>
      <c r="BY34" s="543"/>
      <c r="BZ34" s="543"/>
      <c r="CA34" s="543"/>
      <c r="CB34" s="543"/>
      <c r="CC34" s="543"/>
      <c r="CD34" s="543"/>
      <c r="CE34" s="543"/>
      <c r="CF34" s="543"/>
      <c r="CG34" s="543"/>
      <c r="CH34" s="543"/>
      <c r="CI34" s="543"/>
      <c r="CJ34" s="543"/>
      <c r="CK34" s="543"/>
      <c r="CL34" s="543"/>
      <c r="CM34" s="543"/>
      <c r="CN34" s="543"/>
      <c r="CO34" s="543"/>
      <c r="CP34" s="543"/>
      <c r="CQ34" s="543"/>
      <c r="CR34" s="543"/>
      <c r="CS34" s="543"/>
      <c r="CT34" s="543"/>
      <c r="CU34" s="543"/>
      <c r="CV34" s="543"/>
      <c r="CW34" s="543"/>
      <c r="CX34" s="543"/>
      <c r="CY34" s="543"/>
      <c r="CZ34" s="543"/>
      <c r="DA34" s="543"/>
      <c r="DB34" s="543"/>
      <c r="DC34" s="543"/>
      <c r="DD34" s="543"/>
      <c r="DE34" s="543"/>
      <c r="DF34" s="543"/>
      <c r="DG34" s="543"/>
      <c r="DH34" s="543"/>
      <c r="DI34" s="543"/>
      <c r="DJ34" s="543"/>
      <c r="DK34" s="543"/>
      <c r="DL34" s="543"/>
      <c r="DM34" s="543"/>
      <c r="DN34" s="543"/>
      <c r="DO34" s="543"/>
      <c r="DP34" s="543"/>
      <c r="DQ34" s="543"/>
      <c r="DR34" s="543"/>
      <c r="DS34" s="543"/>
      <c r="DT34" s="543"/>
      <c r="DU34" s="543"/>
      <c r="DV34" s="543"/>
      <c r="DW34" s="543"/>
      <c r="DX34" s="543"/>
      <c r="DY34" s="543"/>
      <c r="DZ34" s="543"/>
      <c r="EA34" s="543"/>
      <c r="EB34" s="543"/>
      <c r="EC34" s="543"/>
      <c r="ED34" s="543"/>
      <c r="EE34" s="543"/>
      <c r="EF34" s="543"/>
      <c r="EG34" s="543"/>
      <c r="EH34" s="543"/>
      <c r="EI34" s="543"/>
      <c r="EJ34" s="543"/>
      <c r="EK34" s="543"/>
      <c r="EL34" s="543"/>
      <c r="EM34" s="543"/>
      <c r="EN34" s="543"/>
      <c r="EO34" s="543"/>
      <c r="EP34" s="543"/>
      <c r="EQ34" s="543"/>
      <c r="ER34" s="543"/>
      <c r="ES34" s="543"/>
      <c r="ET34" s="543"/>
      <c r="EU34" s="543"/>
      <c r="EV34" s="543"/>
      <c r="EW34" s="543"/>
      <c r="EX34" s="543"/>
      <c r="EY34" s="543"/>
      <c r="EZ34" s="543"/>
      <c r="FA34" s="543"/>
      <c r="FB34" s="543"/>
      <c r="FC34" s="543"/>
      <c r="FD34" s="543"/>
      <c r="FE34" s="543"/>
      <c r="FF34" s="543"/>
      <c r="FG34" s="543"/>
      <c r="FH34" s="543"/>
      <c r="FI34" s="543"/>
      <c r="FJ34" s="543"/>
      <c r="FK34" s="543"/>
      <c r="FL34" s="543"/>
      <c r="FM34" s="543"/>
      <c r="FN34" s="543"/>
      <c r="FO34" s="543"/>
      <c r="FP34" s="543"/>
      <c r="FQ34" s="543"/>
      <c r="FR34" s="543"/>
      <c r="FS34" s="543"/>
      <c r="FT34" s="543"/>
      <c r="FU34" s="543"/>
      <c r="FV34" s="543"/>
      <c r="FW34" s="543"/>
      <c r="FX34" s="543"/>
      <c r="FY34" s="543"/>
      <c r="FZ34" s="543"/>
      <c r="GA34" s="543"/>
      <c r="GB34" s="543"/>
      <c r="GC34" s="543"/>
      <c r="GD34" s="543"/>
      <c r="GE34" s="543"/>
      <c r="GF34" s="543"/>
      <c r="GG34" s="543"/>
      <c r="GH34" s="543"/>
      <c r="GI34" s="543"/>
      <c r="GJ34" s="543"/>
      <c r="GK34" s="543"/>
      <c r="GL34" s="543"/>
      <c r="GM34" s="543"/>
      <c r="GN34" s="543"/>
      <c r="GO34" s="543"/>
      <c r="GP34" s="543"/>
      <c r="GQ34" s="543"/>
      <c r="GR34" s="543"/>
      <c r="GS34" s="543"/>
      <c r="GT34" s="543"/>
      <c r="GU34" s="543"/>
      <c r="GV34" s="543"/>
      <c r="GW34" s="543"/>
      <c r="GX34" s="543"/>
      <c r="GY34" s="543"/>
      <c r="GZ34" s="543"/>
      <c r="HA34" s="543"/>
      <c r="HB34" s="543"/>
      <c r="HC34" s="543"/>
      <c r="HD34" s="543"/>
      <c r="HE34" s="543"/>
      <c r="HF34" s="543"/>
      <c r="HG34" s="543"/>
      <c r="HH34" s="543"/>
      <c r="HI34" s="543"/>
      <c r="HJ34" s="543"/>
      <c r="HK34" s="543"/>
      <c r="HL34" s="543"/>
      <c r="HM34" s="543"/>
      <c r="HN34" s="543"/>
      <c r="HO34" s="543"/>
      <c r="HP34" s="543"/>
      <c r="HQ34" s="543"/>
      <c r="HR34" s="543"/>
      <c r="HS34" s="543"/>
      <c r="HT34" s="543"/>
      <c r="HU34" s="543"/>
      <c r="HV34" s="543"/>
      <c r="HW34" s="543"/>
      <c r="HX34" s="543"/>
      <c r="HY34" s="543"/>
      <c r="HZ34" s="543"/>
      <c r="IA34" s="543"/>
      <c r="IB34" s="543"/>
      <c r="IC34" s="543"/>
      <c r="ID34" s="543"/>
      <c r="IE34" s="543"/>
      <c r="IF34" s="543"/>
      <c r="IG34" s="543"/>
      <c r="IH34" s="543"/>
      <c r="II34" s="543"/>
      <c r="IJ34" s="543"/>
      <c r="IK34" s="543"/>
      <c r="IL34" s="543"/>
      <c r="IM34" s="543"/>
      <c r="IN34" s="543"/>
      <c r="IO34" s="543"/>
      <c r="IP34" s="543"/>
      <c r="IQ34" s="543"/>
      <c r="IR34" s="543"/>
      <c r="IS34" s="543"/>
      <c r="IT34" s="543"/>
      <c r="IU34" s="543"/>
    </row>
    <row r="35" spans="1:255">
      <c r="A35" s="570"/>
      <c r="B35" s="567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71"/>
      <c r="R35" s="571"/>
      <c r="S35" s="571"/>
      <c r="T35" s="571"/>
      <c r="U35" s="571"/>
      <c r="V35" s="571"/>
      <c r="W35" s="543"/>
      <c r="X35" s="543"/>
      <c r="Y35" s="543"/>
      <c r="Z35" s="543"/>
      <c r="AA35" s="543"/>
      <c r="AB35" s="543"/>
      <c r="AC35" s="543"/>
      <c r="AD35" s="543"/>
      <c r="AE35" s="543"/>
      <c r="AF35" s="543"/>
      <c r="AG35" s="543"/>
      <c r="AH35" s="543"/>
      <c r="AI35" s="543"/>
      <c r="AJ35" s="543"/>
      <c r="AK35" s="543"/>
      <c r="AL35" s="543"/>
      <c r="AM35" s="543"/>
      <c r="AN35" s="543"/>
      <c r="AO35" s="543"/>
      <c r="AP35" s="543"/>
      <c r="AQ35" s="543"/>
      <c r="AR35" s="543"/>
      <c r="AS35" s="543"/>
      <c r="AT35" s="543"/>
      <c r="AU35" s="543"/>
      <c r="AV35" s="543"/>
      <c r="AW35" s="543"/>
      <c r="AX35" s="543"/>
      <c r="AY35" s="543"/>
      <c r="AZ35" s="543"/>
      <c r="BA35" s="543"/>
      <c r="BB35" s="543"/>
      <c r="BC35" s="543"/>
      <c r="BD35" s="543"/>
      <c r="BE35" s="543"/>
      <c r="BF35" s="543"/>
      <c r="BG35" s="543"/>
      <c r="BH35" s="543"/>
      <c r="BI35" s="543"/>
      <c r="BJ35" s="543"/>
      <c r="BK35" s="543"/>
      <c r="BL35" s="543"/>
      <c r="BM35" s="543"/>
      <c r="BN35" s="543"/>
      <c r="BO35" s="543"/>
      <c r="BP35" s="543"/>
      <c r="BQ35" s="543"/>
      <c r="BR35" s="543"/>
      <c r="BS35" s="543"/>
      <c r="BT35" s="543"/>
      <c r="BU35" s="543"/>
      <c r="BV35" s="543"/>
      <c r="BW35" s="543"/>
      <c r="BX35" s="543"/>
      <c r="BY35" s="543"/>
      <c r="BZ35" s="543"/>
      <c r="CA35" s="543"/>
      <c r="CB35" s="543"/>
      <c r="CC35" s="543"/>
      <c r="CD35" s="543"/>
      <c r="CE35" s="543"/>
      <c r="CF35" s="543"/>
      <c r="CG35" s="543"/>
      <c r="CH35" s="543"/>
      <c r="CI35" s="543"/>
      <c r="CJ35" s="543"/>
      <c r="CK35" s="543"/>
      <c r="CL35" s="543"/>
      <c r="CM35" s="543"/>
      <c r="CN35" s="543"/>
      <c r="CO35" s="543"/>
      <c r="CP35" s="543"/>
      <c r="CQ35" s="543"/>
      <c r="CR35" s="543"/>
      <c r="CS35" s="543"/>
      <c r="CT35" s="543"/>
      <c r="CU35" s="543"/>
      <c r="CV35" s="543"/>
      <c r="CW35" s="543"/>
      <c r="CX35" s="543"/>
      <c r="CY35" s="543"/>
      <c r="CZ35" s="543"/>
      <c r="DA35" s="543"/>
      <c r="DB35" s="543"/>
      <c r="DC35" s="543"/>
      <c r="DD35" s="543"/>
      <c r="DE35" s="543"/>
      <c r="DF35" s="543"/>
      <c r="DG35" s="543"/>
      <c r="DH35" s="543"/>
      <c r="DI35" s="543"/>
      <c r="DJ35" s="543"/>
      <c r="DK35" s="543"/>
      <c r="DL35" s="543"/>
      <c r="DM35" s="543"/>
      <c r="DN35" s="543"/>
      <c r="DO35" s="543"/>
      <c r="DP35" s="543"/>
      <c r="DQ35" s="543"/>
      <c r="DR35" s="543"/>
      <c r="DS35" s="543"/>
      <c r="DT35" s="543"/>
      <c r="DU35" s="543"/>
      <c r="DV35" s="543"/>
      <c r="DW35" s="543"/>
      <c r="DX35" s="543"/>
      <c r="DY35" s="543"/>
      <c r="DZ35" s="543"/>
      <c r="EA35" s="543"/>
      <c r="EB35" s="543"/>
      <c r="EC35" s="543"/>
      <c r="ED35" s="543"/>
      <c r="EE35" s="543"/>
      <c r="EF35" s="543"/>
      <c r="EG35" s="543"/>
      <c r="EH35" s="543"/>
      <c r="EI35" s="543"/>
      <c r="EJ35" s="543"/>
      <c r="EK35" s="543"/>
      <c r="EL35" s="543"/>
      <c r="EM35" s="543"/>
      <c r="EN35" s="543"/>
      <c r="EO35" s="543"/>
      <c r="EP35" s="543"/>
      <c r="EQ35" s="543"/>
      <c r="ER35" s="543"/>
      <c r="ES35" s="543"/>
      <c r="ET35" s="543"/>
      <c r="EU35" s="543"/>
      <c r="EV35" s="543"/>
      <c r="EW35" s="543"/>
      <c r="EX35" s="543"/>
      <c r="EY35" s="543"/>
      <c r="EZ35" s="543"/>
      <c r="FA35" s="543"/>
      <c r="FB35" s="543"/>
      <c r="FC35" s="543"/>
      <c r="FD35" s="543"/>
      <c r="FE35" s="543"/>
      <c r="FF35" s="543"/>
      <c r="FG35" s="543"/>
      <c r="FH35" s="543"/>
      <c r="FI35" s="543"/>
      <c r="FJ35" s="543"/>
      <c r="FK35" s="543"/>
      <c r="FL35" s="543"/>
      <c r="FM35" s="543"/>
      <c r="FN35" s="543"/>
      <c r="FO35" s="543"/>
      <c r="FP35" s="543"/>
      <c r="FQ35" s="543"/>
      <c r="FR35" s="543"/>
      <c r="FS35" s="543"/>
      <c r="FT35" s="543"/>
      <c r="FU35" s="543"/>
      <c r="FV35" s="543"/>
      <c r="FW35" s="543"/>
      <c r="FX35" s="543"/>
      <c r="FY35" s="543"/>
      <c r="FZ35" s="543"/>
      <c r="GA35" s="543"/>
      <c r="GB35" s="543"/>
      <c r="GC35" s="543"/>
      <c r="GD35" s="543"/>
      <c r="GE35" s="543"/>
      <c r="GF35" s="543"/>
      <c r="GG35" s="543"/>
      <c r="GH35" s="543"/>
      <c r="GI35" s="543"/>
      <c r="GJ35" s="543"/>
      <c r="GK35" s="543"/>
      <c r="GL35" s="543"/>
      <c r="GM35" s="543"/>
      <c r="GN35" s="543"/>
      <c r="GO35" s="543"/>
      <c r="GP35" s="543"/>
      <c r="GQ35" s="543"/>
      <c r="GR35" s="543"/>
      <c r="GS35" s="543"/>
      <c r="GT35" s="543"/>
      <c r="GU35" s="543"/>
      <c r="GV35" s="543"/>
      <c r="GW35" s="543"/>
      <c r="GX35" s="543"/>
      <c r="GY35" s="543"/>
      <c r="GZ35" s="543"/>
      <c r="HA35" s="543"/>
      <c r="HB35" s="543"/>
      <c r="HC35" s="543"/>
      <c r="HD35" s="543"/>
      <c r="HE35" s="543"/>
      <c r="HF35" s="543"/>
      <c r="HG35" s="543"/>
      <c r="HH35" s="543"/>
      <c r="HI35" s="543"/>
      <c r="HJ35" s="543"/>
      <c r="HK35" s="543"/>
      <c r="HL35" s="543"/>
      <c r="HM35" s="543"/>
      <c r="HN35" s="543"/>
      <c r="HO35" s="543"/>
      <c r="HP35" s="543"/>
      <c r="HQ35" s="543"/>
      <c r="HR35" s="543"/>
      <c r="HS35" s="543"/>
      <c r="HT35" s="543"/>
      <c r="HU35" s="543"/>
      <c r="HV35" s="543"/>
      <c r="HW35" s="543"/>
      <c r="HX35" s="543"/>
      <c r="HY35" s="543"/>
      <c r="HZ35" s="543"/>
      <c r="IA35" s="543"/>
      <c r="IB35" s="543"/>
      <c r="IC35" s="543"/>
      <c r="ID35" s="543"/>
      <c r="IE35" s="543"/>
      <c r="IF35" s="543"/>
      <c r="IG35" s="543"/>
      <c r="IH35" s="543"/>
      <c r="II35" s="543"/>
      <c r="IJ35" s="543"/>
      <c r="IK35" s="543"/>
      <c r="IL35" s="543"/>
      <c r="IM35" s="543"/>
      <c r="IN35" s="543"/>
      <c r="IO35" s="543"/>
      <c r="IP35" s="543"/>
      <c r="IQ35" s="543"/>
      <c r="IR35" s="543"/>
      <c r="IS35" s="543"/>
      <c r="IT35" s="543"/>
      <c r="IU35" s="54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T192"/>
  <sheetViews>
    <sheetView showOutlineSymbols="0" topLeftCell="K43" zoomScale="75" zoomScaleNormal="75" workbookViewId="0">
      <selection activeCell="E56" sqref="E56"/>
    </sheetView>
  </sheetViews>
  <sheetFormatPr defaultColWidth="9.81640625" defaultRowHeight="15.6"/>
  <cols>
    <col min="1" max="1" width="31.81640625" style="2" customWidth="1"/>
    <col min="2" max="2" width="9.81640625" style="2" customWidth="1"/>
    <col min="3" max="3" width="25.81640625" style="2" customWidth="1"/>
    <col min="4" max="4" width="10.81640625" style="2" customWidth="1"/>
    <col min="5" max="5" width="11.08984375" style="7" customWidth="1"/>
    <col min="6" max="6" width="3.453125" customWidth="1"/>
    <col min="7" max="11" width="9.81640625" customWidth="1"/>
    <col min="12" max="12" width="25.81640625" customWidth="1"/>
    <col min="13" max="14" width="9.81640625" style="97" customWidth="1"/>
    <col min="15" max="15" width="2.81640625" customWidth="1"/>
    <col min="16" max="17" width="9.81640625" style="97" customWidth="1"/>
    <col min="18" max="16384" width="9.81640625" style="2"/>
  </cols>
  <sheetData>
    <row r="1" spans="1:21" ht="1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1" ht="22.2">
      <c r="A2" s="95" t="s">
        <v>136</v>
      </c>
      <c r="B2" s="96"/>
      <c r="C2" s="96"/>
      <c r="D2" s="96"/>
      <c r="E2" s="96"/>
      <c r="M2"/>
    </row>
    <row r="3" spans="1:21" ht="7.5" customHeight="1">
      <c r="A3" s="98"/>
      <c r="B3" s="98"/>
      <c r="C3" s="99"/>
      <c r="D3" s="99"/>
      <c r="E3" s="100"/>
      <c r="T3" s="101"/>
    </row>
    <row r="4" spans="1:21" ht="16.2" thickBot="1">
      <c r="A4" s="102"/>
      <c r="B4" s="102"/>
      <c r="C4" s="51"/>
      <c r="D4" s="51"/>
      <c r="T4" s="101"/>
    </row>
    <row r="5" spans="1:21" ht="16.8" thickTop="1" thickBot="1">
      <c r="A5" s="17"/>
      <c r="B5" s="93"/>
      <c r="C5" s="103"/>
      <c r="D5" s="103"/>
      <c r="E5" s="104"/>
      <c r="F5" s="27"/>
      <c r="T5" s="101"/>
    </row>
    <row r="6" spans="1:21" ht="16.2" thickTop="1">
      <c r="A6" s="105" t="s">
        <v>137</v>
      </c>
      <c r="B6"/>
      <c r="C6" s="51"/>
      <c r="D6" s="51"/>
      <c r="E6" s="106"/>
      <c r="F6" s="27"/>
      <c r="L6" s="78"/>
      <c r="M6" s="107" t="s">
        <v>138</v>
      </c>
      <c r="N6" s="108"/>
      <c r="O6" s="19"/>
      <c r="P6" s="107" t="s">
        <v>139</v>
      </c>
      <c r="Q6" s="108"/>
      <c r="R6" s="1"/>
      <c r="T6" s="101"/>
    </row>
    <row r="7" spans="1:21">
      <c r="A7" s="109"/>
      <c r="B7" s="110"/>
      <c r="C7" s="51"/>
      <c r="D7" s="51"/>
      <c r="E7" s="106" t="s">
        <v>27</v>
      </c>
      <c r="F7" s="27"/>
      <c r="G7" s="101"/>
      <c r="H7" s="101"/>
      <c r="L7" s="27"/>
      <c r="M7" s="111" t="s">
        <v>140</v>
      </c>
      <c r="P7" s="111" t="s">
        <v>140</v>
      </c>
      <c r="R7" s="1"/>
      <c r="T7" s="101"/>
    </row>
    <row r="8" spans="1:21">
      <c r="A8" s="112" t="s">
        <v>141</v>
      </c>
      <c r="B8" s="113"/>
      <c r="C8"/>
      <c r="D8"/>
      <c r="E8" s="114"/>
      <c r="F8" s="1"/>
      <c r="G8" s="101"/>
      <c r="H8" s="101"/>
      <c r="L8" s="27"/>
      <c r="M8" s="115" t="s">
        <v>143</v>
      </c>
      <c r="P8" s="115" t="s">
        <v>143</v>
      </c>
      <c r="R8" s="1"/>
      <c r="T8" s="101"/>
    </row>
    <row r="9" spans="1:21">
      <c r="A9" s="109" t="s">
        <v>144</v>
      </c>
      <c r="B9"/>
      <c r="C9"/>
      <c r="D9"/>
      <c r="E9" s="117">
        <v>124.665655348</v>
      </c>
      <c r="F9" s="1"/>
      <c r="G9" s="101"/>
      <c r="H9" s="101"/>
      <c r="L9" s="27" t="str">
        <f t="shared" ref="L9:L14" si="0">A9</f>
        <v>Equipment Costs</v>
      </c>
      <c r="M9" s="52">
        <v>1</v>
      </c>
      <c r="N9" s="118">
        <f>IF(M9=1,'ASSUM 1'!H10,IF(M9=2,'ASSUM 1'!H11,IF(M9=3,'ASSUM 1'!H12,IF(M9=4,'ASSUM 1'!H13,IF(M9=5,'ASSUM 1'!H14,IF(M9=6,'ASSUM 1'!H15,'ASSUM 1'!H15))))))</f>
        <v>3.5087719298245612E-2</v>
      </c>
      <c r="O9" s="119"/>
      <c r="P9" s="52">
        <v>1</v>
      </c>
      <c r="Q9" s="118">
        <f>IF(P9=1,'ASSUM 1'!H18,IF(P9=2,'ASSUM 1'!H19,IF(P9=3,'ASSUM 1'!H20,IF(P9=4,'ASSUM 1'!H21,'ASSUM 1'!H21))))</f>
        <v>0</v>
      </c>
      <c r="R9" s="1"/>
      <c r="T9" s="116">
        <v>122.771467</v>
      </c>
      <c r="U9" s="120"/>
    </row>
    <row r="10" spans="1:21">
      <c r="A10" s="109" t="s">
        <v>145</v>
      </c>
      <c r="B10"/>
      <c r="C10"/>
      <c r="D10"/>
      <c r="E10" s="730">
        <v>12.291738486857142</v>
      </c>
      <c r="F10" s="27"/>
      <c r="L10" s="27" t="str">
        <f t="shared" si="0"/>
        <v>Balance of EPC</v>
      </c>
      <c r="M10" s="52">
        <v>1</v>
      </c>
      <c r="N10" s="118">
        <f>IF(M10=1,'ASSUM 1'!H10,IF(M10=2,'ASSUM 1'!H11,IF(M10=3,'ASSUM 1'!H12,IF(M10=4,'ASSUM 1'!H13,IF(M10=5,'ASSUM 1'!H14,IF(M10=6,'ASSUM 1'!H15,'ASSUM 1'!H15))))))</f>
        <v>3.5087719298245612E-2</v>
      </c>
      <c r="O10" s="119"/>
      <c r="P10" s="52">
        <v>1</v>
      </c>
      <c r="Q10" s="118">
        <f>IF(P10=1,'ASSUM 1'!H18,IF(P10=2,'ASSUM 1'!H19,IF(P10=3,'ASSUM 1'!H20,IF(P10=4,'ASSUM 1'!H21,'ASSUM 1'!H21))))</f>
        <v>0</v>
      </c>
      <c r="R10" s="1"/>
      <c r="T10" s="122">
        <f>10.8627+1.242276</f>
        <v>12.104976000000001</v>
      </c>
      <c r="U10" s="120"/>
    </row>
    <row r="11" spans="1:21">
      <c r="A11" s="109" t="s">
        <v>146</v>
      </c>
      <c r="B11"/>
      <c r="C11"/>
      <c r="D11"/>
      <c r="E11" s="117">
        <v>0</v>
      </c>
      <c r="F11" s="27"/>
      <c r="L11" s="27" t="str">
        <f t="shared" si="0"/>
        <v>Other</v>
      </c>
      <c r="M11" s="52">
        <v>1</v>
      </c>
      <c r="N11" s="118">
        <f>IF(M11=1,'ASSUM 1'!H10,IF(M11=2,'ASSUM 1'!H11,IF(M11=3,'ASSUM 1'!H12,IF(M11=4,'ASSUM 1'!H13,IF(M11=5,'ASSUM 1'!H14,IF(M11=6,'ASSUM 1'!H15,'ASSUM 1'!H15))))))</f>
        <v>3.5087719298245612E-2</v>
      </c>
      <c r="O11" s="119"/>
      <c r="P11" s="52">
        <v>1</v>
      </c>
      <c r="Q11" s="118">
        <f>IF(P11=1,'ASSUM 1'!H18,IF(P11=2,'ASSUM 1'!H19,IF(P11=3,'ASSUM 1'!H20,IF(P11=4,'ASSUM 1'!H21,'ASSUM 1'!H21))))</f>
        <v>0</v>
      </c>
      <c r="R11" s="1"/>
      <c r="T11" s="122">
        <v>0</v>
      </c>
      <c r="U11" s="120"/>
    </row>
    <row r="12" spans="1:21">
      <c r="A12" s="109" t="s">
        <v>146</v>
      </c>
      <c r="B12" s="51"/>
      <c r="C12" s="51"/>
      <c r="D12" s="51"/>
      <c r="E12" s="117">
        <v>0</v>
      </c>
      <c r="F12" s="27"/>
      <c r="L12" s="27" t="str">
        <f t="shared" si="0"/>
        <v>Other</v>
      </c>
      <c r="M12" s="52">
        <v>1</v>
      </c>
      <c r="N12" s="118">
        <f>IF(M12=1,'ASSUM 1'!H10,IF(M12=2,'ASSUM 1'!H11,IF(M12=3,'ASSUM 1'!H12,IF(M12=4,'ASSUM 1'!H13,IF(M12=5,'ASSUM 1'!H14,IF(M12=6,'ASSUM 1'!H15,'ASSUM 1'!H15))))))</f>
        <v>3.5087719298245612E-2</v>
      </c>
      <c r="O12" s="119"/>
      <c r="P12" s="52">
        <v>1</v>
      </c>
      <c r="Q12" s="118">
        <f>IF(P12=1,'ASSUM 1'!H18,IF(P12=2,'ASSUM 1'!H19,IF(P12=3,'ASSUM 1'!H20,IF(P12=4,'ASSUM 1'!H21,'ASSUM 1'!H21))))</f>
        <v>0</v>
      </c>
      <c r="R12" s="1"/>
      <c r="T12" s="116">
        <v>0</v>
      </c>
      <c r="U12" s="120"/>
    </row>
    <row r="13" spans="1:21">
      <c r="A13" s="109" t="s">
        <v>147</v>
      </c>
      <c r="B13" s="51"/>
      <c r="C13" s="123"/>
      <c r="D13" s="123"/>
      <c r="E13" s="121">
        <v>0</v>
      </c>
      <c r="F13" s="27"/>
      <c r="L13" s="27" t="str">
        <f t="shared" si="0"/>
        <v>Duties on Equipment</v>
      </c>
      <c r="M13" s="52">
        <v>1</v>
      </c>
      <c r="N13" s="118">
        <f>IF(M13=1,'ASSUM 1'!H10,IF(M13=2,'ASSUM 1'!H11,IF(M13=3,'ASSUM 1'!H12,IF(M13=4,'ASSUM 1'!H13,IF(M13=5,'ASSUM 1'!H14,IF(M13=6,'ASSUM 1'!H15,'ASSUM 1'!H15))))))</f>
        <v>3.5087719298245612E-2</v>
      </c>
      <c r="O13" s="119"/>
      <c r="P13" s="52">
        <v>1</v>
      </c>
      <c r="Q13" s="118">
        <f>IF(P13=1,'ASSUM 1'!H18,IF(P13=2,'ASSUM 1'!H19,IF(P13=3,'ASSUM 1'!H20,IF(P13=4,'ASSUM 1'!H21,'ASSUM 1'!H21))))</f>
        <v>0</v>
      </c>
      <c r="R13" s="1"/>
      <c r="T13" s="124">
        <v>0</v>
      </c>
      <c r="U13" s="120"/>
    </row>
    <row r="14" spans="1:21">
      <c r="A14" s="125" t="s">
        <v>148</v>
      </c>
      <c r="B14" s="51"/>
      <c r="C14" s="51"/>
      <c r="D14" s="51"/>
      <c r="E14" s="117">
        <f>SUM(E9:E13)</f>
        <v>136.95739383485716</v>
      </c>
      <c r="F14" s="27"/>
      <c r="L14" s="27" t="str">
        <f t="shared" si="0"/>
        <v xml:space="preserve">   Total Major Equipment</v>
      </c>
      <c r="M14" s="52"/>
      <c r="N14" s="118"/>
      <c r="P14" s="52"/>
      <c r="Q14" s="118"/>
      <c r="R14" s="1"/>
      <c r="T14" s="126">
        <f>SUM(T9:T13)</f>
        <v>134.87644299999999</v>
      </c>
      <c r="U14" s="120"/>
    </row>
    <row r="15" spans="1:21">
      <c r="A15" s="125"/>
      <c r="B15" s="51"/>
      <c r="C15" s="51"/>
      <c r="D15" s="51"/>
      <c r="E15" s="117"/>
      <c r="F15" s="27"/>
      <c r="L15" s="20"/>
      <c r="M15" s="52"/>
      <c r="N15" s="118"/>
      <c r="P15" s="52"/>
      <c r="Q15" s="118"/>
      <c r="R15" s="1"/>
      <c r="T15" s="116"/>
      <c r="U15" s="120"/>
    </row>
    <row r="16" spans="1:21">
      <c r="A16" s="127" t="s">
        <v>149</v>
      </c>
      <c r="B16" s="51"/>
      <c r="C16" s="51"/>
      <c r="D16" s="51"/>
      <c r="E16" s="117"/>
      <c r="F16" s="27"/>
      <c r="L16" s="27" t="str">
        <f t="shared" ref="L16:L23" si="1">A16</f>
        <v>Engineering / Construction</v>
      </c>
      <c r="M16" s="52"/>
      <c r="N16" s="118"/>
      <c r="P16" s="52"/>
      <c r="Q16" s="118"/>
      <c r="R16" s="1"/>
      <c r="T16" s="116"/>
      <c r="U16" s="120"/>
    </row>
    <row r="17" spans="1:21" hidden="1">
      <c r="A17" s="109" t="s">
        <v>146</v>
      </c>
      <c r="B17" s="51"/>
      <c r="C17" s="51"/>
      <c r="D17" s="51"/>
      <c r="E17" s="117">
        <v>0</v>
      </c>
      <c r="F17" s="27"/>
      <c r="L17" s="27" t="str">
        <f t="shared" si="1"/>
        <v>Other</v>
      </c>
      <c r="M17" s="52">
        <v>1</v>
      </c>
      <c r="N17" s="118">
        <f>IF(M17=1,'ASSUM 1'!H10,IF(M17=2,'ASSUM 1'!H11,IF(M17=3,'ASSUM 1'!H12,IF(M17=4,'ASSUM 1'!H13,IF(M17=5,'ASSUM 1'!H14,IF(M17=6,'ASSUM 1'!H15,'ASSUM 1'!H15))))))</f>
        <v>3.5087719298245612E-2</v>
      </c>
      <c r="O17" s="119"/>
      <c r="P17" s="52">
        <v>1</v>
      </c>
      <c r="Q17" s="118">
        <f>IF(P17=1,'ASSUM 1'!H18,IF(P17=2,'ASSUM 1'!H19,IF(P17=3,'ASSUM 1'!H20,IF(P17=4,'ASSUM 1'!H21,'ASSUM 1'!H21))))</f>
        <v>0</v>
      </c>
      <c r="R17" s="1"/>
      <c r="T17" s="116"/>
      <c r="U17" s="120"/>
    </row>
    <row r="18" spans="1:21" hidden="1">
      <c r="A18" s="109" t="s">
        <v>146</v>
      </c>
      <c r="B18" s="51"/>
      <c r="C18" s="51"/>
      <c r="D18" s="51"/>
      <c r="E18" s="117">
        <v>0</v>
      </c>
      <c r="F18" s="27"/>
      <c r="L18" s="27" t="str">
        <f t="shared" si="1"/>
        <v>Other</v>
      </c>
      <c r="M18" s="52">
        <v>3</v>
      </c>
      <c r="N18" s="118">
        <f>IF(M18=1,'ASSUM 1'!H10,IF(M18=2,'ASSUM 1'!H11,IF(M18=3,'ASSUM 1'!H12,IF(M18=4,'ASSUM 1'!H13,IF(M18=5,'ASSUM 1'!H14,IF(M18=6,'ASSUM 1'!H15,'ASSUM 1'!H15))))))</f>
        <v>3.5087719298245612E-2</v>
      </c>
      <c r="O18" s="119"/>
      <c r="P18" s="52">
        <v>1</v>
      </c>
      <c r="Q18" s="118">
        <f>IF(P18=1,'ASSUM 1'!H18,IF(P18=2,'ASSUM 1'!H19,IF(P18=3,'ASSUM 1'!H20,IF(P18=4,'ASSUM 1'!H21,'ASSUM 1'!H21))))</f>
        <v>0</v>
      </c>
      <c r="R18" s="1"/>
      <c r="T18" s="116"/>
      <c r="U18" s="120"/>
    </row>
    <row r="19" spans="1:21" hidden="1">
      <c r="A19" s="109" t="s">
        <v>146</v>
      </c>
      <c r="B19" s="51"/>
      <c r="C19" s="51"/>
      <c r="D19" s="51"/>
      <c r="E19" s="117">
        <v>0</v>
      </c>
      <c r="F19" s="27"/>
      <c r="L19" s="27" t="str">
        <f t="shared" si="1"/>
        <v>Other</v>
      </c>
      <c r="M19" s="52">
        <v>3</v>
      </c>
      <c r="N19" s="118">
        <f>IF(M19=1,'ASSUM 1'!H10,IF(M19=2,'ASSUM 1'!H11,IF(M19=3,'ASSUM 1'!H12,IF(M19=4,'ASSUM 1'!H13,IF(M19=5,'ASSUM 1'!H14,IF(M19=6,'ASSUM 1'!H15,'ASSUM 1'!H15))))))</f>
        <v>3.5087719298245612E-2</v>
      </c>
      <c r="O19" s="119"/>
      <c r="P19" s="52">
        <v>1</v>
      </c>
      <c r="Q19" s="118">
        <f>IF(P19=1,'ASSUM 1'!H18,IF(P19=2,'ASSUM 1'!H19,IF(P19=3,'ASSUM 1'!H20,IF(P19=4,'ASSUM 1'!H21,'ASSUM 1'!H21))))</f>
        <v>0</v>
      </c>
      <c r="R19" s="1"/>
      <c r="T19" s="116"/>
      <c r="U19" s="120"/>
    </row>
    <row r="20" spans="1:21" hidden="1">
      <c r="A20" s="109" t="s">
        <v>146</v>
      </c>
      <c r="B20" s="51"/>
      <c r="C20" s="51"/>
      <c r="D20" s="51"/>
      <c r="E20" s="117">
        <v>0</v>
      </c>
      <c r="F20" s="27"/>
      <c r="L20" s="27" t="str">
        <f t="shared" si="1"/>
        <v>Other</v>
      </c>
      <c r="M20" s="52">
        <v>3</v>
      </c>
      <c r="N20" s="118">
        <f>IF(M20=1,'ASSUM 1'!H10,IF(M20=2,'ASSUM 1'!H11,IF(M20=3,'ASSUM 1'!H12,IF(M20=4,'ASSUM 1'!H13,IF(M20=5,'ASSUM 1'!H14,IF(M20=6,'ASSUM 1'!H15,'ASSUM 1'!H15))))))</f>
        <v>3.5087719298245612E-2</v>
      </c>
      <c r="O20" s="119"/>
      <c r="P20" s="52">
        <v>1</v>
      </c>
      <c r="Q20" s="118">
        <f>IF(P20=1,'ASSUM 1'!H18,IF(P20=2,'ASSUM 1'!H19,IF(P20=3,'ASSUM 1'!H20,IF(P20=4,'ASSUM 1'!H21,'ASSUM 1'!H21))))</f>
        <v>0</v>
      </c>
      <c r="R20" s="1"/>
      <c r="T20" s="116"/>
      <c r="U20" s="120"/>
    </row>
    <row r="21" spans="1:21" hidden="1">
      <c r="A21" s="109" t="s">
        <v>146</v>
      </c>
      <c r="B21" s="51"/>
      <c r="C21" s="51"/>
      <c r="D21" s="51"/>
      <c r="E21" s="117">
        <v>0</v>
      </c>
      <c r="F21" s="27"/>
      <c r="L21" s="27" t="str">
        <f t="shared" si="1"/>
        <v>Other</v>
      </c>
      <c r="M21" s="52">
        <v>3</v>
      </c>
      <c r="N21" s="118">
        <f>IF(M21=1,'ASSUM 1'!H10,IF(M21=2,'ASSUM 1'!H11,IF(M21=3,'ASSUM 1'!H12,IF(M21=4,'ASSUM 1'!H13,IF(M21=5,'ASSUM 1'!H14,IF(M21=6,'ASSUM 1'!H15,'ASSUM 1'!H15))))))</f>
        <v>3.5087719298245612E-2</v>
      </c>
      <c r="O21" s="119"/>
      <c r="P21" s="52">
        <v>1</v>
      </c>
      <c r="Q21" s="118">
        <f>IF(P21=1,'ASSUM 1'!H18,IF(P21=2,'ASSUM 1'!H19,IF(P21=3,'ASSUM 1'!H20,IF(P21=4,'ASSUM 1'!H21,'ASSUM 1'!H21))))</f>
        <v>0</v>
      </c>
      <c r="R21" s="1"/>
      <c r="T21" s="116"/>
      <c r="U21" s="120"/>
    </row>
    <row r="22" spans="1:21">
      <c r="A22" s="109" t="s">
        <v>146</v>
      </c>
      <c r="B22" s="51"/>
      <c r="C22" s="51"/>
      <c r="D22" s="51"/>
      <c r="E22" s="121">
        <v>0</v>
      </c>
      <c r="F22" s="27"/>
      <c r="G22" s="113"/>
      <c r="H22" s="113"/>
      <c r="I22" s="113"/>
      <c r="L22" s="27" t="str">
        <f t="shared" si="1"/>
        <v>Other</v>
      </c>
      <c r="M22" s="52">
        <v>1</v>
      </c>
      <c r="N22" s="118">
        <f>IF(M22=1,'ASSUM 1'!H10,IF(M22=2,'ASSUM 1'!H11,IF(M22=3,'ASSUM 1'!H12,IF(M22=4,'ASSUM 1'!H13,IF(M22=5,'ASSUM 1'!H14,IF(M22=6,'ASSUM 1'!H15,'ASSUM 1'!H15))))))</f>
        <v>3.5087719298245612E-2</v>
      </c>
      <c r="O22" s="119"/>
      <c r="P22" s="52">
        <v>1</v>
      </c>
      <c r="Q22" s="118">
        <f>IF(P22=1,'ASSUM 1'!H18,IF(P22=2,'ASSUM 1'!H19,IF(P22=3,'ASSUM 1'!H20,IF(P22=4,'ASSUM 1'!H21,'ASSUM 1'!H21))))</f>
        <v>0</v>
      </c>
      <c r="R22" s="1"/>
      <c r="T22" s="124"/>
      <c r="U22" s="120"/>
    </row>
    <row r="23" spans="1:21">
      <c r="A23" s="125" t="s">
        <v>150</v>
      </c>
      <c r="B23" s="51"/>
      <c r="C23" s="51"/>
      <c r="D23" s="51"/>
      <c r="E23" s="117">
        <f>SUM(E17:E22)</f>
        <v>0</v>
      </c>
      <c r="F23" s="27"/>
      <c r="G23" s="113"/>
      <c r="H23" s="113"/>
      <c r="I23" s="113"/>
      <c r="L23" s="27" t="str">
        <f t="shared" si="1"/>
        <v xml:space="preserve">   Total Engineering / Construction</v>
      </c>
      <c r="M23" s="52"/>
      <c r="N23" s="118"/>
      <c r="O23" s="119"/>
      <c r="P23" s="52"/>
      <c r="Q23" s="118"/>
      <c r="R23" s="1"/>
      <c r="T23" s="116"/>
      <c r="U23" s="120"/>
    </row>
    <row r="24" spans="1:21">
      <c r="A24" s="125"/>
      <c r="B24" s="51"/>
      <c r="C24" s="51"/>
      <c r="D24" s="51"/>
      <c r="E24" s="117"/>
      <c r="F24" s="27"/>
      <c r="G24" s="113"/>
      <c r="H24" s="113"/>
      <c r="I24" s="113"/>
      <c r="L24" s="20"/>
      <c r="M24" s="52"/>
      <c r="N24" s="118"/>
      <c r="O24" s="119"/>
      <c r="P24" s="52"/>
      <c r="Q24" s="118"/>
      <c r="R24" s="1"/>
      <c r="T24" s="116"/>
      <c r="U24" s="120"/>
    </row>
    <row r="25" spans="1:21">
      <c r="A25" s="127" t="s">
        <v>146</v>
      </c>
      <c r="B25" s="51"/>
      <c r="C25" s="51"/>
      <c r="D25" s="51"/>
      <c r="E25" s="117"/>
      <c r="F25" s="27"/>
      <c r="L25" s="27" t="str">
        <f t="shared" ref="L25:L30" si="2">A25</f>
        <v>Other</v>
      </c>
      <c r="M25" s="52"/>
      <c r="N25" s="118"/>
      <c r="O25" s="119"/>
      <c r="P25" s="52"/>
      <c r="Q25" s="118"/>
      <c r="R25" s="1"/>
      <c r="T25" s="116"/>
      <c r="U25" s="120"/>
    </row>
    <row r="26" spans="1:21">
      <c r="A26" s="109" t="s">
        <v>151</v>
      </c>
      <c r="B26" s="51"/>
      <c r="C26" s="51"/>
      <c r="D26" s="51"/>
      <c r="E26" s="117">
        <v>0.25</v>
      </c>
      <c r="F26" s="27"/>
      <c r="G26" s="113"/>
      <c r="H26" s="113"/>
      <c r="I26" s="113"/>
      <c r="L26" s="27" t="str">
        <f t="shared" si="2"/>
        <v>Land</v>
      </c>
      <c r="M26" s="52">
        <v>0</v>
      </c>
      <c r="N26" s="47">
        <v>0</v>
      </c>
      <c r="O26" s="119"/>
      <c r="P26" s="52">
        <v>0</v>
      </c>
      <c r="Q26" s="47">
        <v>0</v>
      </c>
      <c r="R26" s="1"/>
      <c r="T26" s="116"/>
      <c r="U26" s="120"/>
    </row>
    <row r="27" spans="1:21">
      <c r="A27" s="109" t="s">
        <v>152</v>
      </c>
      <c r="B27" s="51"/>
      <c r="C27" s="51"/>
      <c r="D27" s="51"/>
      <c r="E27" s="117">
        <v>1.9</v>
      </c>
      <c r="F27" s="27"/>
      <c r="G27" s="113"/>
      <c r="H27" s="113"/>
      <c r="I27" s="113"/>
      <c r="L27" s="27" t="str">
        <f t="shared" si="2"/>
        <v>Transmission Costs</v>
      </c>
      <c r="M27" s="52">
        <v>5</v>
      </c>
      <c r="N27" s="118">
        <f>IF(M27=1,'ASSUM 1'!H10,IF(M27=2,'ASSUM 1'!H11,IF(M27=3,'ASSUM 1'!H12,IF(M27=4,'ASSUM 1'!H13,IF(M27=5,'ASSUM 1'!H14,IF(M27=6,'ASSUM 1'!H15,'ASSUM 1'!H15))))))</f>
        <v>3.5087719298245612E-2</v>
      </c>
      <c r="O27" s="119"/>
      <c r="P27" s="52">
        <v>1</v>
      </c>
      <c r="Q27" s="118">
        <f>IF(P27=1,'ASSUM 1'!H18,IF(P27=2,'ASSUM 1'!H19,IF(P27=3,'ASSUM 1'!H20,IF(P27=4,'ASSUM 1'!H21,'ASSUM 1'!H21))))</f>
        <v>0</v>
      </c>
      <c r="R27" s="1"/>
      <c r="T27" s="116"/>
      <c r="U27" s="120"/>
    </row>
    <row r="28" spans="1:21">
      <c r="A28" s="109" t="s">
        <v>153</v>
      </c>
      <c r="B28" s="51"/>
      <c r="C28" s="51"/>
      <c r="D28" s="51"/>
      <c r="E28" s="117">
        <v>1.2170000000000001</v>
      </c>
      <c r="F28" s="27"/>
      <c r="G28" s="113"/>
      <c r="H28" s="113"/>
      <c r="I28" s="113"/>
      <c r="L28" s="27" t="str">
        <f t="shared" si="2"/>
        <v>AES Development Cost Reimbursement</v>
      </c>
      <c r="M28" s="52">
        <v>3</v>
      </c>
      <c r="N28" s="118">
        <f>IF(M28=1,'ASSUM 1'!H10,IF(M28=2,'ASSUM 1'!H11,IF(M28=3,'ASSUM 1'!H12,IF(M28=4,'ASSUM 1'!H13,IF(M28=5,'ASSUM 1'!H14,IF(M28=6,'ASSUM 1'!H15,'ASSUM 1'!H15))))))</f>
        <v>3.5087719298245612E-2</v>
      </c>
      <c r="O28" s="119"/>
      <c r="P28" s="52">
        <v>4</v>
      </c>
      <c r="Q28" s="118">
        <f>IF(P28=1,'ASSUM 1'!H18,IF(P28=2,'ASSUM 1'!H19,IF(P28=3,'ASSUM 1'!H20,IF(P28=4,'ASSUM 1'!H21,'ASSUM 1'!H21))))</f>
        <v>0.2</v>
      </c>
      <c r="R28" s="1"/>
      <c r="T28" s="116"/>
      <c r="U28" s="120"/>
    </row>
    <row r="29" spans="1:21">
      <c r="A29" s="109" t="s">
        <v>154</v>
      </c>
      <c r="B29" s="51"/>
      <c r="C29" s="51"/>
      <c r="D29" s="51"/>
      <c r="E29" s="121">
        <v>3.1280000000000001</v>
      </c>
      <c r="F29" s="27"/>
      <c r="G29" s="113"/>
      <c r="H29" s="113"/>
      <c r="I29" s="113"/>
      <c r="L29" s="27" t="str">
        <f t="shared" si="2"/>
        <v>Six Ring Bus</v>
      </c>
      <c r="M29" s="52">
        <v>3</v>
      </c>
      <c r="N29" s="118">
        <f>IF(M29=1,'ASSUM 1'!H10,IF(M29=2,'ASSUM 1'!H11,IF(M29=3,'ASSUM 1'!H12,IF(M29=4,'ASSUM 1'!H13,IF(M29=5,'ASSUM 1'!H14,IF(M29=6,'ASSUM 1'!H15,'ASSUM 1'!H15))))))</f>
        <v>3.5087719298245612E-2</v>
      </c>
      <c r="O29" s="119"/>
      <c r="P29" s="52">
        <v>1</v>
      </c>
      <c r="Q29" s="118">
        <f>IF(P29=1,'ASSUM 1'!H18,IF(P29=2,'ASSUM 1'!H19,IF(P29=3,'ASSUM 1'!H20,IF(P29=4,'ASSUM 1'!H21,'ASSUM 1'!H21))))</f>
        <v>0</v>
      </c>
      <c r="R29" s="1"/>
      <c r="T29" s="124"/>
      <c r="U29" s="120"/>
    </row>
    <row r="30" spans="1:21">
      <c r="A30" s="125" t="s">
        <v>155</v>
      </c>
      <c r="B30" s="51"/>
      <c r="C30" s="51"/>
      <c r="D30" s="51"/>
      <c r="E30" s="117">
        <f>SUM(E26:E29)</f>
        <v>6.4950000000000001</v>
      </c>
      <c r="F30" s="27"/>
      <c r="G30" s="113"/>
      <c r="H30" s="113"/>
      <c r="I30" s="113"/>
      <c r="L30" s="27" t="str">
        <f t="shared" si="2"/>
        <v xml:space="preserve">   Total Other</v>
      </c>
      <c r="M30" s="52"/>
      <c r="N30" s="118"/>
      <c r="O30" s="119"/>
      <c r="P30" s="52"/>
      <c r="Q30" s="118"/>
      <c r="R30" s="1"/>
      <c r="T30" s="116"/>
      <c r="U30" s="120"/>
    </row>
    <row r="31" spans="1:21">
      <c r="A31" s="125"/>
      <c r="B31" s="51"/>
      <c r="C31" s="51"/>
      <c r="D31" s="51"/>
      <c r="E31" s="117"/>
      <c r="F31" s="27"/>
      <c r="G31" s="113"/>
      <c r="H31" s="113"/>
      <c r="I31" s="113"/>
      <c r="L31" s="20"/>
      <c r="M31" s="52"/>
      <c r="N31" s="118"/>
      <c r="O31" s="119"/>
      <c r="P31" s="52"/>
      <c r="Q31" s="118"/>
      <c r="R31" s="1"/>
      <c r="T31" s="116"/>
      <c r="U31" s="120"/>
    </row>
    <row r="32" spans="1:21">
      <c r="A32" s="127" t="s">
        <v>156</v>
      </c>
      <c r="B32" s="51"/>
      <c r="C32" s="51"/>
      <c r="D32" s="51"/>
      <c r="E32" s="117"/>
      <c r="F32" s="27"/>
      <c r="L32" s="27" t="str">
        <f t="shared" ref="L32:L53" si="3">A32</f>
        <v>Soft Costs</v>
      </c>
      <c r="M32" s="52"/>
      <c r="N32" s="118"/>
      <c r="O32" s="119"/>
      <c r="P32" s="52"/>
      <c r="Q32" s="118"/>
      <c r="R32" s="1"/>
      <c r="T32" s="116"/>
      <c r="U32" s="120"/>
    </row>
    <row r="33" spans="1:21">
      <c r="A33" s="125" t="s">
        <v>157</v>
      </c>
      <c r="B33" s="51"/>
      <c r="C33" s="51"/>
      <c r="D33" s="51"/>
      <c r="E33" s="117">
        <v>2.2999999999999998</v>
      </c>
      <c r="F33" s="27"/>
      <c r="G33" s="113"/>
      <c r="H33" s="113"/>
      <c r="I33" s="113"/>
      <c r="L33" s="27" t="str">
        <f t="shared" si="3"/>
        <v>Development Cost Budget</v>
      </c>
      <c r="M33" s="52">
        <v>6</v>
      </c>
      <c r="N33" s="118">
        <f>IF(M33=1,'ASSUM 1'!H10,IF(M33=2,'ASSUM 1'!H11,IF(M33=3,'ASSUM 1'!H12,IF(M33=4,'ASSUM 1'!H13,IF(M33=5,'ASSUM 1'!H14,IF(M33=6,'ASSUM 1'!H15,'ASSUM 1'!H15))))))</f>
        <v>3.5087719298245612E-2</v>
      </c>
      <c r="O33" s="119"/>
      <c r="P33" s="52">
        <v>4</v>
      </c>
      <c r="Q33" s="118">
        <f>IF(P33=1,'ASSUM 1'!H18,IF(P33=2,'ASSUM 1'!H19,IF(P33=3,'ASSUM 1'!H20,IF(P33=4,'ASSUM 1'!H21,'ASSUM 1'!H21))))</f>
        <v>0.2</v>
      </c>
      <c r="R33" s="1"/>
      <c r="T33" s="116"/>
      <c r="U33" s="120"/>
    </row>
    <row r="34" spans="1:21">
      <c r="A34" s="125" t="s">
        <v>158</v>
      </c>
      <c r="B34" s="51"/>
      <c r="C34" s="128">
        <v>68</v>
      </c>
      <c r="D34" s="129" t="s">
        <v>159</v>
      </c>
      <c r="E34" s="617">
        <f>($C$34*'ASSUM 1'!Q7)/1000</f>
        <v>1.1559999999999999</v>
      </c>
      <c r="F34" s="27"/>
      <c r="G34" s="113"/>
      <c r="H34" s="113"/>
      <c r="I34" s="113"/>
      <c r="L34" s="27" t="str">
        <f t="shared" si="3"/>
        <v>Construction Over-site budget</v>
      </c>
      <c r="M34" s="52">
        <v>6</v>
      </c>
      <c r="N34" s="118">
        <f>IF(M34=1,'ASSUM 1'!H10,IF(M34=2,'ASSUM 1'!H11,IF(M34=3,'ASSUM 1'!H12,IF(M34=4,'ASSUM 1'!H13,IF(M34=5,'ASSUM 1'!H14,IF(M34=6,'ASSUM 1'!H15,'ASSUM 1'!H15))))))</f>
        <v>3.5087719298245612E-2</v>
      </c>
      <c r="O34" s="119"/>
      <c r="P34" s="52">
        <v>4</v>
      </c>
      <c r="Q34" s="118">
        <f>IF(P34=1,'ASSUM 1'!H18,IF(P34=2,'ASSUM 1'!H19,IF(P34=3,'ASSUM 1'!H20,IF(P34=4,'ASSUM 1'!H21,'ASSUM 1'!H21))))</f>
        <v>0.2</v>
      </c>
      <c r="R34" s="1"/>
      <c r="T34" s="116"/>
      <c r="U34" s="120"/>
    </row>
    <row r="35" spans="1:21" hidden="1">
      <c r="A35" s="125" t="s">
        <v>146</v>
      </c>
      <c r="B35" s="51"/>
      <c r="C35" s="130"/>
      <c r="D35" s="130"/>
      <c r="E35" s="117">
        <v>0</v>
      </c>
      <c r="F35" s="27"/>
      <c r="G35" s="113"/>
      <c r="H35" s="113"/>
      <c r="I35" s="113"/>
      <c r="L35" s="27" t="str">
        <f t="shared" si="3"/>
        <v>Other</v>
      </c>
      <c r="M35" s="52">
        <v>6</v>
      </c>
      <c r="N35" s="118">
        <f>IF(M35=1,'ASSUM 1'!H10,IF(M35=2,'ASSUM 1'!H11,IF(M35=3,'ASSUM 1'!H12,IF(M35=4,'ASSUM 1'!H13,IF(M35=5,'ASSUM 1'!H14,IF(M35=6,'ASSUM 1'!H15,'ASSUM 1'!H15))))))</f>
        <v>3.5087719298245612E-2</v>
      </c>
      <c r="O35" s="119"/>
      <c r="P35" s="52">
        <v>4</v>
      </c>
      <c r="Q35" s="118">
        <f>IF(P35=1,'ASSUM 1'!H18,IF(P35=2,'ASSUM 1'!H19,IF(P35=3,'ASSUM 1'!H20,IF(P35=4,'ASSUM 1'!H21,'ASSUM 1'!H21))))</f>
        <v>0.2</v>
      </c>
      <c r="R35" s="1"/>
      <c r="T35" s="116"/>
      <c r="U35" s="120"/>
    </row>
    <row r="36" spans="1:21" hidden="1">
      <c r="A36" s="125" t="s">
        <v>160</v>
      </c>
      <c r="B36" s="51"/>
      <c r="C36" s="130"/>
      <c r="D36" s="130"/>
      <c r="E36" s="117">
        <v>0</v>
      </c>
      <c r="F36" s="27"/>
      <c r="G36" s="113"/>
      <c r="H36" s="113"/>
      <c r="I36" s="113"/>
      <c r="L36" s="27" t="str">
        <f t="shared" si="3"/>
        <v xml:space="preserve">Other </v>
      </c>
      <c r="M36" s="52">
        <v>6</v>
      </c>
      <c r="N36" s="118">
        <f>IF(M36=1,'ASSUM 1'!H10,IF(M36=2,'ASSUM 1'!H11,IF(M36=3,'ASSUM 1'!H12,IF(M36=4,'ASSUM 1'!H13,IF(M36=5,'ASSUM 1'!H14,IF(M36=6,'ASSUM 1'!H15,'ASSUM 1'!H15))))))</f>
        <v>3.5087719298245612E-2</v>
      </c>
      <c r="O36" s="119"/>
      <c r="P36" s="52">
        <v>4</v>
      </c>
      <c r="Q36" s="118">
        <f>IF(P36=1,'ASSUM 1'!H18,IF(P36=2,'ASSUM 1'!H19,IF(P36=3,'ASSUM 1'!H20,IF(P36=4,'ASSUM 1'!H21,'ASSUM 1'!H21))))</f>
        <v>0.2</v>
      </c>
      <c r="R36" s="1"/>
      <c r="T36" s="116"/>
      <c r="U36" s="120"/>
    </row>
    <row r="37" spans="1:21" hidden="1">
      <c r="A37" s="125" t="s">
        <v>146</v>
      </c>
      <c r="B37" s="51"/>
      <c r="C37" s="130"/>
      <c r="D37" s="130"/>
      <c r="E37" s="117">
        <v>0</v>
      </c>
      <c r="F37" s="27"/>
      <c r="G37" s="113"/>
      <c r="H37" s="113"/>
      <c r="I37" s="113"/>
      <c r="L37" s="27" t="str">
        <f t="shared" si="3"/>
        <v>Other</v>
      </c>
      <c r="M37" s="52">
        <v>6</v>
      </c>
      <c r="N37" s="118">
        <f>IF(M37=1,'ASSUM 1'!H10,IF(M37=2,'ASSUM 1'!H11,IF(M37=3,'ASSUM 1'!H12,IF(M37=4,'ASSUM 1'!H13,IF(M37=5,'ASSUM 1'!H14,IF(M37=6,'ASSUM 1'!H15,'ASSUM 1'!H15))))))</f>
        <v>3.5087719298245612E-2</v>
      </c>
      <c r="O37" s="119"/>
      <c r="P37" s="52">
        <v>4</v>
      </c>
      <c r="Q37" s="118">
        <f>IF(P37=1,'ASSUM 1'!H18,IF(P37=2,'ASSUM 1'!H19,IF(P37=3,'ASSUM 1'!H20,IF(P37=4,'ASSUM 1'!H21,'ASSUM 1'!H21))))</f>
        <v>0.2</v>
      </c>
      <c r="R37" s="1"/>
      <c r="T37" s="116"/>
      <c r="U37" s="120"/>
    </row>
    <row r="38" spans="1:21">
      <c r="A38" s="125" t="s">
        <v>161</v>
      </c>
      <c r="B38" s="51"/>
      <c r="E38" s="117">
        <f>'144A IDC'!D109/1000</f>
        <v>2.7</v>
      </c>
      <c r="F38" s="27"/>
      <c r="G38" s="131"/>
      <c r="H38" s="131"/>
      <c r="I38" s="132"/>
      <c r="L38" s="27" t="str">
        <f t="shared" si="3"/>
        <v>Financing Fees</v>
      </c>
      <c r="M38" s="52">
        <v>6</v>
      </c>
      <c r="N38" s="118">
        <f>IF(M38=1,'ASSUM 1'!H10,IF(M38=2,'ASSUM 1'!H11,IF(M38=3,'ASSUM 1'!H12,IF(M38=4,'ASSUM 1'!H13,IF(M38=5,'ASSUM 1'!H14,IF(M38=6,'ASSUM 1'!H15,'ASSUM 1'!H15))))))</f>
        <v>3.5087719298245612E-2</v>
      </c>
      <c r="O38" s="119"/>
      <c r="P38" s="52">
        <v>4</v>
      </c>
      <c r="Q38" s="118">
        <f>IF(P38=1,'ASSUM 1'!H18,IF(P38=2,'ASSUM 1'!H19,IF(P38=3,'ASSUM 1'!H20,IF(P38=4,'ASSUM 1'!H21,'ASSUM 1'!H21))))</f>
        <v>0.2</v>
      </c>
      <c r="R38" s="1"/>
      <c r="T38" s="116"/>
      <c r="U38" s="120"/>
    </row>
    <row r="39" spans="1:21">
      <c r="A39" s="125" t="s">
        <v>72</v>
      </c>
      <c r="B39" s="51"/>
      <c r="E39" s="117">
        <f>IF('ASSUM 2'!L26=0,+#REF!+#REF!,0)</f>
        <v>0</v>
      </c>
      <c r="F39" s="133"/>
      <c r="G39" s="131"/>
      <c r="H39" s="131"/>
      <c r="I39" s="134"/>
      <c r="L39" s="27" t="str">
        <f t="shared" si="3"/>
        <v>Commitment Fees</v>
      </c>
      <c r="M39" s="52">
        <v>6</v>
      </c>
      <c r="N39" s="118">
        <f>IF(M39=1,'ASSUM 1'!H10,IF(M39=2,'ASSUM 1'!H11,IF(M39=3,'ASSUM 1'!H12,IF(M39=4,'ASSUM 1'!H13,IF(M39=5,'ASSUM 1'!H14,IF(M39=6,'ASSUM 1'!H15,'ASSUM 1'!H15))))))</f>
        <v>3.5087719298245612E-2</v>
      </c>
      <c r="O39" s="119"/>
      <c r="P39" s="52">
        <v>4</v>
      </c>
      <c r="Q39" s="118">
        <f>IF(P39=1,'ASSUM 1'!H18,IF(P39=2,'ASSUM 1'!H19,IF(P39=3,'ASSUM 1'!H20,IF(P39=4,'ASSUM 1'!H21,'ASSUM 1'!H21))))</f>
        <v>0.2</v>
      </c>
      <c r="R39" s="1"/>
      <c r="T39" s="116"/>
      <c r="U39" s="120"/>
    </row>
    <row r="40" spans="1:21">
      <c r="A40" s="125" t="s">
        <v>146</v>
      </c>
      <c r="B40" s="51"/>
      <c r="C40" s="130"/>
      <c r="D40" s="130"/>
      <c r="E40" s="117">
        <v>0</v>
      </c>
      <c r="F40" s="27"/>
      <c r="G40" s="113"/>
      <c r="H40" s="113"/>
      <c r="I40" s="113"/>
      <c r="L40" s="27" t="str">
        <f t="shared" si="3"/>
        <v>Other</v>
      </c>
      <c r="M40" s="52">
        <v>6</v>
      </c>
      <c r="N40" s="118">
        <f>IF(M40=1,'ASSUM 1'!H10,IF(M40=2,'ASSUM 1'!H11,IF(M40=3,'ASSUM 1'!H12,IF(M40=4,'ASSUM 1'!H13,IF(M40=5,'ASSUM 1'!H14,IF(M40=6,'ASSUM 1'!H15,'ASSUM 1'!H15))))))</f>
        <v>3.5087719298245612E-2</v>
      </c>
      <c r="O40" s="119"/>
      <c r="P40" s="52">
        <v>4</v>
      </c>
      <c r="Q40" s="118">
        <f>IF(P40=1,'ASSUM 1'!H18,IF(P40=2,'ASSUM 1'!H19,IF(P40=3,'ASSUM 1'!H20,IF(P40=4,'ASSUM 1'!H21,'ASSUM 1'!H21))))</f>
        <v>0.2</v>
      </c>
      <c r="R40" s="1"/>
      <c r="T40" s="116"/>
      <c r="U40" s="120"/>
    </row>
    <row r="41" spans="1:21">
      <c r="A41" s="125" t="s">
        <v>162</v>
      </c>
      <c r="B41" s="51"/>
      <c r="C41" s="130"/>
      <c r="D41" s="130"/>
      <c r="E41" s="117">
        <v>1.5</v>
      </c>
      <c r="F41" s="27"/>
      <c r="G41" s="113"/>
      <c r="H41" s="113"/>
      <c r="I41" s="113"/>
      <c r="L41" s="27" t="str">
        <f t="shared" si="3"/>
        <v>Spares and Tools</v>
      </c>
      <c r="M41" s="52">
        <v>6</v>
      </c>
      <c r="N41" s="118">
        <f>IF(M41=1,'ASSUM 1'!H10,IF(M41=2,'ASSUM 1'!H11,IF(M41=3,'ASSUM 1'!H12,IF(M41=4,'ASSUM 1'!H13,IF(M41=5,'ASSUM 1'!H14,IF(M41=6,'ASSUM 1'!H15,'ASSUM 1'!H15))))))</f>
        <v>3.5087719298245612E-2</v>
      </c>
      <c r="O41" s="119"/>
      <c r="P41" s="52">
        <v>4</v>
      </c>
      <c r="Q41" s="118">
        <f>IF(P41=1,'ASSUM 1'!H18,IF(P41=2,'ASSUM 1'!H19,IF(P41=3,'ASSUM 1'!H20,IF(P41=4,'ASSUM 1'!H21,'ASSUM 1'!H21))))</f>
        <v>0.2</v>
      </c>
      <c r="R41" s="1"/>
      <c r="T41" s="116"/>
      <c r="U41" s="120"/>
    </row>
    <row r="42" spans="1:21">
      <c r="A42" s="125" t="s">
        <v>163</v>
      </c>
      <c r="B42" s="51"/>
      <c r="C42" s="135">
        <v>3.0000000000000001E-3</v>
      </c>
      <c r="D42" s="129" t="s">
        <v>164</v>
      </c>
      <c r="E42" s="117">
        <v>0.41087218150457139</v>
      </c>
      <c r="F42" s="27"/>
      <c r="G42" s="113"/>
      <c r="H42" s="113"/>
      <c r="I42" s="113"/>
      <c r="L42" s="27" t="str">
        <f t="shared" si="3"/>
        <v>Builders Risk Insurance</v>
      </c>
      <c r="M42" s="52">
        <v>6</v>
      </c>
      <c r="N42" s="118">
        <f>IF(M42=1,'ASSUM 1'!H10,IF(M42=2,'ASSUM 1'!H11,IF(M42=3,'ASSUM 1'!H12,IF(M42=4,'ASSUM 1'!H13,IF(M42=5,'ASSUM 1'!H14,IF(M42=6,'ASSUM 1'!H15,'ASSUM 1'!H15))))))</f>
        <v>3.5087719298245612E-2</v>
      </c>
      <c r="O42" s="119"/>
      <c r="P42" s="52">
        <v>4</v>
      </c>
      <c r="Q42" s="118">
        <f>IF(P42=1,'ASSUM 1'!H18,IF(P42=2,'ASSUM 1'!H19,IF(P42=3,'ASSUM 1'!H20,IF(P42=4,'ASSUM 1'!H21,'ASSUM 1'!H21))))</f>
        <v>0.2</v>
      </c>
      <c r="R42" s="1"/>
      <c r="T42" s="116"/>
      <c r="U42" s="120"/>
    </row>
    <row r="43" spans="1:21">
      <c r="A43" s="125" t="s">
        <v>165</v>
      </c>
      <c r="B43" s="51"/>
      <c r="C43" s="130"/>
      <c r="D43" s="130"/>
      <c r="E43" s="117">
        <v>0.8</v>
      </c>
      <c r="F43" s="27"/>
      <c r="G43" s="113"/>
      <c r="H43" s="113"/>
      <c r="I43" s="113"/>
      <c r="L43" s="27" t="str">
        <f t="shared" si="3"/>
        <v>O&amp;M Mobilization</v>
      </c>
      <c r="M43" s="52">
        <v>6</v>
      </c>
      <c r="N43" s="118">
        <f>IF(M43=1,'ASSUM 1'!H10,IF(M43=2,'ASSUM 1'!H11,IF(M43=3,'ASSUM 1'!H12,IF(M43=4,'ASSUM 1'!H13,IF(M43=5,'ASSUM 1'!H14,IF(M43=6,'ASSUM 1'!H15,'ASSUM 1'!H15))))))</f>
        <v>3.5087719298245612E-2</v>
      </c>
      <c r="O43" s="119"/>
      <c r="P43" s="52">
        <v>4</v>
      </c>
      <c r="Q43" s="118">
        <f>IF(P43=1,'ASSUM 1'!H18,IF(P43=2,'ASSUM 1'!H19,IF(P43=3,'ASSUM 1'!H20,IF(P43=4,'ASSUM 1'!H21,'ASSUM 1'!H21))))</f>
        <v>0.2</v>
      </c>
      <c r="R43" s="1"/>
      <c r="T43" s="116"/>
      <c r="U43" s="120"/>
    </row>
    <row r="44" spans="1:21">
      <c r="A44" s="125" t="s">
        <v>166</v>
      </c>
      <c r="B44" s="51"/>
      <c r="C44" s="130"/>
      <c r="D44" s="130"/>
      <c r="E44" s="117">
        <v>1</v>
      </c>
      <c r="F44" s="27"/>
      <c r="G44" s="113"/>
      <c r="H44" s="113"/>
      <c r="I44" s="113"/>
      <c r="L44" s="27" t="str">
        <f t="shared" si="3"/>
        <v>Lender Legal</v>
      </c>
      <c r="M44" s="52">
        <v>6</v>
      </c>
      <c r="N44" s="118">
        <f>IF(M44=1,'ASSUM 1'!H10,IF(M44=2,'ASSUM 1'!H11,IF(M44=3,'ASSUM 1'!H12,IF(M44=4,'ASSUM 1'!H13,IF(M44=5,'ASSUM 1'!H14,IF(M44=6,'ASSUM 1'!H15,'ASSUM 1'!H15))))))</f>
        <v>3.5087719298245612E-2</v>
      </c>
      <c r="O44" s="119"/>
      <c r="P44" s="52">
        <v>4</v>
      </c>
      <c r="Q44" s="118">
        <f>IF(P44=1,'ASSUM 1'!H18,IF(P44=2,'ASSUM 1'!H19,IF(P44=3,'ASSUM 1'!H20,IF(P44=4,'ASSUM 1'!H21,'ASSUM 1'!H21))))</f>
        <v>0.2</v>
      </c>
      <c r="R44" s="1"/>
      <c r="T44" s="116"/>
      <c r="U44" s="120"/>
    </row>
    <row r="45" spans="1:21">
      <c r="A45" s="125" t="s">
        <v>167</v>
      </c>
      <c r="B45" s="51"/>
      <c r="C45" s="130"/>
      <c r="D45" s="130"/>
      <c r="E45" s="117">
        <v>0.1</v>
      </c>
      <c r="F45" s="27"/>
      <c r="G45" s="113"/>
      <c r="H45" s="113"/>
      <c r="I45" s="113"/>
      <c r="L45" s="27" t="str">
        <f t="shared" si="3"/>
        <v>Vehicles</v>
      </c>
      <c r="M45" s="52">
        <v>6</v>
      </c>
      <c r="N45" s="118">
        <f>IF(M45=1,'ASSUM 1'!H10,IF(M45=2,'ASSUM 1'!H11,IF(M45=3,'ASSUM 1'!H12,IF(M45=4,'ASSUM 1'!H13,IF(M45=5,'ASSUM 1'!H14,IF(M45=6,'ASSUM 1'!H15,'ASSUM 1'!H15))))))</f>
        <v>3.5087719298245612E-2</v>
      </c>
      <c r="O45" s="119"/>
      <c r="P45" s="52">
        <v>4</v>
      </c>
      <c r="Q45" s="118">
        <f>IF(P45=1,'ASSUM 1'!H18,IF(P45=2,'ASSUM 1'!H19,IF(P45=3,'ASSUM 1'!H20,IF(P45=4,'ASSUM 1'!H21,'ASSUM 1'!H21))))</f>
        <v>0.2</v>
      </c>
      <c r="R45" s="1"/>
      <c r="T45" s="116"/>
      <c r="U45" s="120"/>
    </row>
    <row r="46" spans="1:21">
      <c r="A46" s="125" t="s">
        <v>168</v>
      </c>
      <c r="B46" s="51"/>
      <c r="C46" s="130"/>
      <c r="D46" s="130"/>
      <c r="E46" s="117">
        <v>7.4999999999999997E-3</v>
      </c>
      <c r="F46" s="27"/>
      <c r="G46" s="113"/>
      <c r="H46" s="113"/>
      <c r="I46" s="113"/>
      <c r="L46" s="27" t="str">
        <f t="shared" si="3"/>
        <v>Document Recording Tax (State of VA tax)</v>
      </c>
      <c r="M46" s="52">
        <v>6</v>
      </c>
      <c r="N46" s="118">
        <f>IF(M46=1,'ASSUM 1'!H10,IF(M46=2,'ASSUM 1'!H11,IF(M46=3,'ASSUM 1'!H12,IF(M46=4,'ASSUM 1'!H13,IF(M46=5,'ASSUM 1'!H14,IF(M46=6,'ASSUM 1'!H15,'ASSUM 1'!H15))))))</f>
        <v>3.5087719298245612E-2</v>
      </c>
      <c r="O46" s="119"/>
      <c r="P46" s="52">
        <v>4</v>
      </c>
      <c r="Q46" s="118">
        <f>IF(P46=1,'ASSUM 1'!H18,IF(P46=2,'ASSUM 1'!H19,IF(P46=3,'ASSUM 1'!H20,IF(P46=4,'ASSUM 1'!H21,'ASSUM 1'!H21))))</f>
        <v>0.2</v>
      </c>
      <c r="R46" s="1"/>
      <c r="T46" s="116"/>
      <c r="U46" s="120"/>
    </row>
    <row r="47" spans="1:21">
      <c r="A47" s="125" t="s">
        <v>169</v>
      </c>
      <c r="B47" s="51"/>
      <c r="C47" s="130"/>
      <c r="D47" s="130"/>
      <c r="E47" s="117">
        <v>1.4142468281858152</v>
      </c>
      <c r="F47" s="27"/>
      <c r="G47" s="113"/>
      <c r="H47" s="113"/>
      <c r="I47" s="113"/>
      <c r="L47" s="27" t="str">
        <f t="shared" si="3"/>
        <v>Working Capital</v>
      </c>
      <c r="M47" s="52">
        <v>0</v>
      </c>
      <c r="N47" s="47">
        <v>0</v>
      </c>
      <c r="O47" s="119"/>
      <c r="P47" s="52">
        <v>0</v>
      </c>
      <c r="Q47" s="47">
        <v>0</v>
      </c>
      <c r="R47" s="1"/>
      <c r="T47" s="116"/>
      <c r="U47" s="120"/>
    </row>
    <row r="48" spans="1:21">
      <c r="A48" s="125" t="s">
        <v>146</v>
      </c>
      <c r="B48" s="51"/>
      <c r="C48" s="130"/>
      <c r="D48" s="130"/>
      <c r="E48" s="117">
        <v>0</v>
      </c>
      <c r="F48" s="27"/>
      <c r="G48" s="113"/>
      <c r="H48" s="113"/>
      <c r="I48" s="113"/>
      <c r="L48" s="27" t="str">
        <f t="shared" si="3"/>
        <v>Other</v>
      </c>
      <c r="M48" s="52">
        <v>6</v>
      </c>
      <c r="N48" s="47">
        <v>0</v>
      </c>
      <c r="O48" s="119"/>
      <c r="P48" s="52">
        <v>0</v>
      </c>
      <c r="Q48" s="47">
        <v>0</v>
      </c>
      <c r="R48" s="1"/>
      <c r="T48" s="116"/>
      <c r="U48" s="120"/>
    </row>
    <row r="49" spans="1:21">
      <c r="A49" s="125" t="s">
        <v>170</v>
      </c>
      <c r="B49" s="51"/>
      <c r="E49" s="117">
        <f ca="1">'ASSUM 1'!R46/1000</f>
        <v>9.6072300000000013</v>
      </c>
      <c r="F49" s="27"/>
      <c r="G49" s="131"/>
      <c r="H49" s="131"/>
      <c r="I49" s="132"/>
      <c r="L49" s="27" t="str">
        <f t="shared" si="3"/>
        <v xml:space="preserve">Debt Reserve </v>
      </c>
      <c r="M49" s="52">
        <v>0</v>
      </c>
      <c r="N49" s="47">
        <v>0</v>
      </c>
      <c r="O49" s="119"/>
      <c r="P49" s="52">
        <v>0</v>
      </c>
      <c r="Q49" s="47">
        <v>0</v>
      </c>
      <c r="R49" s="1"/>
      <c r="T49" s="116"/>
      <c r="U49" s="120"/>
    </row>
    <row r="50" spans="1:21">
      <c r="A50" s="125" t="s">
        <v>146</v>
      </c>
      <c r="B50" s="51"/>
      <c r="C50" s="130"/>
      <c r="D50" s="130"/>
      <c r="E50" s="117">
        <v>0</v>
      </c>
      <c r="F50" s="27"/>
      <c r="G50" s="113"/>
      <c r="H50" s="113"/>
      <c r="I50" s="113"/>
      <c r="L50" s="27" t="str">
        <f t="shared" si="3"/>
        <v>Other</v>
      </c>
      <c r="M50" s="52">
        <v>6</v>
      </c>
      <c r="N50" s="118">
        <f>IF(M50=1,'ASSUM 1'!H10,IF(M50=2,'ASSUM 1'!H11,IF(M50=3,'ASSUM 1'!H12,IF(M50=4,'ASSUM 1'!H13,IF(M50=5,'ASSUM 1'!H14,IF(M50=6,'ASSUM 1'!H15,'ASSUM 1'!H15))))))</f>
        <v>3.5087719298245612E-2</v>
      </c>
      <c r="O50" s="119"/>
      <c r="P50" s="52">
        <v>4</v>
      </c>
      <c r="Q50" s="118">
        <f>IF(P50=1,'ASSUM 1'!H18,IF(P50=2,'ASSUM 1'!H19,IF(P50=3,'ASSUM 1'!H20,IF(P50=4,'ASSUM 1'!H21,'ASSUM 1'!H21))))</f>
        <v>0.2</v>
      </c>
      <c r="R50" s="1"/>
      <c r="T50" s="116"/>
      <c r="U50" s="120"/>
    </row>
    <row r="51" spans="1:21">
      <c r="A51" s="125" t="s">
        <v>171</v>
      </c>
      <c r="B51" s="51"/>
      <c r="C51" s="51"/>
      <c r="D51" s="51"/>
      <c r="E51" s="730">
        <v>0.05</v>
      </c>
      <c r="F51" s="27"/>
      <c r="G51" s="113"/>
      <c r="H51" s="113"/>
      <c r="I51" s="113"/>
      <c r="L51" s="27" t="str">
        <f t="shared" si="3"/>
        <v>Environmental Impact Assessment</v>
      </c>
      <c r="M51" s="52">
        <v>6</v>
      </c>
      <c r="N51" s="118">
        <f>IF(M51=1,'ASSUM 1'!H10,IF(M51=2,'ASSUM 1'!H11,IF(M51=3,'ASSUM 1'!H12,IF(M51=4,'ASSUM 1'!H13,IF(M51=5,'ASSUM 1'!H14,IF(M51=6,'ASSUM 1'!H15,'ASSUM 1'!H15))))))</f>
        <v>3.5087719298245612E-2</v>
      </c>
      <c r="O51" s="119"/>
      <c r="P51" s="52">
        <v>4</v>
      </c>
      <c r="Q51" s="118">
        <f>IF(P51=1,'ASSUM 1'!H18,IF(P51=2,'ASSUM 1'!H19,IF(P51=3,'ASSUM 1'!H20,IF(P51=4,'ASSUM 1'!H21,'ASSUM 1'!H21))))</f>
        <v>0.2</v>
      </c>
      <c r="R51" s="1"/>
      <c r="T51" s="116"/>
      <c r="U51" s="120"/>
    </row>
    <row r="52" spans="1:21">
      <c r="A52" s="125" t="s">
        <v>160</v>
      </c>
      <c r="B52" s="51"/>
      <c r="C52" s="51"/>
      <c r="D52" s="51"/>
      <c r="E52" s="121">
        <v>0</v>
      </c>
      <c r="F52" s="27"/>
      <c r="G52" s="113"/>
      <c r="H52" s="113"/>
      <c r="I52" s="113"/>
      <c r="L52" s="27" t="str">
        <f t="shared" si="3"/>
        <v xml:space="preserve">Other </v>
      </c>
      <c r="M52" s="52">
        <v>6</v>
      </c>
      <c r="N52" s="118">
        <f>IF(M52=1,'ASSUM 1'!H10,IF(M52=2,'ASSUM 1'!H11,IF(M52=3,'ASSUM 1'!H12,IF(M52=4,'ASSUM 1'!H13,IF(M52=5,'ASSUM 1'!H14,IF(M52=6,'ASSUM 1'!H15,'ASSUM 1'!H15))))))</f>
        <v>3.5087719298245612E-2</v>
      </c>
      <c r="O52" s="119"/>
      <c r="P52" s="52">
        <v>4</v>
      </c>
      <c r="Q52" s="118">
        <f>IF(P52=1,'ASSUM 1'!H18,IF(P52=2,'ASSUM 1'!H19,IF(P52=3,'ASSUM 1'!H20,IF(P52=4,'ASSUM 1'!H21,'ASSUM 1'!H21))))</f>
        <v>0.2</v>
      </c>
      <c r="R52" s="1"/>
      <c r="T52" s="124"/>
      <c r="U52" s="120"/>
    </row>
    <row r="53" spans="1:21">
      <c r="A53" s="125" t="s">
        <v>172</v>
      </c>
      <c r="B53" s="51"/>
      <c r="C53" s="51"/>
      <c r="D53" s="51"/>
      <c r="E53" s="117">
        <f ca="1">SUM(E33:E52)</f>
        <v>21.045849009690389</v>
      </c>
      <c r="F53" s="27"/>
      <c r="G53" s="113"/>
      <c r="H53" s="113"/>
      <c r="I53" s="113"/>
      <c r="L53" s="27" t="str">
        <f t="shared" si="3"/>
        <v xml:space="preserve">   Total Soft Costs</v>
      </c>
      <c r="M53" s="52"/>
      <c r="N53" s="118"/>
      <c r="O53" s="119"/>
      <c r="P53" s="52"/>
      <c r="Q53" s="118"/>
      <c r="R53" s="1"/>
      <c r="T53" s="116"/>
      <c r="U53" s="120"/>
    </row>
    <row r="54" spans="1:21">
      <c r="A54" s="125"/>
      <c r="B54" s="51"/>
      <c r="C54" s="51"/>
      <c r="D54" s="51"/>
      <c r="E54" s="117"/>
      <c r="F54" s="27"/>
      <c r="G54" s="113"/>
      <c r="H54" s="113"/>
      <c r="I54" s="113"/>
      <c r="L54" s="20"/>
      <c r="M54" s="52"/>
      <c r="N54" s="118"/>
      <c r="O54" s="119"/>
      <c r="P54" s="52"/>
      <c r="Q54" s="118"/>
      <c r="R54" s="1"/>
      <c r="T54" s="116"/>
      <c r="U54" s="120"/>
    </row>
    <row r="55" spans="1:21">
      <c r="A55" s="125" t="s">
        <v>173</v>
      </c>
      <c r="B55" s="51"/>
      <c r="C55" s="51"/>
      <c r="D55" s="51"/>
      <c r="E55" s="117"/>
      <c r="F55" s="27"/>
      <c r="L55" s="27" t="str">
        <f t="shared" ref="L55:L60" si="4">A55</f>
        <v>Contingency</v>
      </c>
      <c r="M55" s="52"/>
      <c r="N55" s="118"/>
      <c r="O55" s="119"/>
      <c r="P55" s="52"/>
      <c r="Q55" s="118"/>
      <c r="R55" s="1"/>
      <c r="T55" s="116"/>
      <c r="U55" s="120"/>
    </row>
    <row r="56" spans="1:21">
      <c r="A56" s="125" t="str">
        <f>A8</f>
        <v>Major Equipment</v>
      </c>
      <c r="B56" s="51"/>
      <c r="C56" s="51"/>
      <c r="D56" s="136">
        <v>0.03</v>
      </c>
      <c r="E56" s="117">
        <v>4.1087218150457137</v>
      </c>
      <c r="F56" s="27"/>
      <c r="G56" s="113"/>
      <c r="H56" s="113"/>
      <c r="I56" s="113"/>
      <c r="L56" s="27" t="str">
        <f t="shared" si="4"/>
        <v>Major Equipment</v>
      </c>
      <c r="M56" s="52">
        <v>6</v>
      </c>
      <c r="N56" s="118">
        <f>IF(M56=1,'ASSUM 1'!H10,IF(M56=2,'ASSUM 1'!H11,IF(M56=3,'ASSUM 1'!H12,IF(M56=4,'ASSUM 1'!H13,IF(M56=5,'ASSUM 1'!H14,IF(M56=6,'ASSUM 1'!H15,'ASSUM 1'!H15))))))</f>
        <v>3.5087719298245612E-2</v>
      </c>
      <c r="O56" s="119"/>
      <c r="P56" s="52">
        <v>1</v>
      </c>
      <c r="Q56" s="118">
        <f>IF(P56=1,'ASSUM 1'!H18,IF(P56=2,'ASSUM 1'!H19,IF(P56=3,'ASSUM 1'!H20,IF(P56=4,'ASSUM 1'!H21,'ASSUM 1'!H21))))</f>
        <v>0</v>
      </c>
      <c r="R56" s="1"/>
      <c r="T56" s="116"/>
      <c r="U56" s="120"/>
    </row>
    <row r="57" spans="1:21">
      <c r="A57" s="125" t="str">
        <f>A16</f>
        <v>Engineering / Construction</v>
      </c>
      <c r="B57" s="51"/>
      <c r="C57" s="51"/>
      <c r="D57" s="136">
        <f>D56</f>
        <v>0.03</v>
      </c>
      <c r="E57" s="117">
        <v>0</v>
      </c>
      <c r="F57" s="27"/>
      <c r="G57" s="113"/>
      <c r="H57" s="113"/>
      <c r="I57" s="113"/>
      <c r="L57" s="27" t="str">
        <f t="shared" si="4"/>
        <v>Engineering / Construction</v>
      </c>
      <c r="M57" s="52">
        <v>6</v>
      </c>
      <c r="N57" s="118">
        <f>IF(M57=1,'ASSUM 1'!H10,IF(M57=2,'ASSUM 1'!H11,IF(M57=3,'ASSUM 1'!H12,IF(M57=4,'ASSUM 1'!H13,IF(M57=5,'ASSUM 1'!H14,IF(M57=6,'ASSUM 1'!H15,'ASSUM 1'!H15))))))</f>
        <v>3.5087719298245612E-2</v>
      </c>
      <c r="O57" s="119"/>
      <c r="P57" s="52">
        <v>1</v>
      </c>
      <c r="Q57" s="118">
        <f>IF(P57=1,'ASSUM 1'!H18,IF(P57=2,'ASSUM 1'!H19,IF(P57=3,'ASSUM 1'!H20,IF(P57=4,'ASSUM 1'!H21,'ASSUM 1'!H21))))</f>
        <v>0</v>
      </c>
      <c r="R57" s="1"/>
      <c r="T57" s="116"/>
      <c r="U57" s="120"/>
    </row>
    <row r="58" spans="1:21">
      <c r="A58" s="125" t="str">
        <f>A25</f>
        <v>Other</v>
      </c>
      <c r="B58" s="51"/>
      <c r="C58" s="51"/>
      <c r="D58" s="136">
        <f>D57</f>
        <v>0.03</v>
      </c>
      <c r="E58" s="117">
        <v>0.19485</v>
      </c>
      <c r="F58" s="27"/>
      <c r="G58" s="113"/>
      <c r="H58" s="113"/>
      <c r="I58" s="113"/>
      <c r="L58" s="27" t="str">
        <f t="shared" si="4"/>
        <v>Other</v>
      </c>
      <c r="M58" s="52">
        <v>6</v>
      </c>
      <c r="N58" s="118">
        <f>IF(M58=1,'ASSUM 1'!H10,IF(M58=2,'ASSUM 1'!H11,IF(M58=3,'ASSUM 1'!H12,IF(M58=4,'ASSUM 1'!H13,IF(M58=5,'ASSUM 1'!H14,IF(M58=6,'ASSUM 1'!H15,'ASSUM 1'!H15))))))</f>
        <v>3.5087719298245612E-2</v>
      </c>
      <c r="O58" s="119"/>
      <c r="P58" s="52">
        <v>1</v>
      </c>
      <c r="Q58" s="118">
        <f>IF(P58=1,'ASSUM 1'!H18,IF(P58=2,'ASSUM 1'!H19,IF(P58=3,'ASSUM 1'!H20,IF(P58=4,'ASSUM 1'!H21,'ASSUM 1'!H21))))</f>
        <v>0</v>
      </c>
      <c r="R58" s="1"/>
      <c r="T58" s="116"/>
      <c r="U58" s="120"/>
    </row>
    <row r="59" spans="1:21">
      <c r="A59" s="125" t="str">
        <f>A32</f>
        <v>Soft Costs</v>
      </c>
      <c r="B59" s="51"/>
      <c r="C59" s="51"/>
      <c r="D59" s="136">
        <v>0.03</v>
      </c>
      <c r="E59" s="121">
        <v>0.71848413029071168</v>
      </c>
      <c r="F59" s="27"/>
      <c r="G59" s="113"/>
      <c r="H59" s="113"/>
      <c r="I59" s="113"/>
      <c r="L59" s="27" t="str">
        <f t="shared" si="4"/>
        <v>Soft Costs</v>
      </c>
      <c r="M59" s="52">
        <v>6</v>
      </c>
      <c r="N59" s="118">
        <f>IF(M59=1,'ASSUM 1'!H10,IF(M59=2,'ASSUM 1'!H11,IF(M59=3,'ASSUM 1'!H12,IF(M59=4,'ASSUM 1'!H13,IF(M59=5,'ASSUM 1'!H14,IF(M59=6,'ASSUM 1'!H15,'ASSUM 1'!H15))))))</f>
        <v>3.5087719298245612E-2</v>
      </c>
      <c r="O59" s="119"/>
      <c r="P59" s="52">
        <v>4</v>
      </c>
      <c r="Q59" s="118">
        <f>IF(P59=1,'ASSUM 1'!H18,IF(P59=2,'ASSUM 1'!H19,IF(P59=3,'ASSUM 1'!H20,IF(P59=4,'ASSUM 1'!H21,'ASSUM 1'!H21))))</f>
        <v>0.2</v>
      </c>
      <c r="R59" s="1"/>
      <c r="T59" s="124"/>
      <c r="U59" s="120"/>
    </row>
    <row r="60" spans="1:21">
      <c r="A60" s="125" t="s">
        <v>174</v>
      </c>
      <c r="B60" s="51"/>
      <c r="C60" s="51"/>
      <c r="D60" s="51"/>
      <c r="E60" s="117">
        <f>SUM(E56:E59)</f>
        <v>5.0220559453364251</v>
      </c>
      <c r="F60" s="27"/>
      <c r="G60" s="113"/>
      <c r="H60" s="113"/>
      <c r="I60" s="113"/>
      <c r="L60" s="27" t="str">
        <f t="shared" si="4"/>
        <v xml:space="preserve">   Total Contingency</v>
      </c>
      <c r="M60" s="52"/>
      <c r="N60" s="118"/>
      <c r="O60" s="119"/>
      <c r="P60" s="52"/>
      <c r="Q60" s="118"/>
      <c r="R60" s="1"/>
      <c r="T60" s="116"/>
      <c r="U60" s="120"/>
    </row>
    <row r="61" spans="1:21">
      <c r="A61" s="31"/>
      <c r="B61" s="51"/>
      <c r="C61" s="51"/>
      <c r="D61" s="51"/>
      <c r="E61" s="117"/>
      <c r="F61" s="27"/>
      <c r="L61" s="20"/>
      <c r="M61" s="52"/>
      <c r="N61" s="118"/>
      <c r="O61" s="119"/>
      <c r="P61" s="52"/>
      <c r="Q61" s="118"/>
      <c r="R61" s="1"/>
      <c r="T61" s="126"/>
      <c r="U61" s="120"/>
    </row>
    <row r="62" spans="1:21" ht="16.2">
      <c r="A62" s="137" t="s">
        <v>175</v>
      </c>
      <c r="B62" s="51"/>
      <c r="C62" s="51"/>
      <c r="D62" s="51"/>
      <c r="E62" s="117">
        <f ca="1">IF('ASSUM 1'!N26=0,+#REF!+#REF!,'144A IDC'!D115/1000)</f>
        <v>3.3229778392593738</v>
      </c>
      <c r="F62" s="27"/>
      <c r="G62" s="113"/>
      <c r="H62" s="113"/>
      <c r="I62" s="113"/>
      <c r="L62" s="27" t="str">
        <f>A62</f>
        <v>Interest During Construction</v>
      </c>
      <c r="M62" s="52">
        <v>1</v>
      </c>
      <c r="N62" s="118">
        <f>IF(M62=1,'ASSUM 1'!H10,IF(M62=2,'ASSUM 1'!H11,IF(M62=3,'ASSUM 1'!H12,IF(M62=4,'ASSUM 1'!H13,IF(M62=5,'ASSUM 1'!H14,IF(M62=6,'ASSUM 1'!H15,'ASSUM 1'!H15))))))</f>
        <v>3.5087719298245612E-2</v>
      </c>
      <c r="O62" s="119"/>
      <c r="P62" s="52">
        <v>1</v>
      </c>
      <c r="Q62" s="118">
        <f>IF(P62=1,'ASSUM 1'!H18,IF(P62=2,'ASSUM 1'!H19,IF(P62=3,'ASSUM 1'!H20,IF(P62=4,'ASSUM 1'!H21,'ASSUM 1'!H21))))</f>
        <v>0</v>
      </c>
      <c r="R62" s="1"/>
      <c r="T62" s="116"/>
      <c r="U62" s="120"/>
    </row>
    <row r="63" spans="1:21" ht="16.2" thickBot="1">
      <c r="A63" s="31"/>
      <c r="B63" s="51"/>
      <c r="C63" s="51"/>
      <c r="D63" s="51"/>
      <c r="E63" s="117"/>
      <c r="F63" s="27"/>
      <c r="H63" s="97" t="s">
        <v>477</v>
      </c>
      <c r="J63" t="s">
        <v>478</v>
      </c>
      <c r="L63" s="27"/>
      <c r="R63" s="1"/>
      <c r="T63" s="126"/>
      <c r="U63" s="120"/>
    </row>
    <row r="64" spans="1:21" ht="16.2" thickTop="1">
      <c r="A64" s="73" t="s">
        <v>176</v>
      </c>
      <c r="B64" s="51"/>
      <c r="C64" s="51"/>
      <c r="D64" s="51"/>
      <c r="E64" s="138">
        <f ca="1">E14+E23+E30+E53+E60+E62</f>
        <v>172.84327662914336</v>
      </c>
      <c r="F64" s="27"/>
      <c r="G64" s="113"/>
      <c r="H64" s="840">
        <v>310</v>
      </c>
      <c r="I64" s="113"/>
      <c r="J64" s="841"/>
      <c r="L64" s="19"/>
      <c r="M64" s="108"/>
      <c r="N64" s="108"/>
      <c r="O64" s="19"/>
      <c r="P64" s="108"/>
      <c r="Q64" s="108"/>
      <c r="T64" s="139"/>
      <c r="U64" s="120"/>
    </row>
    <row r="65" spans="1:254" ht="16.2" thickBot="1">
      <c r="A65" s="37"/>
      <c r="B65" s="51"/>
      <c r="C65" s="51"/>
      <c r="D65" s="51"/>
      <c r="E65" s="140"/>
      <c r="F65" s="27"/>
      <c r="G65" s="113"/>
      <c r="H65" s="113"/>
      <c r="I65" s="113"/>
      <c r="T65" s="101"/>
    </row>
    <row r="66" spans="1:254" ht="16.2" thickTop="1">
      <c r="A66" s="66"/>
      <c r="B66" s="141"/>
      <c r="C66" s="141"/>
      <c r="D66" s="141"/>
      <c r="E66" s="142"/>
      <c r="F66" s="7"/>
      <c r="G66" s="7"/>
      <c r="H66" s="7"/>
      <c r="I66" s="7"/>
      <c r="J66" s="7"/>
      <c r="K66" s="7"/>
      <c r="L66" s="7"/>
      <c r="M66" s="52"/>
      <c r="N66" s="52"/>
      <c r="O66" s="7"/>
      <c r="P66" s="52"/>
      <c r="Q66" s="52"/>
      <c r="R66" s="101"/>
      <c r="S66" s="101"/>
      <c r="T66" s="101"/>
      <c r="U66" s="101"/>
      <c r="V66" s="101"/>
      <c r="W66" s="101"/>
    </row>
    <row r="67" spans="1:254">
      <c r="B67" s="51"/>
      <c r="C67" s="143"/>
      <c r="D67" s="143"/>
      <c r="E67" s="144"/>
      <c r="F67" s="7"/>
      <c r="G67" s="145"/>
      <c r="H67" s="7"/>
      <c r="I67" s="7"/>
      <c r="J67" s="7"/>
      <c r="K67" s="7"/>
      <c r="L67" s="7"/>
      <c r="M67" s="52"/>
      <c r="N67" s="52"/>
      <c r="O67" s="7"/>
      <c r="P67" s="52"/>
      <c r="Q67" s="52"/>
      <c r="R67" s="101"/>
      <c r="S67" s="101"/>
      <c r="T67" s="101"/>
      <c r="U67" s="101"/>
      <c r="V67" s="101"/>
      <c r="W67" s="101"/>
    </row>
    <row r="68" spans="1:254">
      <c r="C68" s="143"/>
      <c r="D68" s="143"/>
      <c r="E68" s="144"/>
      <c r="F68" s="7"/>
      <c r="G68" s="145"/>
      <c r="H68" s="7"/>
      <c r="I68" s="7"/>
      <c r="J68" s="7"/>
      <c r="K68" s="7"/>
      <c r="L68" s="7"/>
      <c r="M68" s="52"/>
      <c r="N68" s="52"/>
      <c r="O68" s="7"/>
      <c r="P68" s="52"/>
      <c r="Q68" s="52"/>
      <c r="R68" s="101"/>
      <c r="S68" s="101"/>
      <c r="T68" s="101"/>
      <c r="U68" s="101"/>
      <c r="V68" s="101"/>
      <c r="W68" s="101"/>
    </row>
    <row r="69" spans="1:254" ht="14.1" customHeight="1">
      <c r="A69" s="146"/>
      <c r="B69" s="5"/>
      <c r="C69" s="5"/>
      <c r="D69" s="5"/>
      <c r="E69" s="52"/>
      <c r="F69" s="7"/>
      <c r="G69" s="7"/>
      <c r="H69" s="7"/>
      <c r="I69" s="7"/>
      <c r="J69" s="7"/>
      <c r="K69" s="7"/>
      <c r="L69" s="7"/>
      <c r="M69" s="52"/>
      <c r="N69" s="52"/>
      <c r="O69" s="7"/>
      <c r="P69" s="52"/>
      <c r="Q69" s="52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/>
      <c r="BC69" s="101"/>
      <c r="BD69" s="101"/>
      <c r="BE69" s="101"/>
      <c r="BF69" s="101"/>
      <c r="BG69" s="101"/>
      <c r="BH69" s="101"/>
      <c r="BI69" s="101"/>
      <c r="BJ69" s="101"/>
      <c r="BK69" s="101"/>
      <c r="BL69" s="101"/>
      <c r="BM69" s="101"/>
      <c r="BN69" s="101"/>
      <c r="BO69" s="101"/>
      <c r="BP69" s="101"/>
      <c r="BQ69" s="101"/>
      <c r="BR69" s="101"/>
      <c r="BS69" s="101"/>
      <c r="BT69" s="101"/>
      <c r="BU69" s="101"/>
      <c r="BV69" s="101"/>
      <c r="BW69" s="101"/>
      <c r="BX69" s="101"/>
      <c r="BY69" s="101"/>
      <c r="BZ69" s="101"/>
      <c r="CA69" s="101"/>
      <c r="CB69" s="101"/>
      <c r="CC69" s="101"/>
      <c r="CD69" s="101"/>
      <c r="CE69" s="101"/>
      <c r="CF69" s="101"/>
      <c r="CG69" s="101"/>
      <c r="CH69" s="101"/>
      <c r="CI69" s="101"/>
      <c r="CJ69" s="101"/>
      <c r="CK69" s="101"/>
      <c r="CL69" s="101"/>
      <c r="CM69" s="101"/>
      <c r="CN69" s="101"/>
      <c r="CO69" s="101"/>
      <c r="CP69" s="101"/>
      <c r="CQ69" s="101"/>
      <c r="CR69" s="101"/>
      <c r="CS69" s="101"/>
      <c r="CT69" s="101"/>
      <c r="CU69" s="101"/>
      <c r="CV69" s="101"/>
      <c r="CW69" s="101"/>
      <c r="CX69" s="101"/>
      <c r="CY69" s="101"/>
      <c r="CZ69" s="101"/>
      <c r="DA69" s="101"/>
      <c r="DB69" s="101"/>
      <c r="DC69" s="101"/>
      <c r="DD69" s="101"/>
      <c r="DE69" s="101"/>
      <c r="DF69" s="101"/>
      <c r="DG69" s="101"/>
      <c r="DH69" s="101"/>
      <c r="DI69" s="101"/>
      <c r="DJ69" s="101"/>
      <c r="DK69" s="101"/>
      <c r="DL69" s="101"/>
      <c r="DM69" s="101"/>
      <c r="DN69" s="101"/>
      <c r="DO69" s="101"/>
      <c r="DP69" s="101"/>
      <c r="DQ69" s="101"/>
      <c r="DR69" s="101"/>
      <c r="DS69" s="101"/>
      <c r="DT69" s="101"/>
      <c r="DU69" s="101"/>
      <c r="DV69" s="101"/>
      <c r="DW69" s="101"/>
      <c r="DX69" s="101"/>
      <c r="DY69" s="101"/>
      <c r="DZ69" s="101"/>
      <c r="EA69" s="101"/>
      <c r="EB69" s="101"/>
      <c r="EC69" s="101"/>
      <c r="ED69" s="101"/>
      <c r="EE69" s="101"/>
      <c r="EF69" s="101"/>
      <c r="EG69" s="101"/>
      <c r="EH69" s="101"/>
      <c r="EI69" s="101"/>
      <c r="EJ69" s="101"/>
      <c r="EK69" s="101"/>
      <c r="EL69" s="101"/>
      <c r="EM69" s="101"/>
      <c r="EN69" s="101"/>
      <c r="EO69" s="101"/>
      <c r="EP69" s="101"/>
      <c r="EQ69" s="101"/>
      <c r="ER69" s="101"/>
      <c r="ES69" s="101"/>
      <c r="ET69" s="101"/>
      <c r="EU69" s="101"/>
      <c r="EV69" s="101"/>
      <c r="EW69" s="101"/>
      <c r="EX69" s="101"/>
      <c r="EY69" s="101"/>
      <c r="EZ69" s="101"/>
      <c r="FA69" s="101"/>
      <c r="FB69" s="101"/>
      <c r="FC69" s="101"/>
      <c r="FD69" s="101"/>
      <c r="FE69" s="101"/>
      <c r="FF69" s="101"/>
      <c r="FG69" s="101"/>
      <c r="FH69" s="101"/>
      <c r="FI69" s="101"/>
      <c r="FJ69" s="101"/>
      <c r="FK69" s="101"/>
      <c r="FL69" s="101"/>
      <c r="FM69" s="101"/>
      <c r="FN69" s="101"/>
      <c r="FO69" s="101"/>
      <c r="FP69" s="101"/>
      <c r="FQ69" s="101"/>
      <c r="FR69" s="101"/>
      <c r="FS69" s="101"/>
      <c r="FT69" s="101"/>
      <c r="FU69" s="101"/>
      <c r="FV69" s="101"/>
      <c r="FW69" s="101"/>
      <c r="FX69" s="101"/>
      <c r="FY69" s="101"/>
      <c r="FZ69" s="101"/>
      <c r="GA69" s="101"/>
      <c r="GB69" s="101"/>
      <c r="GC69" s="101"/>
      <c r="GD69" s="101"/>
      <c r="GE69" s="101"/>
      <c r="GF69" s="101"/>
      <c r="GG69" s="101"/>
      <c r="GH69" s="101"/>
      <c r="GI69" s="101"/>
      <c r="GJ69" s="101"/>
      <c r="GK69" s="101"/>
      <c r="GL69" s="101"/>
      <c r="GM69" s="101"/>
      <c r="GN69" s="101"/>
      <c r="GO69" s="101"/>
      <c r="GP69" s="101"/>
      <c r="GQ69" s="101"/>
      <c r="GR69" s="101"/>
      <c r="GS69" s="101"/>
      <c r="GT69" s="101"/>
      <c r="GU69" s="101"/>
      <c r="GV69" s="101"/>
      <c r="GW69" s="101"/>
      <c r="GX69" s="101"/>
      <c r="GY69" s="101"/>
      <c r="GZ69" s="101"/>
      <c r="HA69" s="101"/>
      <c r="HB69" s="101"/>
      <c r="HC69" s="101"/>
      <c r="HD69" s="101"/>
      <c r="HE69" s="101"/>
      <c r="HF69" s="101"/>
      <c r="HG69" s="101"/>
      <c r="HH69" s="101"/>
      <c r="HI69" s="101"/>
      <c r="HJ69" s="101"/>
      <c r="HK69" s="101"/>
      <c r="HL69" s="101"/>
      <c r="HM69" s="101"/>
      <c r="HN69" s="101"/>
      <c r="HO69" s="101"/>
      <c r="HP69" s="101"/>
      <c r="HQ69" s="101"/>
      <c r="HR69" s="101"/>
      <c r="HS69" s="101"/>
      <c r="HT69" s="101"/>
      <c r="HU69" s="101"/>
      <c r="HV69" s="101"/>
      <c r="HW69" s="101"/>
      <c r="HX69" s="101"/>
      <c r="HY69" s="101"/>
      <c r="HZ69" s="101"/>
      <c r="IA69" s="101"/>
      <c r="IB69" s="101"/>
      <c r="IC69" s="101"/>
      <c r="ID69" s="101"/>
      <c r="IE69" s="101"/>
      <c r="IF69" s="101"/>
      <c r="IG69" s="101"/>
      <c r="IH69" s="101"/>
      <c r="II69" s="101"/>
      <c r="IJ69" s="101"/>
      <c r="IK69" s="101"/>
    </row>
    <row r="70" spans="1:254">
      <c r="E70" s="52"/>
      <c r="T70" s="101"/>
    </row>
    <row r="71" spans="1:254">
      <c r="A71" s="101"/>
      <c r="B71" s="101"/>
      <c r="C71" s="101"/>
      <c r="D71" s="101"/>
      <c r="E71" s="56"/>
      <c r="F71" s="7"/>
      <c r="G71" s="7"/>
      <c r="H71" s="7"/>
      <c r="I71" s="7"/>
      <c r="J71" s="7"/>
      <c r="K71" s="7"/>
      <c r="L71" s="7"/>
      <c r="M71" s="52"/>
      <c r="N71" s="52"/>
      <c r="O71" s="7"/>
      <c r="P71" s="52"/>
      <c r="Q71" s="52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101"/>
      <c r="BK71" s="101"/>
      <c r="BL71" s="101"/>
      <c r="BM71" s="101"/>
      <c r="BN71" s="101"/>
      <c r="BO71" s="101"/>
      <c r="BP71" s="101"/>
      <c r="BQ71" s="101"/>
      <c r="BR71" s="101"/>
      <c r="BS71" s="101"/>
      <c r="BT71" s="101"/>
      <c r="BU71" s="101"/>
      <c r="BV71" s="101"/>
      <c r="BW71" s="101"/>
      <c r="BX71" s="101"/>
      <c r="BY71" s="101"/>
      <c r="BZ71" s="101"/>
      <c r="CA71" s="101"/>
      <c r="CB71" s="101"/>
      <c r="CC71" s="101"/>
      <c r="CD71" s="101"/>
      <c r="CE71" s="101"/>
      <c r="CF71" s="101"/>
      <c r="CG71" s="101"/>
      <c r="CH71" s="101"/>
      <c r="CI71" s="101"/>
      <c r="CJ71" s="101"/>
      <c r="CK71" s="101"/>
      <c r="CL71" s="101"/>
      <c r="CM71" s="101"/>
      <c r="CN71" s="101"/>
      <c r="CO71" s="101"/>
      <c r="CP71" s="101"/>
      <c r="CQ71" s="101"/>
      <c r="CR71" s="101"/>
      <c r="CS71" s="101"/>
      <c r="CT71" s="101"/>
      <c r="CU71" s="101"/>
      <c r="CV71" s="101"/>
      <c r="CW71" s="101"/>
      <c r="CX71" s="101"/>
      <c r="CY71" s="101"/>
      <c r="CZ71" s="101"/>
      <c r="DA71" s="101"/>
      <c r="DB71" s="101"/>
      <c r="DC71" s="101"/>
      <c r="DD71" s="101"/>
      <c r="DE71" s="101"/>
      <c r="DF71" s="101"/>
      <c r="DG71" s="101"/>
      <c r="DH71" s="101"/>
      <c r="DI71" s="101"/>
      <c r="DJ71" s="101"/>
      <c r="DK71" s="101"/>
      <c r="DL71" s="101"/>
      <c r="DM71" s="101"/>
      <c r="DN71" s="101"/>
      <c r="DO71" s="101"/>
      <c r="DP71" s="101"/>
      <c r="DQ71" s="101"/>
      <c r="DR71" s="101"/>
      <c r="DS71" s="101"/>
      <c r="DT71" s="101"/>
      <c r="DU71" s="101"/>
      <c r="DV71" s="101"/>
      <c r="DW71" s="101"/>
      <c r="DX71" s="101"/>
      <c r="DY71" s="101"/>
      <c r="DZ71" s="101"/>
      <c r="EA71" s="101"/>
      <c r="EB71" s="101"/>
      <c r="EC71" s="101"/>
      <c r="ED71" s="101"/>
      <c r="EE71" s="101"/>
      <c r="EF71" s="101"/>
      <c r="EG71" s="101"/>
      <c r="EH71" s="101"/>
      <c r="EI71" s="101"/>
      <c r="EJ71" s="101"/>
      <c r="EK71" s="101"/>
      <c r="EL71" s="101"/>
      <c r="EM71" s="101"/>
      <c r="EN71" s="101"/>
      <c r="EO71" s="101"/>
      <c r="EP71" s="101"/>
      <c r="EQ71" s="101"/>
      <c r="ER71" s="101"/>
      <c r="ES71" s="101"/>
      <c r="ET71" s="101"/>
      <c r="EU71" s="101"/>
      <c r="EV71" s="101"/>
      <c r="EW71" s="101"/>
      <c r="EX71" s="101"/>
      <c r="EY71" s="101"/>
      <c r="EZ71" s="101"/>
      <c r="FA71" s="101"/>
      <c r="FB71" s="101"/>
      <c r="FC71" s="101"/>
      <c r="FD71" s="101"/>
      <c r="FE71" s="101"/>
      <c r="FF71" s="101"/>
      <c r="FG71" s="101"/>
      <c r="FH71" s="101"/>
      <c r="FI71" s="101"/>
      <c r="FJ71" s="101"/>
      <c r="FK71" s="101"/>
      <c r="FL71" s="101"/>
      <c r="FM71" s="101"/>
      <c r="FN71" s="101"/>
      <c r="FO71" s="101"/>
      <c r="FP71" s="101"/>
      <c r="FQ71" s="101"/>
      <c r="FR71" s="101"/>
      <c r="FS71" s="101"/>
      <c r="FT71" s="101"/>
      <c r="FU71" s="101"/>
      <c r="FV71" s="101"/>
      <c r="FW71" s="101"/>
      <c r="FX71" s="101"/>
      <c r="FY71" s="101"/>
      <c r="FZ71" s="101"/>
      <c r="GA71" s="101"/>
      <c r="GB71" s="101"/>
      <c r="GC71" s="101"/>
      <c r="GD71" s="101"/>
      <c r="GE71" s="101"/>
      <c r="GF71" s="101"/>
      <c r="GG71" s="101"/>
      <c r="GH71" s="101"/>
      <c r="GI71" s="101"/>
      <c r="GJ71" s="101"/>
      <c r="GK71" s="101"/>
      <c r="GL71" s="101"/>
      <c r="GM71" s="101"/>
      <c r="GN71" s="101"/>
      <c r="GO71" s="101"/>
      <c r="GP71" s="101"/>
      <c r="GQ71" s="101"/>
      <c r="GR71" s="101"/>
      <c r="GS71" s="101"/>
      <c r="GT71" s="101"/>
      <c r="GU71" s="101"/>
      <c r="GV71" s="101"/>
      <c r="GW71" s="101"/>
      <c r="GX71" s="101"/>
      <c r="GY71" s="101"/>
      <c r="GZ71" s="101"/>
      <c r="HA71" s="101"/>
      <c r="HB71" s="101"/>
      <c r="HC71" s="101"/>
      <c r="HD71" s="101"/>
      <c r="HE71" s="101"/>
      <c r="HF71" s="101"/>
      <c r="HG71" s="101"/>
      <c r="HH71" s="101"/>
      <c r="HI71" s="101"/>
      <c r="HJ71" s="101"/>
      <c r="HK71" s="101"/>
      <c r="HL71" s="101"/>
      <c r="HM71" s="101"/>
      <c r="HN71" s="101"/>
      <c r="HO71" s="101"/>
      <c r="HP71" s="101"/>
      <c r="HQ71" s="101"/>
      <c r="HR71" s="101"/>
      <c r="HS71" s="101"/>
      <c r="HT71" s="101"/>
      <c r="HU71" s="101"/>
      <c r="HV71" s="101"/>
      <c r="HW71" s="101"/>
      <c r="HX71" s="101"/>
      <c r="HY71" s="101"/>
      <c r="HZ71" s="101"/>
      <c r="IA71" s="101"/>
      <c r="IB71" s="101"/>
      <c r="IC71" s="101"/>
      <c r="ID71" s="101"/>
      <c r="IE71" s="101"/>
      <c r="IF71" s="101"/>
      <c r="IG71" s="101"/>
      <c r="IH71" s="101"/>
      <c r="II71" s="101"/>
      <c r="IJ71" s="101"/>
      <c r="IK71" s="101"/>
      <c r="IL71" s="101"/>
      <c r="IM71" s="101"/>
      <c r="IN71" s="101"/>
      <c r="IO71" s="101"/>
      <c r="IP71" s="101"/>
      <c r="IQ71" s="101"/>
      <c r="IR71" s="101"/>
      <c r="IS71" s="101"/>
      <c r="IT71" s="101"/>
    </row>
    <row r="72" spans="1:254">
      <c r="A72" s="101"/>
      <c r="B72" s="101"/>
      <c r="C72" s="101"/>
      <c r="D72" s="101"/>
      <c r="E72" s="56"/>
      <c r="F72" s="7"/>
      <c r="G72" s="7"/>
      <c r="H72" s="7"/>
      <c r="I72" s="7"/>
      <c r="J72" s="7"/>
      <c r="K72" s="7"/>
      <c r="L72" s="7"/>
      <c r="M72" s="52"/>
      <c r="N72" s="52"/>
      <c r="O72" s="7"/>
      <c r="P72" s="52"/>
      <c r="Q72" s="52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  <c r="AZ72" s="101"/>
      <c r="BA72" s="101"/>
      <c r="BB72" s="101"/>
      <c r="BC72" s="101"/>
      <c r="BD72" s="101"/>
      <c r="BE72" s="101"/>
      <c r="BF72" s="101"/>
      <c r="BG72" s="101"/>
      <c r="BH72" s="101"/>
      <c r="BI72" s="101"/>
      <c r="BJ72" s="101"/>
      <c r="BK72" s="101"/>
      <c r="BL72" s="101"/>
      <c r="BM72" s="101"/>
      <c r="BN72" s="101"/>
      <c r="BO72" s="101"/>
      <c r="BP72" s="101"/>
      <c r="BQ72" s="101"/>
      <c r="BR72" s="101"/>
      <c r="BS72" s="101"/>
      <c r="BT72" s="101"/>
      <c r="BU72" s="101"/>
      <c r="BV72" s="101"/>
      <c r="BW72" s="101"/>
      <c r="BX72" s="101"/>
      <c r="BY72" s="101"/>
      <c r="BZ72" s="101"/>
      <c r="CA72" s="101"/>
      <c r="CB72" s="101"/>
      <c r="CC72" s="101"/>
      <c r="CD72" s="101"/>
      <c r="CE72" s="101"/>
      <c r="CF72" s="101"/>
      <c r="CG72" s="101"/>
      <c r="CH72" s="101"/>
      <c r="CI72" s="101"/>
      <c r="CJ72" s="101"/>
      <c r="CK72" s="101"/>
      <c r="CL72" s="101"/>
      <c r="CM72" s="101"/>
      <c r="CN72" s="101"/>
      <c r="CO72" s="101"/>
      <c r="CP72" s="101"/>
      <c r="CQ72" s="101"/>
      <c r="CR72" s="101"/>
      <c r="CS72" s="101"/>
      <c r="CT72" s="101"/>
      <c r="CU72" s="101"/>
      <c r="CV72" s="101"/>
      <c r="CW72" s="101"/>
      <c r="CX72" s="101"/>
      <c r="CY72" s="101"/>
      <c r="CZ72" s="101"/>
      <c r="DA72" s="101"/>
      <c r="DB72" s="101"/>
      <c r="DC72" s="101"/>
      <c r="DD72" s="101"/>
      <c r="DE72" s="101"/>
      <c r="DF72" s="101"/>
      <c r="DG72" s="101"/>
      <c r="DH72" s="101"/>
      <c r="DI72" s="101"/>
      <c r="DJ72" s="101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1"/>
      <c r="DV72" s="101"/>
      <c r="DW72" s="101"/>
      <c r="DX72" s="101"/>
      <c r="DY72" s="101"/>
      <c r="DZ72" s="101"/>
      <c r="EA72" s="101"/>
      <c r="EB72" s="101"/>
      <c r="EC72" s="101"/>
      <c r="ED72" s="101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1"/>
      <c r="EP72" s="101"/>
      <c r="EQ72" s="101"/>
      <c r="ER72" s="101"/>
      <c r="ES72" s="101"/>
      <c r="ET72" s="101"/>
      <c r="EU72" s="101"/>
      <c r="EV72" s="101"/>
      <c r="EW72" s="101"/>
      <c r="EX72" s="101"/>
      <c r="EY72" s="101"/>
      <c r="EZ72" s="101"/>
      <c r="FA72" s="101"/>
      <c r="FB72" s="101"/>
      <c r="FC72" s="101"/>
      <c r="FD72" s="101"/>
      <c r="FE72" s="101"/>
      <c r="FF72" s="101"/>
      <c r="FG72" s="101"/>
      <c r="FH72" s="101"/>
      <c r="FI72" s="101"/>
      <c r="FJ72" s="101"/>
      <c r="FK72" s="101"/>
      <c r="FL72" s="101"/>
      <c r="FM72" s="101"/>
      <c r="FN72" s="101"/>
      <c r="FO72" s="101"/>
      <c r="FP72" s="101"/>
      <c r="FQ72" s="101"/>
      <c r="FR72" s="101"/>
      <c r="FS72" s="101"/>
      <c r="FT72" s="101"/>
      <c r="FU72" s="101"/>
      <c r="FV72" s="101"/>
      <c r="FW72" s="101"/>
      <c r="FX72" s="101"/>
      <c r="FY72" s="101"/>
      <c r="FZ72" s="101"/>
      <c r="GA72" s="101"/>
      <c r="GB72" s="101"/>
      <c r="GC72" s="101"/>
      <c r="GD72" s="101"/>
      <c r="GE72" s="101"/>
      <c r="GF72" s="101"/>
      <c r="GG72" s="101"/>
      <c r="GH72" s="101"/>
      <c r="GI72" s="101"/>
      <c r="GJ72" s="101"/>
      <c r="GK72" s="101"/>
      <c r="GL72" s="101"/>
      <c r="GM72" s="101"/>
      <c r="GN72" s="101"/>
      <c r="GO72" s="101"/>
      <c r="GP72" s="101"/>
      <c r="GQ72" s="101"/>
      <c r="GR72" s="101"/>
      <c r="GS72" s="101"/>
      <c r="GT72" s="101"/>
      <c r="GU72" s="101"/>
      <c r="GV72" s="101"/>
      <c r="GW72" s="101"/>
      <c r="GX72" s="101"/>
      <c r="GY72" s="101"/>
      <c r="GZ72" s="101"/>
      <c r="HA72" s="101"/>
      <c r="HB72" s="101"/>
      <c r="HC72" s="101"/>
      <c r="HD72" s="101"/>
      <c r="HE72" s="101"/>
      <c r="HF72" s="101"/>
      <c r="HG72" s="101"/>
      <c r="HH72" s="101"/>
      <c r="HI72" s="101"/>
      <c r="HJ72" s="101"/>
      <c r="HK72" s="101"/>
      <c r="HL72" s="101"/>
      <c r="HM72" s="101"/>
      <c r="HN72" s="101"/>
      <c r="HO72" s="101"/>
      <c r="HP72" s="101"/>
      <c r="HQ72" s="101"/>
      <c r="HR72" s="101"/>
      <c r="HS72" s="101"/>
      <c r="HT72" s="101"/>
      <c r="HU72" s="101"/>
      <c r="HV72" s="101"/>
      <c r="HW72" s="101"/>
      <c r="HX72" s="101"/>
      <c r="HY72" s="101"/>
      <c r="HZ72" s="101"/>
      <c r="IA72" s="101"/>
      <c r="IB72" s="101"/>
      <c r="IC72" s="101"/>
      <c r="ID72" s="101"/>
      <c r="IE72" s="101"/>
      <c r="IF72" s="101"/>
      <c r="IG72" s="101"/>
      <c r="IH72" s="101"/>
      <c r="II72" s="101"/>
      <c r="IJ72" s="101"/>
      <c r="IK72" s="101"/>
      <c r="IL72" s="101"/>
      <c r="IM72" s="101"/>
      <c r="IN72" s="101"/>
      <c r="IO72" s="101"/>
      <c r="IP72" s="101"/>
      <c r="IQ72" s="101"/>
      <c r="IR72" s="101"/>
      <c r="IS72" s="101"/>
      <c r="IT72" s="101"/>
    </row>
    <row r="73" spans="1:254">
      <c r="A73" s="101"/>
      <c r="B73" s="101"/>
      <c r="C73" s="101"/>
      <c r="D73" s="101"/>
      <c r="E73" s="56"/>
      <c r="F73" s="7"/>
      <c r="G73" s="7"/>
      <c r="H73" s="7"/>
      <c r="I73" s="7"/>
      <c r="J73" s="7"/>
      <c r="K73" s="7"/>
      <c r="L73" s="7"/>
      <c r="M73" s="52"/>
      <c r="N73" s="52"/>
      <c r="O73" s="7"/>
      <c r="P73" s="52"/>
      <c r="Q73" s="52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01"/>
      <c r="BK73" s="101"/>
      <c r="BL73" s="101"/>
      <c r="BM73" s="101"/>
      <c r="BN73" s="101"/>
      <c r="BO73" s="101"/>
      <c r="BP73" s="101"/>
      <c r="BQ73" s="101"/>
      <c r="BR73" s="101"/>
      <c r="BS73" s="101"/>
      <c r="BT73" s="101"/>
      <c r="BU73" s="101"/>
      <c r="BV73" s="101"/>
      <c r="BW73" s="101"/>
      <c r="BX73" s="101"/>
      <c r="BY73" s="101"/>
      <c r="BZ73" s="101"/>
      <c r="CA73" s="101"/>
      <c r="CB73" s="101"/>
      <c r="CC73" s="101"/>
      <c r="CD73" s="101"/>
      <c r="CE73" s="101"/>
      <c r="CF73" s="101"/>
      <c r="CG73" s="101"/>
      <c r="CH73" s="101"/>
      <c r="CI73" s="101"/>
      <c r="CJ73" s="101"/>
      <c r="CK73" s="101"/>
      <c r="CL73" s="101"/>
      <c r="CM73" s="101"/>
      <c r="CN73" s="101"/>
      <c r="CO73" s="101"/>
      <c r="CP73" s="101"/>
      <c r="CQ73" s="101"/>
      <c r="CR73" s="101"/>
      <c r="CS73" s="101"/>
      <c r="CT73" s="101"/>
      <c r="CU73" s="101"/>
      <c r="CV73" s="101"/>
      <c r="CW73" s="101"/>
      <c r="CX73" s="101"/>
      <c r="CY73" s="101"/>
      <c r="CZ73" s="101"/>
      <c r="DA73" s="101"/>
      <c r="DB73" s="101"/>
      <c r="DC73" s="101"/>
      <c r="DD73" s="101"/>
      <c r="DE73" s="101"/>
      <c r="DF73" s="101"/>
      <c r="DG73" s="101"/>
      <c r="DH73" s="101"/>
      <c r="DI73" s="101"/>
      <c r="DJ73" s="101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1"/>
      <c r="DV73" s="101"/>
      <c r="DW73" s="101"/>
      <c r="DX73" s="101"/>
      <c r="DY73" s="101"/>
      <c r="DZ73" s="101"/>
      <c r="EA73" s="101"/>
      <c r="EB73" s="101"/>
      <c r="EC73" s="101"/>
      <c r="ED73" s="101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1"/>
      <c r="EP73" s="101"/>
      <c r="EQ73" s="101"/>
      <c r="ER73" s="101"/>
      <c r="ES73" s="101"/>
      <c r="ET73" s="101"/>
      <c r="EU73" s="101"/>
      <c r="EV73" s="101"/>
      <c r="EW73" s="101"/>
      <c r="EX73" s="101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1"/>
      <c r="FU73" s="101"/>
      <c r="FV73" s="101"/>
      <c r="FW73" s="101"/>
      <c r="FX73" s="101"/>
      <c r="FY73" s="101"/>
      <c r="FZ73" s="101"/>
      <c r="GA73" s="101"/>
      <c r="GB73" s="101"/>
      <c r="GC73" s="101"/>
      <c r="GD73" s="101"/>
      <c r="GE73" s="101"/>
      <c r="GF73" s="101"/>
      <c r="GG73" s="101"/>
      <c r="GH73" s="101"/>
      <c r="GI73" s="101"/>
      <c r="GJ73" s="101"/>
      <c r="GK73" s="101"/>
      <c r="GL73" s="101"/>
      <c r="GM73" s="101"/>
      <c r="GN73" s="101"/>
      <c r="GO73" s="101"/>
      <c r="GP73" s="101"/>
      <c r="GQ73" s="101"/>
      <c r="GR73" s="101"/>
      <c r="GS73" s="101"/>
      <c r="GT73" s="101"/>
      <c r="GU73" s="101"/>
      <c r="GV73" s="101"/>
      <c r="GW73" s="101"/>
      <c r="GX73" s="101"/>
      <c r="GY73" s="101"/>
      <c r="GZ73" s="101"/>
      <c r="HA73" s="101"/>
      <c r="HB73" s="101"/>
      <c r="HC73" s="101"/>
      <c r="HD73" s="101"/>
      <c r="HE73" s="101"/>
      <c r="HF73" s="101"/>
      <c r="HG73" s="101"/>
      <c r="HH73" s="101"/>
      <c r="HI73" s="101"/>
      <c r="HJ73" s="101"/>
      <c r="HK73" s="101"/>
      <c r="HL73" s="101"/>
      <c r="HM73" s="101"/>
      <c r="HN73" s="101"/>
      <c r="HO73" s="101"/>
      <c r="HP73" s="101"/>
      <c r="HQ73" s="101"/>
      <c r="HR73" s="101"/>
      <c r="HS73" s="101"/>
      <c r="HT73" s="101"/>
      <c r="HU73" s="101"/>
      <c r="HV73" s="101"/>
      <c r="HW73" s="101"/>
      <c r="HX73" s="101"/>
      <c r="HY73" s="101"/>
      <c r="HZ73" s="101"/>
      <c r="IA73" s="101"/>
      <c r="IB73" s="101"/>
      <c r="IC73" s="101"/>
      <c r="ID73" s="101"/>
      <c r="IE73" s="101"/>
      <c r="IF73" s="101"/>
      <c r="IG73" s="101"/>
      <c r="IH73" s="101"/>
      <c r="II73" s="101"/>
      <c r="IJ73" s="101"/>
      <c r="IK73" s="101"/>
      <c r="IL73" s="101"/>
      <c r="IM73" s="101"/>
      <c r="IN73" s="101"/>
      <c r="IO73" s="101"/>
      <c r="IP73" s="101"/>
      <c r="IQ73" s="101"/>
      <c r="IR73" s="101"/>
      <c r="IS73" s="101"/>
      <c r="IT73" s="101"/>
    </row>
    <row r="74" spans="1:254">
      <c r="A74" s="101"/>
      <c r="B74" s="101"/>
      <c r="C74" s="101"/>
      <c r="D74" s="101"/>
      <c r="E74" s="47"/>
      <c r="F74" s="7"/>
      <c r="G74" s="7"/>
      <c r="H74" s="7"/>
      <c r="I74" s="7"/>
      <c r="J74" s="7"/>
      <c r="K74" s="7"/>
      <c r="L74" s="7"/>
      <c r="M74" s="52"/>
      <c r="N74" s="52"/>
      <c r="O74" s="7"/>
      <c r="P74" s="52"/>
      <c r="Q74" s="52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01"/>
      <c r="BK74" s="101"/>
      <c r="BL74" s="101"/>
      <c r="BM74" s="101"/>
      <c r="BN74" s="101"/>
      <c r="BO74" s="101"/>
      <c r="BP74" s="101"/>
      <c r="BQ74" s="101"/>
      <c r="BR74" s="101"/>
      <c r="BS74" s="101"/>
      <c r="BT74" s="101"/>
      <c r="BU74" s="101"/>
      <c r="BV74" s="101"/>
      <c r="BW74" s="101"/>
      <c r="BX74" s="101"/>
      <c r="BY74" s="101"/>
      <c r="BZ74" s="101"/>
      <c r="CA74" s="101"/>
      <c r="CB74" s="101"/>
      <c r="CC74" s="101"/>
      <c r="CD74" s="101"/>
      <c r="CE74" s="101"/>
      <c r="CF74" s="101"/>
      <c r="CG74" s="101"/>
      <c r="CH74" s="101"/>
      <c r="CI74" s="101"/>
      <c r="CJ74" s="101"/>
      <c r="CK74" s="101"/>
      <c r="CL74" s="101"/>
      <c r="CM74" s="101"/>
      <c r="CN74" s="101"/>
      <c r="CO74" s="101"/>
      <c r="CP74" s="101"/>
      <c r="CQ74" s="101"/>
      <c r="CR74" s="101"/>
      <c r="CS74" s="101"/>
      <c r="CT74" s="101"/>
      <c r="CU74" s="101"/>
      <c r="CV74" s="101"/>
      <c r="CW74" s="101"/>
      <c r="CX74" s="101"/>
      <c r="CY74" s="101"/>
      <c r="CZ74" s="101"/>
      <c r="DA74" s="101"/>
      <c r="DB74" s="101"/>
      <c r="DC74" s="101"/>
      <c r="DD74" s="101"/>
      <c r="DE74" s="101"/>
      <c r="DF74" s="101"/>
      <c r="DG74" s="101"/>
      <c r="DH74" s="101"/>
      <c r="DI74" s="101"/>
      <c r="DJ74" s="101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1"/>
      <c r="DV74" s="101"/>
      <c r="DW74" s="101"/>
      <c r="DX74" s="101"/>
      <c r="DY74" s="101"/>
      <c r="DZ74" s="101"/>
      <c r="EA74" s="101"/>
      <c r="EB74" s="101"/>
      <c r="EC74" s="101"/>
      <c r="ED74" s="101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1"/>
      <c r="EP74" s="101"/>
      <c r="EQ74" s="101"/>
      <c r="ER74" s="101"/>
      <c r="ES74" s="101"/>
      <c r="ET74" s="101"/>
      <c r="EU74" s="101"/>
      <c r="EV74" s="101"/>
      <c r="EW74" s="101"/>
      <c r="EX74" s="101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1"/>
      <c r="FU74" s="101"/>
      <c r="FV74" s="101"/>
      <c r="FW74" s="101"/>
      <c r="FX74" s="101"/>
      <c r="FY74" s="101"/>
      <c r="FZ74" s="101"/>
      <c r="GA74" s="101"/>
      <c r="GB74" s="101"/>
      <c r="GC74" s="101"/>
      <c r="GD74" s="101"/>
      <c r="GE74" s="101"/>
      <c r="GF74" s="101"/>
      <c r="GG74" s="101"/>
      <c r="GH74" s="101"/>
      <c r="GI74" s="101"/>
      <c r="GJ74" s="101"/>
      <c r="GK74" s="101"/>
      <c r="GL74" s="101"/>
      <c r="GM74" s="101"/>
      <c r="GN74" s="101"/>
      <c r="GO74" s="101"/>
      <c r="GP74" s="101"/>
      <c r="GQ74" s="101"/>
      <c r="GR74" s="101"/>
      <c r="GS74" s="101"/>
      <c r="GT74" s="101"/>
      <c r="GU74" s="101"/>
      <c r="GV74" s="101"/>
      <c r="GW74" s="101"/>
      <c r="GX74" s="101"/>
      <c r="GY74" s="101"/>
      <c r="GZ74" s="101"/>
      <c r="HA74" s="101"/>
      <c r="HB74" s="101"/>
      <c r="HC74" s="101"/>
      <c r="HD74" s="101"/>
      <c r="HE74" s="101"/>
      <c r="HF74" s="101"/>
      <c r="HG74" s="101"/>
      <c r="HH74" s="101"/>
      <c r="HI74" s="101"/>
      <c r="HJ74" s="101"/>
      <c r="HK74" s="101"/>
      <c r="HL74" s="101"/>
      <c r="HM74" s="101"/>
      <c r="HN74" s="101"/>
      <c r="HO74" s="101"/>
      <c r="HP74" s="101"/>
      <c r="HQ74" s="101"/>
      <c r="HR74" s="101"/>
      <c r="HS74" s="101"/>
      <c r="HT74" s="101"/>
      <c r="HU74" s="101"/>
      <c r="HV74" s="101"/>
      <c r="HW74" s="101"/>
      <c r="HX74" s="101"/>
      <c r="HY74" s="101"/>
      <c r="HZ74" s="101"/>
      <c r="IA74" s="101"/>
      <c r="IB74" s="101"/>
      <c r="IC74" s="101"/>
      <c r="ID74" s="101"/>
      <c r="IE74" s="101"/>
      <c r="IF74" s="101"/>
      <c r="IG74" s="101"/>
      <c r="IH74" s="101"/>
      <c r="II74" s="101"/>
      <c r="IJ74" s="101"/>
      <c r="IK74" s="101"/>
      <c r="IL74" s="101"/>
      <c r="IM74" s="101"/>
      <c r="IN74" s="101"/>
      <c r="IO74" s="101"/>
      <c r="IP74" s="101"/>
      <c r="IQ74" s="101"/>
      <c r="IR74" s="101"/>
      <c r="IS74" s="101"/>
      <c r="IT74" s="101"/>
    </row>
    <row r="75" spans="1:254">
      <c r="A75" s="101"/>
      <c r="B75" s="101"/>
      <c r="C75" s="101"/>
      <c r="D75" s="101"/>
      <c r="F75" s="7"/>
      <c r="G75" s="7"/>
      <c r="H75" s="7"/>
      <c r="I75" s="7"/>
      <c r="J75" s="7"/>
      <c r="K75" s="7"/>
      <c r="L75" s="7"/>
      <c r="M75" s="52"/>
      <c r="N75" s="52"/>
      <c r="O75" s="7"/>
      <c r="P75" s="52"/>
      <c r="Q75" s="52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01"/>
      <c r="BK75" s="101"/>
      <c r="BL75" s="101"/>
      <c r="BM75" s="101"/>
      <c r="BN75" s="101"/>
      <c r="BO75" s="101"/>
      <c r="BP75" s="101"/>
      <c r="BQ75" s="101"/>
      <c r="BR75" s="101"/>
      <c r="BS75" s="101"/>
      <c r="BT75" s="101"/>
      <c r="BU75" s="101"/>
      <c r="BV75" s="101"/>
      <c r="BW75" s="101"/>
      <c r="BX75" s="101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  <c r="CR75" s="101"/>
      <c r="CS75" s="101"/>
      <c r="CT75" s="101"/>
      <c r="CU75" s="101"/>
      <c r="CV75" s="101"/>
      <c r="CW75" s="101"/>
      <c r="CX75" s="101"/>
      <c r="CY75" s="101"/>
      <c r="CZ75" s="101"/>
      <c r="DA75" s="101"/>
      <c r="DB75" s="101"/>
      <c r="DC75" s="101"/>
      <c r="DD75" s="101"/>
      <c r="DE75" s="101"/>
      <c r="DF75" s="101"/>
      <c r="DG75" s="101"/>
      <c r="DH75" s="101"/>
      <c r="DI75" s="101"/>
      <c r="DJ75" s="101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1"/>
      <c r="DV75" s="101"/>
      <c r="DW75" s="101"/>
      <c r="DX75" s="101"/>
      <c r="DY75" s="101"/>
      <c r="DZ75" s="101"/>
      <c r="EA75" s="101"/>
      <c r="EB75" s="101"/>
      <c r="EC75" s="101"/>
      <c r="ED75" s="101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1"/>
      <c r="EP75" s="101"/>
      <c r="EQ75" s="101"/>
      <c r="ER75" s="101"/>
      <c r="ES75" s="101"/>
      <c r="ET75" s="101"/>
      <c r="EU75" s="101"/>
      <c r="EV75" s="101"/>
      <c r="EW75" s="101"/>
      <c r="EX75" s="101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1"/>
      <c r="FU75" s="101"/>
      <c r="FV75" s="101"/>
      <c r="FW75" s="101"/>
      <c r="FX75" s="101"/>
      <c r="FY75" s="101"/>
      <c r="FZ75" s="101"/>
      <c r="GA75" s="101"/>
      <c r="GB75" s="101"/>
      <c r="GC75" s="101"/>
      <c r="GD75" s="101"/>
      <c r="GE75" s="101"/>
      <c r="GF75" s="101"/>
      <c r="GG75" s="101"/>
      <c r="GH75" s="101"/>
      <c r="GI75" s="101"/>
      <c r="GJ75" s="101"/>
      <c r="GK75" s="101"/>
      <c r="GL75" s="101"/>
      <c r="GM75" s="101"/>
      <c r="GN75" s="101"/>
      <c r="GO75" s="101"/>
      <c r="GP75" s="101"/>
      <c r="GQ75" s="101"/>
      <c r="GR75" s="101"/>
      <c r="GS75" s="101"/>
      <c r="GT75" s="101"/>
      <c r="GU75" s="101"/>
      <c r="GV75" s="101"/>
      <c r="GW75" s="101"/>
      <c r="GX75" s="101"/>
      <c r="GY75" s="101"/>
      <c r="GZ75" s="101"/>
      <c r="HA75" s="101"/>
      <c r="HB75" s="101"/>
      <c r="HC75" s="101"/>
      <c r="HD75" s="101"/>
      <c r="HE75" s="101"/>
      <c r="HF75" s="101"/>
      <c r="HG75" s="101"/>
      <c r="HH75" s="101"/>
      <c r="HI75" s="101"/>
      <c r="HJ75" s="101"/>
      <c r="HK75" s="101"/>
      <c r="HL75" s="101"/>
      <c r="HM75" s="101"/>
      <c r="HN75" s="101"/>
      <c r="HO75" s="101"/>
      <c r="HP75" s="101"/>
      <c r="HQ75" s="101"/>
      <c r="HR75" s="101"/>
      <c r="HS75" s="101"/>
      <c r="HT75" s="101"/>
      <c r="HU75" s="101"/>
      <c r="HV75" s="101"/>
      <c r="HW75" s="101"/>
      <c r="HX75" s="101"/>
      <c r="HY75" s="101"/>
      <c r="HZ75" s="101"/>
      <c r="IA75" s="101"/>
      <c r="IB75" s="101"/>
      <c r="IC75" s="101"/>
      <c r="ID75" s="101"/>
      <c r="IE75" s="101"/>
      <c r="IF75" s="101"/>
      <c r="IG75" s="101"/>
      <c r="IH75" s="101"/>
      <c r="II75" s="101"/>
      <c r="IJ75" s="101"/>
      <c r="IK75" s="101"/>
      <c r="IL75" s="101"/>
      <c r="IM75" s="101"/>
      <c r="IN75" s="101"/>
      <c r="IO75" s="101"/>
      <c r="IP75" s="101"/>
      <c r="IQ75" s="101"/>
      <c r="IR75" s="101"/>
      <c r="IS75" s="101"/>
      <c r="IT75" s="101"/>
    </row>
    <row r="76" spans="1:254">
      <c r="A76" s="101"/>
      <c r="B76" s="101"/>
      <c r="C76" s="101"/>
      <c r="D76" s="101"/>
      <c r="F76" s="7"/>
      <c r="G76" s="7"/>
      <c r="H76" s="7"/>
      <c r="I76" s="7"/>
      <c r="J76" s="7"/>
      <c r="K76" s="7"/>
      <c r="L76" s="7"/>
      <c r="M76" s="52"/>
      <c r="N76" s="52"/>
      <c r="O76" s="7"/>
      <c r="P76" s="52"/>
      <c r="Q76" s="52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1"/>
      <c r="BD76" s="101"/>
      <c r="BE76" s="101"/>
      <c r="BF76" s="101"/>
      <c r="BG76" s="101"/>
      <c r="BH76" s="101"/>
      <c r="BI76" s="101"/>
      <c r="BJ76" s="101"/>
      <c r="BK76" s="101"/>
      <c r="BL76" s="101"/>
      <c r="BM76" s="101"/>
      <c r="BN76" s="101"/>
      <c r="BO76" s="101"/>
      <c r="BP76" s="101"/>
      <c r="BQ76" s="101"/>
      <c r="BR76" s="101"/>
      <c r="BS76" s="101"/>
      <c r="BT76" s="101"/>
      <c r="BU76" s="101"/>
      <c r="BV76" s="101"/>
      <c r="BW76" s="101"/>
      <c r="BX76" s="101"/>
      <c r="BY76" s="101"/>
      <c r="BZ76" s="101"/>
      <c r="CA76" s="101"/>
      <c r="CB76" s="101"/>
      <c r="CC76" s="101"/>
      <c r="CD76" s="101"/>
      <c r="CE76" s="101"/>
      <c r="CF76" s="101"/>
      <c r="CG76" s="101"/>
      <c r="CH76" s="101"/>
      <c r="CI76" s="101"/>
      <c r="CJ76" s="101"/>
      <c r="CK76" s="101"/>
      <c r="CL76" s="101"/>
      <c r="CM76" s="101"/>
      <c r="CN76" s="101"/>
      <c r="CO76" s="101"/>
      <c r="CP76" s="101"/>
      <c r="CQ76" s="101"/>
      <c r="CR76" s="101"/>
      <c r="CS76" s="101"/>
      <c r="CT76" s="101"/>
      <c r="CU76" s="101"/>
      <c r="CV76" s="101"/>
      <c r="CW76" s="101"/>
      <c r="CX76" s="101"/>
      <c r="CY76" s="101"/>
      <c r="CZ76" s="101"/>
      <c r="DA76" s="101"/>
      <c r="DB76" s="101"/>
      <c r="DC76" s="101"/>
      <c r="DD76" s="101"/>
      <c r="DE76" s="101"/>
      <c r="DF76" s="101"/>
      <c r="DG76" s="101"/>
      <c r="DH76" s="101"/>
      <c r="DI76" s="101"/>
      <c r="DJ76" s="101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1"/>
      <c r="DV76" s="101"/>
      <c r="DW76" s="101"/>
      <c r="DX76" s="101"/>
      <c r="DY76" s="101"/>
      <c r="DZ76" s="101"/>
      <c r="EA76" s="101"/>
      <c r="EB76" s="101"/>
      <c r="EC76" s="101"/>
      <c r="ED76" s="101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1"/>
      <c r="EP76" s="101"/>
      <c r="EQ76" s="101"/>
      <c r="ER76" s="101"/>
      <c r="ES76" s="101"/>
      <c r="ET76" s="101"/>
      <c r="EU76" s="101"/>
      <c r="EV76" s="101"/>
      <c r="EW76" s="101"/>
      <c r="EX76" s="101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1"/>
      <c r="FU76" s="101"/>
      <c r="FV76" s="101"/>
      <c r="FW76" s="101"/>
      <c r="FX76" s="101"/>
      <c r="FY76" s="101"/>
      <c r="FZ76" s="101"/>
      <c r="GA76" s="101"/>
      <c r="GB76" s="101"/>
      <c r="GC76" s="101"/>
      <c r="GD76" s="101"/>
      <c r="GE76" s="101"/>
      <c r="GF76" s="101"/>
      <c r="GG76" s="101"/>
      <c r="GH76" s="101"/>
      <c r="GI76" s="101"/>
      <c r="GJ76" s="101"/>
      <c r="GK76" s="101"/>
      <c r="GL76" s="101"/>
      <c r="GM76" s="101"/>
      <c r="GN76" s="101"/>
      <c r="GO76" s="101"/>
      <c r="GP76" s="101"/>
      <c r="GQ76" s="101"/>
      <c r="GR76" s="101"/>
      <c r="GS76" s="101"/>
      <c r="GT76" s="101"/>
      <c r="GU76" s="101"/>
      <c r="GV76" s="101"/>
      <c r="GW76" s="101"/>
      <c r="GX76" s="101"/>
      <c r="GY76" s="101"/>
      <c r="GZ76" s="101"/>
      <c r="HA76" s="101"/>
      <c r="HB76" s="101"/>
      <c r="HC76" s="101"/>
      <c r="HD76" s="101"/>
      <c r="HE76" s="101"/>
      <c r="HF76" s="101"/>
      <c r="HG76" s="101"/>
      <c r="HH76" s="101"/>
      <c r="HI76" s="101"/>
      <c r="HJ76" s="101"/>
      <c r="HK76" s="101"/>
      <c r="HL76" s="101"/>
      <c r="HM76" s="101"/>
      <c r="HN76" s="101"/>
      <c r="HO76" s="101"/>
      <c r="HP76" s="101"/>
      <c r="HQ76" s="101"/>
      <c r="HR76" s="101"/>
      <c r="HS76" s="101"/>
      <c r="HT76" s="101"/>
      <c r="HU76" s="101"/>
      <c r="HV76" s="101"/>
      <c r="HW76" s="101"/>
      <c r="HX76" s="101"/>
      <c r="HY76" s="101"/>
      <c r="HZ76" s="101"/>
      <c r="IA76" s="101"/>
      <c r="IB76" s="101"/>
      <c r="IC76" s="101"/>
      <c r="ID76" s="101"/>
      <c r="IE76" s="101"/>
      <c r="IF76" s="101"/>
      <c r="IG76" s="101"/>
      <c r="IH76" s="101"/>
      <c r="II76" s="101"/>
      <c r="IJ76" s="101"/>
      <c r="IK76" s="101"/>
      <c r="IL76" s="101"/>
      <c r="IM76" s="101"/>
      <c r="IN76" s="101"/>
      <c r="IO76" s="101"/>
      <c r="IP76" s="101"/>
      <c r="IQ76" s="101"/>
      <c r="IR76" s="101"/>
      <c r="IS76" s="101"/>
      <c r="IT76" s="101"/>
    </row>
    <row r="77" spans="1:254">
      <c r="A77" s="101"/>
      <c r="B77" s="101"/>
      <c r="C77" s="101"/>
      <c r="D77" s="101"/>
      <c r="F77" s="7"/>
      <c r="G77" s="7"/>
      <c r="H77" s="7"/>
      <c r="I77" s="7"/>
      <c r="J77" s="7"/>
      <c r="K77" s="7"/>
      <c r="L77" s="7"/>
      <c r="M77" s="52"/>
      <c r="N77" s="52"/>
      <c r="O77" s="7"/>
      <c r="P77" s="52"/>
      <c r="Q77" s="52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  <c r="BD77" s="101"/>
      <c r="BE77" s="101"/>
      <c r="BF77" s="101"/>
      <c r="BG77" s="101"/>
      <c r="BH77" s="101"/>
      <c r="BI77" s="101"/>
      <c r="BJ77" s="101"/>
      <c r="BK77" s="101"/>
      <c r="BL77" s="101"/>
      <c r="BM77" s="101"/>
      <c r="BN77" s="101"/>
      <c r="BO77" s="101"/>
      <c r="BP77" s="101"/>
      <c r="BQ77" s="101"/>
      <c r="BR77" s="101"/>
      <c r="BS77" s="101"/>
      <c r="BT77" s="101"/>
      <c r="BU77" s="101"/>
      <c r="BV77" s="101"/>
      <c r="BW77" s="101"/>
      <c r="BX77" s="101"/>
      <c r="BY77" s="101"/>
      <c r="BZ77" s="101"/>
      <c r="CA77" s="101"/>
      <c r="CB77" s="101"/>
      <c r="CC77" s="101"/>
      <c r="CD77" s="101"/>
      <c r="CE77" s="101"/>
      <c r="CF77" s="101"/>
      <c r="CG77" s="101"/>
      <c r="CH77" s="101"/>
      <c r="CI77" s="101"/>
      <c r="CJ77" s="101"/>
      <c r="CK77" s="101"/>
      <c r="CL77" s="101"/>
      <c r="CM77" s="101"/>
      <c r="CN77" s="101"/>
      <c r="CO77" s="101"/>
      <c r="CP77" s="101"/>
      <c r="CQ77" s="101"/>
      <c r="CR77" s="101"/>
      <c r="CS77" s="101"/>
      <c r="CT77" s="101"/>
      <c r="CU77" s="101"/>
      <c r="CV77" s="101"/>
      <c r="CW77" s="101"/>
      <c r="CX77" s="101"/>
      <c r="CY77" s="101"/>
      <c r="CZ77" s="101"/>
      <c r="DA77" s="101"/>
      <c r="DB77" s="101"/>
      <c r="DC77" s="101"/>
      <c r="DD77" s="101"/>
      <c r="DE77" s="101"/>
      <c r="DF77" s="101"/>
      <c r="DG77" s="101"/>
      <c r="DH77" s="101"/>
      <c r="DI77" s="101"/>
      <c r="DJ77" s="101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1"/>
      <c r="DV77" s="101"/>
      <c r="DW77" s="101"/>
      <c r="DX77" s="101"/>
      <c r="DY77" s="101"/>
      <c r="DZ77" s="101"/>
      <c r="EA77" s="101"/>
      <c r="EB77" s="101"/>
      <c r="EC77" s="101"/>
      <c r="ED77" s="101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1"/>
      <c r="EP77" s="101"/>
      <c r="EQ77" s="101"/>
      <c r="ER77" s="101"/>
      <c r="ES77" s="101"/>
      <c r="ET77" s="101"/>
      <c r="EU77" s="101"/>
      <c r="EV77" s="101"/>
      <c r="EW77" s="101"/>
      <c r="EX77" s="101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1"/>
      <c r="FU77" s="101"/>
      <c r="FV77" s="101"/>
      <c r="FW77" s="101"/>
      <c r="FX77" s="101"/>
      <c r="FY77" s="101"/>
      <c r="FZ77" s="101"/>
      <c r="GA77" s="101"/>
      <c r="GB77" s="101"/>
      <c r="GC77" s="101"/>
      <c r="GD77" s="101"/>
      <c r="GE77" s="101"/>
      <c r="GF77" s="101"/>
      <c r="GG77" s="101"/>
      <c r="GH77" s="101"/>
      <c r="GI77" s="101"/>
      <c r="GJ77" s="101"/>
      <c r="GK77" s="101"/>
      <c r="GL77" s="101"/>
      <c r="GM77" s="101"/>
      <c r="GN77" s="101"/>
      <c r="GO77" s="101"/>
      <c r="GP77" s="101"/>
      <c r="GQ77" s="101"/>
      <c r="GR77" s="101"/>
      <c r="GS77" s="101"/>
      <c r="GT77" s="101"/>
      <c r="GU77" s="101"/>
      <c r="GV77" s="101"/>
      <c r="GW77" s="101"/>
      <c r="GX77" s="101"/>
      <c r="GY77" s="101"/>
      <c r="GZ77" s="101"/>
      <c r="HA77" s="101"/>
      <c r="HB77" s="101"/>
      <c r="HC77" s="101"/>
      <c r="HD77" s="101"/>
      <c r="HE77" s="101"/>
      <c r="HF77" s="101"/>
      <c r="HG77" s="101"/>
      <c r="HH77" s="101"/>
      <c r="HI77" s="101"/>
      <c r="HJ77" s="101"/>
      <c r="HK77" s="101"/>
      <c r="HL77" s="101"/>
      <c r="HM77" s="101"/>
      <c r="HN77" s="101"/>
      <c r="HO77" s="101"/>
      <c r="HP77" s="101"/>
      <c r="HQ77" s="101"/>
      <c r="HR77" s="101"/>
      <c r="HS77" s="101"/>
      <c r="HT77" s="101"/>
      <c r="HU77" s="101"/>
      <c r="HV77" s="101"/>
      <c r="HW77" s="101"/>
      <c r="HX77" s="101"/>
      <c r="HY77" s="101"/>
      <c r="HZ77" s="101"/>
      <c r="IA77" s="101"/>
      <c r="IB77" s="101"/>
      <c r="IC77" s="101"/>
      <c r="ID77" s="101"/>
      <c r="IE77" s="101"/>
      <c r="IF77" s="101"/>
      <c r="IG77" s="101"/>
      <c r="IH77" s="101"/>
      <c r="II77" s="101"/>
      <c r="IJ77" s="101"/>
      <c r="IK77" s="101"/>
      <c r="IL77" s="101"/>
      <c r="IM77" s="101"/>
      <c r="IN77" s="101"/>
      <c r="IO77" s="101"/>
      <c r="IP77" s="101"/>
      <c r="IQ77" s="101"/>
      <c r="IR77" s="101"/>
      <c r="IS77" s="101"/>
      <c r="IT77" s="101"/>
    </row>
    <row r="78" spans="1:254">
      <c r="A78" s="101"/>
      <c r="B78" s="101"/>
      <c r="C78" s="101"/>
      <c r="D78" s="101"/>
      <c r="F78" s="7"/>
      <c r="G78" s="7"/>
      <c r="H78" s="7"/>
      <c r="I78" s="7"/>
      <c r="J78" s="7"/>
      <c r="K78" s="7"/>
      <c r="L78" s="7"/>
      <c r="M78" s="52"/>
      <c r="N78" s="52"/>
      <c r="O78" s="7"/>
      <c r="P78" s="52"/>
      <c r="Q78" s="52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/>
      <c r="BC78" s="101"/>
      <c r="BD78" s="101"/>
      <c r="BE78" s="101"/>
      <c r="BF78" s="101"/>
      <c r="BG78" s="101"/>
      <c r="BH78" s="101"/>
      <c r="BI78" s="101"/>
      <c r="BJ78" s="101"/>
      <c r="BK78" s="101"/>
      <c r="BL78" s="101"/>
      <c r="BM78" s="101"/>
      <c r="BN78" s="101"/>
      <c r="BO78" s="101"/>
      <c r="BP78" s="101"/>
      <c r="BQ78" s="101"/>
      <c r="BR78" s="101"/>
      <c r="BS78" s="101"/>
      <c r="BT78" s="101"/>
      <c r="BU78" s="101"/>
      <c r="BV78" s="101"/>
      <c r="BW78" s="101"/>
      <c r="BX78" s="101"/>
      <c r="BY78" s="101"/>
      <c r="BZ78" s="101"/>
      <c r="CA78" s="101"/>
      <c r="CB78" s="101"/>
      <c r="CC78" s="101"/>
      <c r="CD78" s="101"/>
      <c r="CE78" s="101"/>
      <c r="CF78" s="101"/>
      <c r="CG78" s="101"/>
      <c r="CH78" s="101"/>
      <c r="CI78" s="101"/>
      <c r="CJ78" s="101"/>
      <c r="CK78" s="101"/>
      <c r="CL78" s="101"/>
      <c r="CM78" s="101"/>
      <c r="CN78" s="101"/>
      <c r="CO78" s="101"/>
      <c r="CP78" s="101"/>
      <c r="CQ78" s="101"/>
      <c r="CR78" s="101"/>
      <c r="CS78" s="101"/>
      <c r="CT78" s="101"/>
      <c r="CU78" s="101"/>
      <c r="CV78" s="101"/>
      <c r="CW78" s="101"/>
      <c r="CX78" s="101"/>
      <c r="CY78" s="101"/>
      <c r="CZ78" s="101"/>
      <c r="DA78" s="101"/>
      <c r="DB78" s="101"/>
      <c r="DC78" s="101"/>
      <c r="DD78" s="101"/>
      <c r="DE78" s="101"/>
      <c r="DF78" s="101"/>
      <c r="DG78" s="101"/>
      <c r="DH78" s="101"/>
      <c r="DI78" s="101"/>
      <c r="DJ78" s="101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1"/>
      <c r="DV78" s="101"/>
      <c r="DW78" s="101"/>
      <c r="DX78" s="101"/>
      <c r="DY78" s="101"/>
      <c r="DZ78" s="101"/>
      <c r="EA78" s="101"/>
      <c r="EB78" s="101"/>
      <c r="EC78" s="101"/>
      <c r="ED78" s="101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1"/>
      <c r="EP78" s="101"/>
      <c r="EQ78" s="101"/>
      <c r="ER78" s="101"/>
      <c r="ES78" s="101"/>
      <c r="ET78" s="101"/>
      <c r="EU78" s="101"/>
      <c r="EV78" s="101"/>
      <c r="EW78" s="101"/>
      <c r="EX78" s="101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1"/>
      <c r="FU78" s="101"/>
      <c r="FV78" s="101"/>
      <c r="FW78" s="101"/>
      <c r="FX78" s="101"/>
      <c r="FY78" s="101"/>
      <c r="FZ78" s="101"/>
      <c r="GA78" s="101"/>
      <c r="GB78" s="101"/>
      <c r="GC78" s="101"/>
      <c r="GD78" s="101"/>
      <c r="GE78" s="101"/>
      <c r="GF78" s="101"/>
      <c r="GG78" s="101"/>
      <c r="GH78" s="101"/>
      <c r="GI78" s="101"/>
      <c r="GJ78" s="101"/>
      <c r="GK78" s="101"/>
      <c r="GL78" s="101"/>
      <c r="GM78" s="101"/>
      <c r="GN78" s="101"/>
      <c r="GO78" s="101"/>
      <c r="GP78" s="101"/>
      <c r="GQ78" s="101"/>
      <c r="GR78" s="101"/>
      <c r="GS78" s="101"/>
      <c r="GT78" s="101"/>
      <c r="GU78" s="101"/>
      <c r="GV78" s="101"/>
      <c r="GW78" s="101"/>
      <c r="GX78" s="101"/>
      <c r="GY78" s="101"/>
      <c r="GZ78" s="101"/>
      <c r="HA78" s="101"/>
      <c r="HB78" s="101"/>
      <c r="HC78" s="101"/>
      <c r="HD78" s="101"/>
      <c r="HE78" s="101"/>
      <c r="HF78" s="101"/>
      <c r="HG78" s="101"/>
      <c r="HH78" s="101"/>
      <c r="HI78" s="101"/>
      <c r="HJ78" s="101"/>
      <c r="HK78" s="101"/>
      <c r="HL78" s="101"/>
      <c r="HM78" s="101"/>
      <c r="HN78" s="101"/>
      <c r="HO78" s="101"/>
      <c r="HP78" s="101"/>
      <c r="HQ78" s="101"/>
      <c r="HR78" s="101"/>
      <c r="HS78" s="101"/>
      <c r="HT78" s="101"/>
      <c r="HU78" s="101"/>
      <c r="HV78" s="101"/>
      <c r="HW78" s="101"/>
      <c r="HX78" s="101"/>
      <c r="HY78" s="101"/>
      <c r="HZ78" s="101"/>
      <c r="IA78" s="101"/>
      <c r="IB78" s="101"/>
      <c r="IC78" s="101"/>
      <c r="ID78" s="101"/>
      <c r="IE78" s="101"/>
      <c r="IF78" s="101"/>
      <c r="IG78" s="101"/>
      <c r="IH78" s="101"/>
      <c r="II78" s="101"/>
      <c r="IJ78" s="101"/>
      <c r="IK78" s="101"/>
      <c r="IL78" s="101"/>
      <c r="IM78" s="101"/>
      <c r="IN78" s="101"/>
      <c r="IO78" s="101"/>
      <c r="IP78" s="101"/>
      <c r="IQ78" s="101"/>
      <c r="IR78" s="101"/>
      <c r="IS78" s="101"/>
      <c r="IT78" s="101"/>
    </row>
    <row r="79" spans="1:254">
      <c r="A79" s="101"/>
      <c r="B79" s="101"/>
      <c r="C79" s="101"/>
      <c r="D79" s="101"/>
      <c r="F79" s="7"/>
      <c r="G79" s="7"/>
      <c r="H79" s="7"/>
      <c r="I79" s="7"/>
      <c r="J79" s="7"/>
      <c r="K79" s="7"/>
      <c r="L79" s="7"/>
      <c r="M79" s="52"/>
      <c r="N79" s="52"/>
      <c r="O79" s="7"/>
      <c r="P79" s="52"/>
      <c r="Q79" s="52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/>
      <c r="BC79" s="101"/>
      <c r="BD79" s="101"/>
      <c r="BE79" s="101"/>
      <c r="BF79" s="101"/>
      <c r="BG79" s="101"/>
      <c r="BH79" s="101"/>
      <c r="BI79" s="101"/>
      <c r="BJ79" s="101"/>
      <c r="BK79" s="101"/>
      <c r="BL79" s="101"/>
      <c r="BM79" s="101"/>
      <c r="BN79" s="101"/>
      <c r="BO79" s="101"/>
      <c r="BP79" s="101"/>
      <c r="BQ79" s="101"/>
      <c r="BR79" s="101"/>
      <c r="BS79" s="101"/>
      <c r="BT79" s="101"/>
      <c r="BU79" s="101"/>
      <c r="BV79" s="101"/>
      <c r="BW79" s="101"/>
      <c r="BX79" s="101"/>
      <c r="BY79" s="101"/>
      <c r="BZ79" s="101"/>
      <c r="CA79" s="101"/>
      <c r="CB79" s="101"/>
      <c r="CC79" s="101"/>
      <c r="CD79" s="101"/>
      <c r="CE79" s="101"/>
      <c r="CF79" s="101"/>
      <c r="CG79" s="101"/>
      <c r="CH79" s="101"/>
      <c r="CI79" s="101"/>
      <c r="CJ79" s="101"/>
      <c r="CK79" s="101"/>
      <c r="CL79" s="101"/>
      <c r="CM79" s="101"/>
      <c r="CN79" s="101"/>
      <c r="CO79" s="101"/>
      <c r="CP79" s="101"/>
      <c r="CQ79" s="101"/>
      <c r="CR79" s="101"/>
      <c r="CS79" s="101"/>
      <c r="CT79" s="101"/>
      <c r="CU79" s="101"/>
      <c r="CV79" s="101"/>
      <c r="CW79" s="101"/>
      <c r="CX79" s="101"/>
      <c r="CY79" s="101"/>
      <c r="CZ79" s="101"/>
      <c r="DA79" s="101"/>
      <c r="DB79" s="101"/>
      <c r="DC79" s="101"/>
      <c r="DD79" s="101"/>
      <c r="DE79" s="101"/>
      <c r="DF79" s="101"/>
      <c r="DG79" s="101"/>
      <c r="DH79" s="101"/>
      <c r="DI79" s="101"/>
      <c r="DJ79" s="101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1"/>
      <c r="DV79" s="101"/>
      <c r="DW79" s="101"/>
      <c r="DX79" s="101"/>
      <c r="DY79" s="101"/>
      <c r="DZ79" s="101"/>
      <c r="EA79" s="101"/>
      <c r="EB79" s="101"/>
      <c r="EC79" s="101"/>
      <c r="ED79" s="101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1"/>
      <c r="EP79" s="101"/>
      <c r="EQ79" s="101"/>
      <c r="ER79" s="101"/>
      <c r="ES79" s="101"/>
      <c r="ET79" s="101"/>
      <c r="EU79" s="101"/>
      <c r="EV79" s="101"/>
      <c r="EW79" s="101"/>
      <c r="EX79" s="101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1"/>
      <c r="FU79" s="101"/>
      <c r="FV79" s="101"/>
      <c r="FW79" s="101"/>
      <c r="FX79" s="101"/>
      <c r="FY79" s="101"/>
      <c r="FZ79" s="101"/>
      <c r="GA79" s="101"/>
      <c r="GB79" s="101"/>
      <c r="GC79" s="101"/>
      <c r="GD79" s="101"/>
      <c r="GE79" s="101"/>
      <c r="GF79" s="101"/>
      <c r="GG79" s="101"/>
      <c r="GH79" s="101"/>
      <c r="GI79" s="101"/>
      <c r="GJ79" s="101"/>
      <c r="GK79" s="101"/>
      <c r="GL79" s="101"/>
      <c r="GM79" s="101"/>
      <c r="GN79" s="101"/>
      <c r="GO79" s="101"/>
      <c r="GP79" s="101"/>
      <c r="GQ79" s="101"/>
      <c r="GR79" s="101"/>
      <c r="GS79" s="101"/>
      <c r="GT79" s="101"/>
      <c r="GU79" s="101"/>
      <c r="GV79" s="101"/>
      <c r="GW79" s="101"/>
      <c r="GX79" s="101"/>
      <c r="GY79" s="101"/>
      <c r="GZ79" s="101"/>
      <c r="HA79" s="101"/>
      <c r="HB79" s="101"/>
      <c r="HC79" s="101"/>
      <c r="HD79" s="101"/>
      <c r="HE79" s="101"/>
      <c r="HF79" s="101"/>
      <c r="HG79" s="101"/>
      <c r="HH79" s="101"/>
      <c r="HI79" s="101"/>
      <c r="HJ79" s="101"/>
      <c r="HK79" s="101"/>
      <c r="HL79" s="101"/>
      <c r="HM79" s="101"/>
      <c r="HN79" s="101"/>
      <c r="HO79" s="101"/>
      <c r="HP79" s="101"/>
      <c r="HQ79" s="101"/>
      <c r="HR79" s="101"/>
      <c r="HS79" s="101"/>
      <c r="HT79" s="101"/>
      <c r="HU79" s="101"/>
      <c r="HV79" s="101"/>
      <c r="HW79" s="101"/>
      <c r="HX79" s="101"/>
      <c r="HY79" s="101"/>
      <c r="HZ79" s="101"/>
      <c r="IA79" s="101"/>
      <c r="IB79" s="101"/>
      <c r="IC79" s="101"/>
      <c r="ID79" s="101"/>
      <c r="IE79" s="101"/>
      <c r="IF79" s="101"/>
      <c r="IG79" s="101"/>
      <c r="IH79" s="101"/>
      <c r="II79" s="101"/>
      <c r="IJ79" s="101"/>
      <c r="IK79" s="101"/>
      <c r="IL79" s="101"/>
      <c r="IM79" s="101"/>
      <c r="IN79" s="101"/>
      <c r="IO79" s="101"/>
      <c r="IP79" s="101"/>
      <c r="IQ79" s="101"/>
      <c r="IR79" s="101"/>
      <c r="IS79" s="101"/>
      <c r="IT79" s="101"/>
    </row>
    <row r="80" spans="1:254">
      <c r="A80" s="101"/>
      <c r="B80" s="101"/>
      <c r="C80" s="101"/>
      <c r="D80" s="101"/>
      <c r="F80" s="7"/>
      <c r="G80" s="7"/>
      <c r="H80" s="7"/>
      <c r="I80" s="7"/>
      <c r="J80" s="7"/>
      <c r="K80" s="7"/>
      <c r="L80" s="7"/>
      <c r="M80" s="52"/>
      <c r="N80" s="52"/>
      <c r="O80" s="7"/>
      <c r="P80" s="52"/>
      <c r="Q80" s="52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/>
      <c r="BD80" s="101"/>
      <c r="BE80" s="101"/>
      <c r="BF80" s="101"/>
      <c r="BG80" s="101"/>
      <c r="BH80" s="101"/>
      <c r="BI80" s="101"/>
      <c r="BJ80" s="101"/>
      <c r="BK80" s="101"/>
      <c r="BL80" s="101"/>
      <c r="BM80" s="101"/>
      <c r="BN80" s="101"/>
      <c r="BO80" s="101"/>
      <c r="BP80" s="101"/>
      <c r="BQ80" s="101"/>
      <c r="BR80" s="101"/>
      <c r="BS80" s="101"/>
      <c r="BT80" s="101"/>
      <c r="BU80" s="101"/>
      <c r="BV80" s="101"/>
      <c r="BW80" s="101"/>
      <c r="BX80" s="101"/>
      <c r="BY80" s="101"/>
      <c r="BZ80" s="101"/>
      <c r="CA80" s="101"/>
      <c r="CB80" s="101"/>
      <c r="CC80" s="101"/>
      <c r="CD80" s="101"/>
      <c r="CE80" s="101"/>
      <c r="CF80" s="101"/>
      <c r="CG80" s="101"/>
      <c r="CH80" s="101"/>
      <c r="CI80" s="101"/>
      <c r="CJ80" s="101"/>
      <c r="CK80" s="101"/>
      <c r="CL80" s="101"/>
      <c r="CM80" s="101"/>
      <c r="CN80" s="101"/>
      <c r="CO80" s="101"/>
      <c r="CP80" s="101"/>
      <c r="CQ80" s="101"/>
      <c r="CR80" s="101"/>
      <c r="CS80" s="101"/>
      <c r="CT80" s="101"/>
      <c r="CU80" s="101"/>
      <c r="CV80" s="101"/>
      <c r="CW80" s="101"/>
      <c r="CX80" s="101"/>
      <c r="CY80" s="101"/>
      <c r="CZ80" s="101"/>
      <c r="DA80" s="101"/>
      <c r="DB80" s="101"/>
      <c r="DC80" s="101"/>
      <c r="DD80" s="101"/>
      <c r="DE80" s="101"/>
      <c r="DF80" s="101"/>
      <c r="DG80" s="101"/>
      <c r="DH80" s="101"/>
      <c r="DI80" s="101"/>
      <c r="DJ80" s="101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1"/>
      <c r="DV80" s="101"/>
      <c r="DW80" s="101"/>
      <c r="DX80" s="101"/>
      <c r="DY80" s="101"/>
      <c r="DZ80" s="101"/>
      <c r="EA80" s="101"/>
      <c r="EB80" s="101"/>
      <c r="EC80" s="101"/>
      <c r="ED80" s="101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1"/>
      <c r="EP80" s="101"/>
      <c r="EQ80" s="101"/>
      <c r="ER80" s="101"/>
      <c r="ES80" s="101"/>
      <c r="ET80" s="101"/>
      <c r="EU80" s="101"/>
      <c r="EV80" s="101"/>
      <c r="EW80" s="101"/>
      <c r="EX80" s="101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1"/>
      <c r="FU80" s="101"/>
      <c r="FV80" s="101"/>
      <c r="FW80" s="101"/>
      <c r="FX80" s="101"/>
      <c r="FY80" s="101"/>
      <c r="FZ80" s="101"/>
      <c r="GA80" s="101"/>
      <c r="GB80" s="101"/>
      <c r="GC80" s="101"/>
      <c r="GD80" s="101"/>
      <c r="GE80" s="101"/>
      <c r="GF80" s="101"/>
      <c r="GG80" s="101"/>
      <c r="GH80" s="101"/>
      <c r="GI80" s="101"/>
      <c r="GJ80" s="101"/>
      <c r="GK80" s="101"/>
      <c r="GL80" s="101"/>
      <c r="GM80" s="101"/>
      <c r="GN80" s="101"/>
      <c r="GO80" s="101"/>
      <c r="GP80" s="101"/>
      <c r="GQ80" s="101"/>
      <c r="GR80" s="101"/>
      <c r="GS80" s="101"/>
      <c r="GT80" s="101"/>
      <c r="GU80" s="101"/>
      <c r="GV80" s="101"/>
      <c r="GW80" s="101"/>
      <c r="GX80" s="101"/>
      <c r="GY80" s="101"/>
      <c r="GZ80" s="101"/>
      <c r="HA80" s="101"/>
      <c r="HB80" s="101"/>
      <c r="HC80" s="101"/>
      <c r="HD80" s="101"/>
      <c r="HE80" s="101"/>
      <c r="HF80" s="101"/>
      <c r="HG80" s="101"/>
      <c r="HH80" s="101"/>
      <c r="HI80" s="101"/>
      <c r="HJ80" s="101"/>
      <c r="HK80" s="101"/>
      <c r="HL80" s="101"/>
      <c r="HM80" s="101"/>
      <c r="HN80" s="101"/>
      <c r="HO80" s="101"/>
      <c r="HP80" s="101"/>
      <c r="HQ80" s="101"/>
      <c r="HR80" s="101"/>
      <c r="HS80" s="101"/>
      <c r="HT80" s="101"/>
      <c r="HU80" s="101"/>
      <c r="HV80" s="101"/>
      <c r="HW80" s="101"/>
      <c r="HX80" s="101"/>
      <c r="HY80" s="101"/>
      <c r="HZ80" s="101"/>
      <c r="IA80" s="101"/>
      <c r="IB80" s="101"/>
      <c r="IC80" s="101"/>
      <c r="ID80" s="101"/>
      <c r="IE80" s="101"/>
      <c r="IF80" s="101"/>
      <c r="IG80" s="101"/>
      <c r="IH80" s="101"/>
      <c r="II80" s="101"/>
      <c r="IJ80" s="101"/>
      <c r="IK80" s="101"/>
      <c r="IL80" s="101"/>
      <c r="IM80" s="101"/>
      <c r="IN80" s="101"/>
      <c r="IO80" s="101"/>
      <c r="IP80" s="101"/>
      <c r="IQ80" s="101"/>
      <c r="IR80" s="101"/>
      <c r="IS80" s="101"/>
      <c r="IT80" s="101"/>
    </row>
    <row r="81" spans="1:254">
      <c r="A81" s="101"/>
      <c r="B81" s="101"/>
      <c r="C81" s="101"/>
      <c r="D81" s="101"/>
      <c r="F81" s="7"/>
      <c r="G81" s="7"/>
      <c r="H81" s="7"/>
      <c r="I81" s="7"/>
      <c r="J81" s="7"/>
      <c r="K81" s="7"/>
      <c r="L81" s="7"/>
      <c r="M81" s="52"/>
      <c r="N81" s="52"/>
      <c r="O81" s="7"/>
      <c r="P81" s="52"/>
      <c r="Q81" s="52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/>
      <c r="BF81" s="101"/>
      <c r="BG81" s="101"/>
      <c r="BH81" s="101"/>
      <c r="BI81" s="101"/>
      <c r="BJ81" s="101"/>
      <c r="BK81" s="101"/>
      <c r="BL81" s="101"/>
      <c r="BM81" s="101"/>
      <c r="BN81" s="101"/>
      <c r="BO81" s="101"/>
      <c r="BP81" s="101"/>
      <c r="BQ81" s="101"/>
      <c r="BR81" s="101"/>
      <c r="BS81" s="101"/>
      <c r="BT81" s="101"/>
      <c r="BU81" s="101"/>
      <c r="BV81" s="101"/>
      <c r="BW81" s="101"/>
      <c r="BX81" s="101"/>
      <c r="BY81" s="101"/>
      <c r="BZ81" s="101"/>
      <c r="CA81" s="101"/>
      <c r="CB81" s="101"/>
      <c r="CC81" s="101"/>
      <c r="CD81" s="101"/>
      <c r="CE81" s="101"/>
      <c r="CF81" s="101"/>
      <c r="CG81" s="101"/>
      <c r="CH81" s="101"/>
      <c r="CI81" s="101"/>
      <c r="CJ81" s="101"/>
      <c r="CK81" s="101"/>
      <c r="CL81" s="101"/>
      <c r="CM81" s="101"/>
      <c r="CN81" s="101"/>
      <c r="CO81" s="101"/>
      <c r="CP81" s="101"/>
      <c r="CQ81" s="101"/>
      <c r="CR81" s="101"/>
      <c r="CS81" s="101"/>
      <c r="CT81" s="101"/>
      <c r="CU81" s="101"/>
      <c r="CV81" s="101"/>
      <c r="CW81" s="101"/>
      <c r="CX81" s="101"/>
      <c r="CY81" s="101"/>
      <c r="CZ81" s="101"/>
      <c r="DA81" s="101"/>
      <c r="DB81" s="101"/>
      <c r="DC81" s="101"/>
      <c r="DD81" s="101"/>
      <c r="DE81" s="101"/>
      <c r="DF81" s="101"/>
      <c r="DG81" s="101"/>
      <c r="DH81" s="101"/>
      <c r="DI81" s="101"/>
      <c r="DJ81" s="101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1"/>
      <c r="DV81" s="101"/>
      <c r="DW81" s="101"/>
      <c r="DX81" s="101"/>
      <c r="DY81" s="101"/>
      <c r="DZ81" s="101"/>
      <c r="EA81" s="101"/>
      <c r="EB81" s="101"/>
      <c r="EC81" s="101"/>
      <c r="ED81" s="101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1"/>
      <c r="EP81" s="101"/>
      <c r="EQ81" s="101"/>
      <c r="ER81" s="101"/>
      <c r="ES81" s="101"/>
      <c r="ET81" s="101"/>
      <c r="EU81" s="101"/>
      <c r="EV81" s="101"/>
      <c r="EW81" s="101"/>
      <c r="EX81" s="101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1"/>
      <c r="FU81" s="101"/>
      <c r="FV81" s="101"/>
      <c r="FW81" s="101"/>
      <c r="FX81" s="101"/>
      <c r="FY81" s="101"/>
      <c r="FZ81" s="101"/>
      <c r="GA81" s="101"/>
      <c r="GB81" s="101"/>
      <c r="GC81" s="101"/>
      <c r="GD81" s="101"/>
      <c r="GE81" s="101"/>
      <c r="GF81" s="101"/>
      <c r="GG81" s="101"/>
      <c r="GH81" s="101"/>
      <c r="GI81" s="101"/>
      <c r="GJ81" s="101"/>
      <c r="GK81" s="101"/>
      <c r="GL81" s="101"/>
      <c r="GM81" s="101"/>
      <c r="GN81" s="101"/>
      <c r="GO81" s="101"/>
      <c r="GP81" s="101"/>
      <c r="GQ81" s="101"/>
      <c r="GR81" s="101"/>
      <c r="GS81" s="101"/>
      <c r="GT81" s="101"/>
      <c r="GU81" s="101"/>
      <c r="GV81" s="101"/>
      <c r="GW81" s="101"/>
      <c r="GX81" s="101"/>
      <c r="GY81" s="101"/>
      <c r="GZ81" s="101"/>
      <c r="HA81" s="101"/>
      <c r="HB81" s="101"/>
      <c r="HC81" s="101"/>
      <c r="HD81" s="101"/>
      <c r="HE81" s="101"/>
      <c r="HF81" s="101"/>
      <c r="HG81" s="101"/>
      <c r="HH81" s="101"/>
      <c r="HI81" s="101"/>
      <c r="HJ81" s="101"/>
      <c r="HK81" s="101"/>
      <c r="HL81" s="101"/>
      <c r="HM81" s="101"/>
      <c r="HN81" s="101"/>
      <c r="HO81" s="101"/>
      <c r="HP81" s="101"/>
      <c r="HQ81" s="101"/>
      <c r="HR81" s="101"/>
      <c r="HS81" s="101"/>
      <c r="HT81" s="101"/>
      <c r="HU81" s="101"/>
      <c r="HV81" s="101"/>
      <c r="HW81" s="101"/>
      <c r="HX81" s="101"/>
      <c r="HY81" s="101"/>
      <c r="HZ81" s="101"/>
      <c r="IA81" s="101"/>
      <c r="IB81" s="101"/>
      <c r="IC81" s="101"/>
      <c r="ID81" s="101"/>
      <c r="IE81" s="101"/>
      <c r="IF81" s="101"/>
      <c r="IG81" s="101"/>
      <c r="IH81" s="101"/>
      <c r="II81" s="101"/>
      <c r="IJ81" s="101"/>
      <c r="IK81" s="101"/>
      <c r="IL81" s="101"/>
      <c r="IM81" s="101"/>
      <c r="IN81" s="101"/>
      <c r="IO81" s="101"/>
      <c r="IP81" s="101"/>
      <c r="IQ81" s="101"/>
      <c r="IR81" s="101"/>
      <c r="IS81" s="101"/>
      <c r="IT81" s="101"/>
    </row>
    <row r="82" spans="1:254">
      <c r="A82" s="101"/>
      <c r="B82" s="101"/>
      <c r="C82" s="101"/>
      <c r="D82" s="101"/>
      <c r="F82" s="7"/>
      <c r="G82" s="7"/>
      <c r="H82" s="7"/>
      <c r="I82" s="7"/>
      <c r="J82" s="7"/>
      <c r="K82" s="7"/>
      <c r="L82" s="7"/>
      <c r="M82" s="52"/>
      <c r="N82" s="52"/>
      <c r="O82" s="7"/>
      <c r="P82" s="52"/>
      <c r="Q82" s="52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/>
      <c r="BF82" s="101"/>
      <c r="BG82" s="101"/>
      <c r="BH82" s="101"/>
      <c r="BI82" s="101"/>
      <c r="BJ82" s="101"/>
      <c r="BK82" s="101"/>
      <c r="BL82" s="101"/>
      <c r="BM82" s="101"/>
      <c r="BN82" s="101"/>
      <c r="BO82" s="101"/>
      <c r="BP82" s="101"/>
      <c r="BQ82" s="101"/>
      <c r="BR82" s="101"/>
      <c r="BS82" s="101"/>
      <c r="BT82" s="101"/>
      <c r="BU82" s="101"/>
      <c r="BV82" s="101"/>
      <c r="BW82" s="101"/>
      <c r="BX82" s="101"/>
      <c r="BY82" s="101"/>
      <c r="BZ82" s="101"/>
      <c r="CA82" s="101"/>
      <c r="CB82" s="101"/>
      <c r="CC82" s="101"/>
      <c r="CD82" s="101"/>
      <c r="CE82" s="101"/>
      <c r="CF82" s="101"/>
      <c r="CG82" s="101"/>
      <c r="CH82" s="101"/>
      <c r="CI82" s="101"/>
      <c r="CJ82" s="101"/>
      <c r="CK82" s="101"/>
      <c r="CL82" s="101"/>
      <c r="CM82" s="101"/>
      <c r="CN82" s="101"/>
      <c r="CO82" s="101"/>
      <c r="CP82" s="101"/>
      <c r="CQ82" s="101"/>
      <c r="CR82" s="101"/>
      <c r="CS82" s="101"/>
      <c r="CT82" s="101"/>
      <c r="CU82" s="101"/>
      <c r="CV82" s="101"/>
      <c r="CW82" s="101"/>
      <c r="CX82" s="101"/>
      <c r="CY82" s="101"/>
      <c r="CZ82" s="101"/>
      <c r="DA82" s="101"/>
      <c r="DB82" s="101"/>
      <c r="DC82" s="101"/>
      <c r="DD82" s="101"/>
      <c r="DE82" s="101"/>
      <c r="DF82" s="101"/>
      <c r="DG82" s="101"/>
      <c r="DH82" s="101"/>
      <c r="DI82" s="101"/>
      <c r="DJ82" s="101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1"/>
      <c r="DV82" s="101"/>
      <c r="DW82" s="101"/>
      <c r="DX82" s="101"/>
      <c r="DY82" s="101"/>
      <c r="DZ82" s="101"/>
      <c r="EA82" s="101"/>
      <c r="EB82" s="101"/>
      <c r="EC82" s="101"/>
      <c r="ED82" s="101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1"/>
      <c r="EP82" s="101"/>
      <c r="EQ82" s="101"/>
      <c r="ER82" s="101"/>
      <c r="ES82" s="101"/>
      <c r="ET82" s="101"/>
      <c r="EU82" s="101"/>
      <c r="EV82" s="101"/>
      <c r="EW82" s="101"/>
      <c r="EX82" s="101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1"/>
      <c r="FU82" s="101"/>
      <c r="FV82" s="101"/>
      <c r="FW82" s="101"/>
      <c r="FX82" s="101"/>
      <c r="FY82" s="101"/>
      <c r="FZ82" s="101"/>
      <c r="GA82" s="101"/>
      <c r="GB82" s="101"/>
      <c r="GC82" s="101"/>
      <c r="GD82" s="101"/>
      <c r="GE82" s="101"/>
      <c r="GF82" s="101"/>
      <c r="GG82" s="101"/>
      <c r="GH82" s="101"/>
      <c r="GI82" s="101"/>
      <c r="GJ82" s="101"/>
      <c r="GK82" s="101"/>
      <c r="GL82" s="101"/>
      <c r="GM82" s="101"/>
      <c r="GN82" s="101"/>
      <c r="GO82" s="101"/>
      <c r="GP82" s="101"/>
      <c r="GQ82" s="101"/>
      <c r="GR82" s="101"/>
      <c r="GS82" s="101"/>
      <c r="GT82" s="101"/>
      <c r="GU82" s="101"/>
      <c r="GV82" s="101"/>
      <c r="GW82" s="101"/>
      <c r="GX82" s="101"/>
      <c r="GY82" s="101"/>
      <c r="GZ82" s="101"/>
      <c r="HA82" s="101"/>
      <c r="HB82" s="101"/>
      <c r="HC82" s="101"/>
      <c r="HD82" s="101"/>
      <c r="HE82" s="101"/>
      <c r="HF82" s="101"/>
      <c r="HG82" s="101"/>
      <c r="HH82" s="101"/>
      <c r="HI82" s="101"/>
      <c r="HJ82" s="101"/>
      <c r="HK82" s="101"/>
      <c r="HL82" s="101"/>
      <c r="HM82" s="101"/>
      <c r="HN82" s="101"/>
      <c r="HO82" s="101"/>
      <c r="HP82" s="101"/>
      <c r="HQ82" s="101"/>
      <c r="HR82" s="101"/>
      <c r="HS82" s="101"/>
      <c r="HT82" s="101"/>
      <c r="HU82" s="101"/>
      <c r="HV82" s="101"/>
      <c r="HW82" s="101"/>
      <c r="HX82" s="101"/>
      <c r="HY82" s="101"/>
      <c r="HZ82" s="101"/>
      <c r="IA82" s="101"/>
      <c r="IB82" s="101"/>
      <c r="IC82" s="101"/>
      <c r="ID82" s="101"/>
      <c r="IE82" s="101"/>
      <c r="IF82" s="101"/>
      <c r="IG82" s="101"/>
      <c r="IH82" s="101"/>
      <c r="II82" s="101"/>
      <c r="IJ82" s="101"/>
      <c r="IK82" s="101"/>
      <c r="IL82" s="101"/>
      <c r="IM82" s="101"/>
      <c r="IN82" s="101"/>
      <c r="IO82" s="101"/>
      <c r="IP82" s="101"/>
      <c r="IQ82" s="101"/>
      <c r="IR82" s="101"/>
      <c r="IS82" s="101"/>
      <c r="IT82" s="101"/>
    </row>
    <row r="83" spans="1:254">
      <c r="A83" s="101"/>
      <c r="B83" s="101"/>
      <c r="C83" s="101"/>
      <c r="D83" s="101"/>
      <c r="F83" s="7"/>
      <c r="G83" s="7"/>
      <c r="H83" s="7"/>
      <c r="I83" s="7"/>
      <c r="J83" s="7"/>
      <c r="K83" s="7"/>
      <c r="L83" s="7"/>
      <c r="M83" s="52"/>
      <c r="N83" s="52"/>
      <c r="O83" s="7"/>
      <c r="P83" s="52"/>
      <c r="Q83" s="52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  <c r="BJ83" s="101"/>
      <c r="BK83" s="101"/>
      <c r="BL83" s="101"/>
      <c r="BM83" s="101"/>
      <c r="BN83" s="101"/>
      <c r="BO83" s="101"/>
      <c r="BP83" s="101"/>
      <c r="BQ83" s="101"/>
      <c r="BR83" s="101"/>
      <c r="BS83" s="101"/>
      <c r="BT83" s="101"/>
      <c r="BU83" s="101"/>
      <c r="BV83" s="101"/>
      <c r="BW83" s="101"/>
      <c r="BX83" s="101"/>
      <c r="BY83" s="101"/>
      <c r="BZ83" s="101"/>
      <c r="CA83" s="101"/>
      <c r="CB83" s="101"/>
      <c r="CC83" s="101"/>
      <c r="CD83" s="101"/>
      <c r="CE83" s="101"/>
      <c r="CF83" s="101"/>
      <c r="CG83" s="101"/>
      <c r="CH83" s="101"/>
      <c r="CI83" s="101"/>
      <c r="CJ83" s="101"/>
      <c r="CK83" s="101"/>
      <c r="CL83" s="101"/>
      <c r="CM83" s="101"/>
      <c r="CN83" s="101"/>
      <c r="CO83" s="101"/>
      <c r="CP83" s="101"/>
      <c r="CQ83" s="101"/>
      <c r="CR83" s="101"/>
      <c r="CS83" s="101"/>
      <c r="CT83" s="101"/>
      <c r="CU83" s="101"/>
      <c r="CV83" s="101"/>
      <c r="CW83" s="101"/>
      <c r="CX83" s="101"/>
      <c r="CY83" s="101"/>
      <c r="CZ83" s="101"/>
      <c r="DA83" s="101"/>
      <c r="DB83" s="101"/>
      <c r="DC83" s="101"/>
      <c r="DD83" s="101"/>
      <c r="DE83" s="101"/>
      <c r="DF83" s="101"/>
      <c r="DG83" s="101"/>
      <c r="DH83" s="101"/>
      <c r="DI83" s="101"/>
      <c r="DJ83" s="101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1"/>
      <c r="DV83" s="101"/>
      <c r="DW83" s="101"/>
      <c r="DX83" s="101"/>
      <c r="DY83" s="101"/>
      <c r="DZ83" s="101"/>
      <c r="EA83" s="101"/>
      <c r="EB83" s="101"/>
      <c r="EC83" s="101"/>
      <c r="ED83" s="101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1"/>
      <c r="EP83" s="101"/>
      <c r="EQ83" s="101"/>
      <c r="ER83" s="101"/>
      <c r="ES83" s="101"/>
      <c r="ET83" s="101"/>
      <c r="EU83" s="101"/>
      <c r="EV83" s="101"/>
      <c r="EW83" s="101"/>
      <c r="EX83" s="101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1"/>
      <c r="FU83" s="101"/>
      <c r="FV83" s="101"/>
      <c r="FW83" s="101"/>
      <c r="FX83" s="101"/>
      <c r="FY83" s="101"/>
      <c r="FZ83" s="101"/>
      <c r="GA83" s="101"/>
      <c r="GB83" s="101"/>
      <c r="GC83" s="101"/>
      <c r="GD83" s="101"/>
      <c r="GE83" s="101"/>
      <c r="GF83" s="101"/>
      <c r="GG83" s="101"/>
      <c r="GH83" s="101"/>
      <c r="GI83" s="101"/>
      <c r="GJ83" s="101"/>
      <c r="GK83" s="101"/>
      <c r="GL83" s="101"/>
      <c r="GM83" s="101"/>
      <c r="GN83" s="101"/>
      <c r="GO83" s="101"/>
      <c r="GP83" s="101"/>
      <c r="GQ83" s="101"/>
      <c r="GR83" s="101"/>
      <c r="GS83" s="101"/>
      <c r="GT83" s="101"/>
      <c r="GU83" s="101"/>
      <c r="GV83" s="101"/>
      <c r="GW83" s="101"/>
      <c r="GX83" s="101"/>
      <c r="GY83" s="101"/>
      <c r="GZ83" s="101"/>
      <c r="HA83" s="101"/>
      <c r="HB83" s="101"/>
      <c r="HC83" s="101"/>
      <c r="HD83" s="101"/>
      <c r="HE83" s="101"/>
      <c r="HF83" s="101"/>
      <c r="HG83" s="101"/>
      <c r="HH83" s="101"/>
      <c r="HI83" s="101"/>
      <c r="HJ83" s="101"/>
      <c r="HK83" s="101"/>
      <c r="HL83" s="101"/>
      <c r="HM83" s="101"/>
      <c r="HN83" s="101"/>
      <c r="HO83" s="101"/>
      <c r="HP83" s="101"/>
      <c r="HQ83" s="101"/>
      <c r="HR83" s="101"/>
      <c r="HS83" s="101"/>
      <c r="HT83" s="101"/>
      <c r="HU83" s="101"/>
      <c r="HV83" s="101"/>
      <c r="HW83" s="101"/>
      <c r="HX83" s="101"/>
      <c r="HY83" s="101"/>
      <c r="HZ83" s="101"/>
      <c r="IA83" s="101"/>
      <c r="IB83" s="101"/>
      <c r="IC83" s="101"/>
      <c r="ID83" s="101"/>
      <c r="IE83" s="101"/>
      <c r="IF83" s="101"/>
      <c r="IG83" s="101"/>
      <c r="IH83" s="101"/>
      <c r="II83" s="101"/>
      <c r="IJ83" s="101"/>
      <c r="IK83" s="101"/>
      <c r="IL83" s="101"/>
      <c r="IM83" s="101"/>
      <c r="IN83" s="101"/>
      <c r="IO83" s="101"/>
      <c r="IP83" s="101"/>
      <c r="IQ83" s="101"/>
      <c r="IR83" s="101"/>
      <c r="IS83" s="101"/>
      <c r="IT83" s="101"/>
    </row>
    <row r="84" spans="1:254">
      <c r="A84" s="101"/>
      <c r="B84" s="101"/>
      <c r="C84" s="101"/>
      <c r="D84" s="101"/>
      <c r="F84" s="7"/>
      <c r="G84" s="7"/>
      <c r="H84" s="7"/>
      <c r="I84" s="7"/>
      <c r="J84" s="7"/>
      <c r="K84" s="7"/>
      <c r="L84" s="7"/>
      <c r="M84" s="52"/>
      <c r="N84" s="52"/>
      <c r="O84" s="7"/>
      <c r="P84" s="52"/>
      <c r="Q84" s="52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  <c r="BJ84" s="101"/>
      <c r="BK84" s="101"/>
      <c r="BL84" s="101"/>
      <c r="BM84" s="101"/>
      <c r="BN84" s="101"/>
      <c r="BO84" s="101"/>
      <c r="BP84" s="101"/>
      <c r="BQ84" s="101"/>
      <c r="BR84" s="101"/>
      <c r="BS84" s="101"/>
      <c r="BT84" s="101"/>
      <c r="BU84" s="101"/>
      <c r="BV84" s="101"/>
      <c r="BW84" s="101"/>
      <c r="BX84" s="101"/>
      <c r="BY84" s="101"/>
      <c r="BZ84" s="101"/>
      <c r="CA84" s="101"/>
      <c r="CB84" s="101"/>
      <c r="CC84" s="101"/>
      <c r="CD84" s="101"/>
      <c r="CE84" s="101"/>
      <c r="CF84" s="101"/>
      <c r="CG84" s="101"/>
      <c r="CH84" s="101"/>
      <c r="CI84" s="101"/>
      <c r="CJ84" s="101"/>
      <c r="CK84" s="101"/>
      <c r="CL84" s="101"/>
      <c r="CM84" s="101"/>
      <c r="CN84" s="101"/>
      <c r="CO84" s="101"/>
      <c r="CP84" s="101"/>
      <c r="CQ84" s="101"/>
      <c r="CR84" s="101"/>
      <c r="CS84" s="101"/>
      <c r="CT84" s="101"/>
      <c r="CU84" s="101"/>
      <c r="CV84" s="101"/>
      <c r="CW84" s="101"/>
      <c r="CX84" s="101"/>
      <c r="CY84" s="101"/>
      <c r="CZ84" s="101"/>
      <c r="DA84" s="101"/>
      <c r="DB84" s="101"/>
      <c r="DC84" s="101"/>
      <c r="DD84" s="101"/>
      <c r="DE84" s="101"/>
      <c r="DF84" s="101"/>
      <c r="DG84" s="101"/>
      <c r="DH84" s="101"/>
      <c r="DI84" s="101"/>
      <c r="DJ84" s="101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1"/>
      <c r="DV84" s="101"/>
      <c r="DW84" s="101"/>
      <c r="DX84" s="101"/>
      <c r="DY84" s="101"/>
      <c r="DZ84" s="101"/>
      <c r="EA84" s="101"/>
      <c r="EB84" s="101"/>
      <c r="EC84" s="101"/>
      <c r="ED84" s="101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1"/>
      <c r="EP84" s="101"/>
      <c r="EQ84" s="101"/>
      <c r="ER84" s="101"/>
      <c r="ES84" s="101"/>
      <c r="ET84" s="101"/>
      <c r="EU84" s="101"/>
      <c r="EV84" s="101"/>
      <c r="EW84" s="101"/>
      <c r="EX84" s="101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1"/>
      <c r="FU84" s="101"/>
      <c r="FV84" s="101"/>
      <c r="FW84" s="101"/>
      <c r="FX84" s="101"/>
      <c r="FY84" s="101"/>
      <c r="FZ84" s="101"/>
      <c r="GA84" s="101"/>
      <c r="GB84" s="101"/>
      <c r="GC84" s="101"/>
      <c r="GD84" s="101"/>
      <c r="GE84" s="101"/>
      <c r="GF84" s="101"/>
      <c r="GG84" s="101"/>
      <c r="GH84" s="101"/>
      <c r="GI84" s="101"/>
      <c r="GJ84" s="101"/>
      <c r="GK84" s="101"/>
      <c r="GL84" s="101"/>
      <c r="GM84" s="101"/>
      <c r="GN84" s="101"/>
      <c r="GO84" s="101"/>
      <c r="GP84" s="101"/>
      <c r="GQ84" s="101"/>
      <c r="GR84" s="101"/>
      <c r="GS84" s="101"/>
      <c r="GT84" s="101"/>
      <c r="GU84" s="101"/>
      <c r="GV84" s="101"/>
      <c r="GW84" s="101"/>
      <c r="GX84" s="101"/>
      <c r="GY84" s="101"/>
      <c r="GZ84" s="101"/>
      <c r="HA84" s="101"/>
      <c r="HB84" s="101"/>
      <c r="HC84" s="101"/>
      <c r="HD84" s="101"/>
      <c r="HE84" s="101"/>
      <c r="HF84" s="101"/>
      <c r="HG84" s="101"/>
      <c r="HH84" s="101"/>
      <c r="HI84" s="101"/>
      <c r="HJ84" s="101"/>
      <c r="HK84" s="101"/>
      <c r="HL84" s="101"/>
      <c r="HM84" s="101"/>
      <c r="HN84" s="101"/>
      <c r="HO84" s="101"/>
      <c r="HP84" s="101"/>
      <c r="HQ84" s="101"/>
      <c r="HR84" s="101"/>
      <c r="HS84" s="101"/>
      <c r="HT84" s="101"/>
      <c r="HU84" s="101"/>
      <c r="HV84" s="101"/>
      <c r="HW84" s="101"/>
      <c r="HX84" s="101"/>
      <c r="HY84" s="101"/>
      <c r="HZ84" s="101"/>
      <c r="IA84" s="101"/>
      <c r="IB84" s="101"/>
      <c r="IC84" s="101"/>
      <c r="ID84" s="101"/>
      <c r="IE84" s="101"/>
      <c r="IF84" s="101"/>
      <c r="IG84" s="101"/>
      <c r="IH84" s="101"/>
      <c r="II84" s="101"/>
      <c r="IJ84" s="101"/>
      <c r="IK84" s="101"/>
      <c r="IL84" s="101"/>
      <c r="IM84" s="101"/>
      <c r="IN84" s="101"/>
      <c r="IO84" s="101"/>
      <c r="IP84" s="101"/>
      <c r="IQ84" s="101"/>
      <c r="IR84" s="101"/>
      <c r="IS84" s="101"/>
      <c r="IT84" s="101"/>
    </row>
    <row r="85" spans="1:254">
      <c r="A85" s="101"/>
      <c r="B85" s="101"/>
      <c r="C85" s="101"/>
      <c r="D85" s="101"/>
      <c r="F85" s="7"/>
      <c r="G85" s="7"/>
      <c r="H85" s="7"/>
      <c r="I85" s="7"/>
      <c r="J85" s="7"/>
      <c r="K85" s="7"/>
      <c r="L85" s="7"/>
      <c r="M85" s="52"/>
      <c r="N85" s="52"/>
      <c r="O85" s="7"/>
      <c r="P85" s="52"/>
      <c r="Q85" s="52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1"/>
      <c r="BZ85" s="101"/>
      <c r="CA85" s="101"/>
      <c r="CB85" s="101"/>
      <c r="CC85" s="101"/>
      <c r="CD85" s="101"/>
      <c r="CE85" s="101"/>
      <c r="CF85" s="101"/>
      <c r="CG85" s="101"/>
      <c r="CH85" s="101"/>
      <c r="CI85" s="101"/>
      <c r="CJ85" s="101"/>
      <c r="CK85" s="101"/>
      <c r="CL85" s="101"/>
      <c r="CM85" s="101"/>
      <c r="CN85" s="101"/>
      <c r="CO85" s="101"/>
      <c r="CP85" s="101"/>
      <c r="CQ85" s="101"/>
      <c r="CR85" s="101"/>
      <c r="CS85" s="101"/>
      <c r="CT85" s="101"/>
      <c r="CU85" s="101"/>
      <c r="CV85" s="101"/>
      <c r="CW85" s="101"/>
      <c r="CX85" s="101"/>
      <c r="CY85" s="101"/>
      <c r="CZ85" s="101"/>
      <c r="DA85" s="101"/>
      <c r="DB85" s="101"/>
      <c r="DC85" s="101"/>
      <c r="DD85" s="101"/>
      <c r="DE85" s="101"/>
      <c r="DF85" s="101"/>
      <c r="DG85" s="101"/>
      <c r="DH85" s="101"/>
      <c r="DI85" s="101"/>
      <c r="DJ85" s="101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1"/>
      <c r="DV85" s="101"/>
      <c r="DW85" s="101"/>
      <c r="DX85" s="101"/>
      <c r="DY85" s="101"/>
      <c r="DZ85" s="101"/>
      <c r="EA85" s="101"/>
      <c r="EB85" s="101"/>
      <c r="EC85" s="101"/>
      <c r="ED85" s="101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1"/>
      <c r="EP85" s="101"/>
      <c r="EQ85" s="101"/>
      <c r="ER85" s="101"/>
      <c r="ES85" s="101"/>
      <c r="ET85" s="101"/>
      <c r="EU85" s="101"/>
      <c r="EV85" s="101"/>
      <c r="EW85" s="101"/>
      <c r="EX85" s="101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1"/>
      <c r="FU85" s="101"/>
      <c r="FV85" s="101"/>
      <c r="FW85" s="101"/>
      <c r="FX85" s="101"/>
      <c r="FY85" s="101"/>
      <c r="FZ85" s="101"/>
      <c r="GA85" s="101"/>
      <c r="GB85" s="101"/>
      <c r="GC85" s="101"/>
      <c r="GD85" s="101"/>
      <c r="GE85" s="101"/>
      <c r="GF85" s="101"/>
      <c r="GG85" s="101"/>
      <c r="GH85" s="101"/>
      <c r="GI85" s="101"/>
      <c r="GJ85" s="101"/>
      <c r="GK85" s="101"/>
      <c r="GL85" s="101"/>
      <c r="GM85" s="101"/>
      <c r="GN85" s="101"/>
      <c r="GO85" s="101"/>
      <c r="GP85" s="101"/>
      <c r="GQ85" s="101"/>
      <c r="GR85" s="101"/>
      <c r="GS85" s="101"/>
      <c r="GT85" s="101"/>
      <c r="GU85" s="101"/>
      <c r="GV85" s="101"/>
      <c r="GW85" s="101"/>
      <c r="GX85" s="101"/>
      <c r="GY85" s="101"/>
      <c r="GZ85" s="101"/>
      <c r="HA85" s="101"/>
      <c r="HB85" s="101"/>
      <c r="HC85" s="101"/>
      <c r="HD85" s="101"/>
      <c r="HE85" s="101"/>
      <c r="HF85" s="101"/>
      <c r="HG85" s="101"/>
      <c r="HH85" s="101"/>
      <c r="HI85" s="101"/>
      <c r="HJ85" s="101"/>
      <c r="HK85" s="101"/>
      <c r="HL85" s="101"/>
      <c r="HM85" s="101"/>
      <c r="HN85" s="101"/>
      <c r="HO85" s="101"/>
      <c r="HP85" s="101"/>
      <c r="HQ85" s="101"/>
      <c r="HR85" s="101"/>
      <c r="HS85" s="101"/>
      <c r="HT85" s="101"/>
      <c r="HU85" s="101"/>
      <c r="HV85" s="101"/>
      <c r="HW85" s="101"/>
      <c r="HX85" s="101"/>
      <c r="HY85" s="101"/>
      <c r="HZ85" s="101"/>
      <c r="IA85" s="101"/>
      <c r="IB85" s="101"/>
      <c r="IC85" s="101"/>
      <c r="ID85" s="101"/>
      <c r="IE85" s="101"/>
      <c r="IF85" s="101"/>
      <c r="IG85" s="101"/>
      <c r="IH85" s="101"/>
      <c r="II85" s="101"/>
      <c r="IJ85" s="101"/>
      <c r="IK85" s="101"/>
      <c r="IL85" s="101"/>
      <c r="IM85" s="101"/>
      <c r="IN85" s="101"/>
      <c r="IO85" s="101"/>
      <c r="IP85" s="101"/>
      <c r="IQ85" s="101"/>
      <c r="IR85" s="101"/>
      <c r="IS85" s="101"/>
      <c r="IT85" s="101"/>
    </row>
    <row r="86" spans="1:254">
      <c r="A86" s="101"/>
      <c r="B86" s="101"/>
      <c r="C86" s="101"/>
      <c r="D86" s="101"/>
      <c r="F86" s="7"/>
      <c r="G86" s="7"/>
      <c r="H86" s="7"/>
      <c r="I86" s="7"/>
      <c r="J86" s="7"/>
      <c r="K86" s="7"/>
      <c r="L86" s="7"/>
      <c r="M86" s="52"/>
      <c r="N86" s="52"/>
      <c r="O86" s="7"/>
      <c r="P86" s="52"/>
      <c r="Q86" s="52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/>
      <c r="BK86" s="101"/>
      <c r="BL86" s="101"/>
      <c r="BM86" s="101"/>
      <c r="BN86" s="101"/>
      <c r="BO86" s="101"/>
      <c r="BP86" s="101"/>
      <c r="BQ86" s="101"/>
      <c r="BR86" s="101"/>
      <c r="BS86" s="101"/>
      <c r="BT86" s="101"/>
      <c r="BU86" s="101"/>
      <c r="BV86" s="101"/>
      <c r="BW86" s="101"/>
      <c r="BX86" s="101"/>
      <c r="BY86" s="101"/>
      <c r="BZ86" s="101"/>
      <c r="CA86" s="101"/>
      <c r="CB86" s="101"/>
      <c r="CC86" s="101"/>
      <c r="CD86" s="101"/>
      <c r="CE86" s="101"/>
      <c r="CF86" s="101"/>
      <c r="CG86" s="101"/>
      <c r="CH86" s="101"/>
      <c r="CI86" s="101"/>
      <c r="CJ86" s="101"/>
      <c r="CK86" s="101"/>
      <c r="CL86" s="101"/>
      <c r="CM86" s="101"/>
      <c r="CN86" s="101"/>
      <c r="CO86" s="101"/>
      <c r="CP86" s="101"/>
      <c r="CQ86" s="101"/>
      <c r="CR86" s="101"/>
      <c r="CS86" s="101"/>
      <c r="CT86" s="101"/>
      <c r="CU86" s="101"/>
      <c r="CV86" s="101"/>
      <c r="CW86" s="101"/>
      <c r="CX86" s="101"/>
      <c r="CY86" s="101"/>
      <c r="CZ86" s="101"/>
      <c r="DA86" s="101"/>
      <c r="DB86" s="101"/>
      <c r="DC86" s="101"/>
      <c r="DD86" s="101"/>
      <c r="DE86" s="101"/>
      <c r="DF86" s="101"/>
      <c r="DG86" s="101"/>
      <c r="DH86" s="101"/>
      <c r="DI86" s="101"/>
      <c r="DJ86" s="101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1"/>
      <c r="DV86" s="101"/>
      <c r="DW86" s="101"/>
      <c r="DX86" s="101"/>
      <c r="DY86" s="101"/>
      <c r="DZ86" s="101"/>
      <c r="EA86" s="101"/>
      <c r="EB86" s="101"/>
      <c r="EC86" s="101"/>
      <c r="ED86" s="101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1"/>
      <c r="EP86" s="101"/>
      <c r="EQ86" s="101"/>
      <c r="ER86" s="101"/>
      <c r="ES86" s="101"/>
      <c r="ET86" s="101"/>
      <c r="EU86" s="101"/>
      <c r="EV86" s="101"/>
      <c r="EW86" s="101"/>
      <c r="EX86" s="101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1"/>
      <c r="FU86" s="101"/>
      <c r="FV86" s="101"/>
      <c r="FW86" s="101"/>
      <c r="FX86" s="101"/>
      <c r="FY86" s="101"/>
      <c r="FZ86" s="101"/>
      <c r="GA86" s="101"/>
      <c r="GB86" s="101"/>
      <c r="GC86" s="101"/>
      <c r="GD86" s="101"/>
      <c r="GE86" s="101"/>
      <c r="GF86" s="101"/>
      <c r="GG86" s="101"/>
      <c r="GH86" s="101"/>
      <c r="GI86" s="101"/>
      <c r="GJ86" s="101"/>
      <c r="GK86" s="101"/>
      <c r="GL86" s="101"/>
      <c r="GM86" s="101"/>
      <c r="GN86" s="101"/>
      <c r="GO86" s="101"/>
      <c r="GP86" s="101"/>
      <c r="GQ86" s="101"/>
      <c r="GR86" s="101"/>
      <c r="GS86" s="101"/>
      <c r="GT86" s="101"/>
      <c r="GU86" s="101"/>
      <c r="GV86" s="101"/>
      <c r="GW86" s="101"/>
      <c r="GX86" s="101"/>
      <c r="GY86" s="101"/>
      <c r="GZ86" s="101"/>
      <c r="HA86" s="101"/>
      <c r="HB86" s="101"/>
      <c r="HC86" s="101"/>
      <c r="HD86" s="101"/>
      <c r="HE86" s="101"/>
      <c r="HF86" s="101"/>
      <c r="HG86" s="101"/>
      <c r="HH86" s="101"/>
      <c r="HI86" s="101"/>
      <c r="HJ86" s="101"/>
      <c r="HK86" s="101"/>
      <c r="HL86" s="101"/>
      <c r="HM86" s="101"/>
      <c r="HN86" s="101"/>
      <c r="HO86" s="101"/>
      <c r="HP86" s="101"/>
      <c r="HQ86" s="101"/>
      <c r="HR86" s="101"/>
      <c r="HS86" s="101"/>
      <c r="HT86" s="101"/>
      <c r="HU86" s="101"/>
      <c r="HV86" s="101"/>
      <c r="HW86" s="101"/>
      <c r="HX86" s="101"/>
      <c r="HY86" s="101"/>
      <c r="HZ86" s="101"/>
      <c r="IA86" s="101"/>
      <c r="IB86" s="101"/>
      <c r="IC86" s="101"/>
      <c r="ID86" s="101"/>
      <c r="IE86" s="101"/>
      <c r="IF86" s="101"/>
      <c r="IG86" s="101"/>
      <c r="IH86" s="101"/>
      <c r="II86" s="101"/>
      <c r="IJ86" s="101"/>
      <c r="IK86" s="101"/>
      <c r="IL86" s="101"/>
      <c r="IM86" s="101"/>
      <c r="IN86" s="101"/>
      <c r="IO86" s="101"/>
      <c r="IP86" s="101"/>
      <c r="IQ86" s="101"/>
      <c r="IR86" s="101"/>
      <c r="IS86" s="101"/>
      <c r="IT86" s="101"/>
    </row>
    <row r="87" spans="1:254">
      <c r="A87" s="101"/>
      <c r="B87" s="101"/>
      <c r="C87" s="101"/>
      <c r="D87" s="101"/>
      <c r="F87" s="7"/>
      <c r="G87" s="7"/>
      <c r="H87" s="7"/>
      <c r="I87" s="7"/>
      <c r="J87" s="7"/>
      <c r="K87" s="7"/>
      <c r="L87" s="7"/>
      <c r="M87" s="52"/>
      <c r="N87" s="52"/>
      <c r="O87" s="7"/>
      <c r="P87" s="52"/>
      <c r="Q87" s="52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01"/>
      <c r="CD87" s="101"/>
      <c r="CE87" s="101"/>
      <c r="CF87" s="101"/>
      <c r="CG87" s="101"/>
      <c r="CH87" s="101"/>
      <c r="CI87" s="101"/>
      <c r="CJ87" s="101"/>
      <c r="CK87" s="101"/>
      <c r="CL87" s="101"/>
      <c r="CM87" s="101"/>
      <c r="CN87" s="101"/>
      <c r="CO87" s="101"/>
      <c r="CP87" s="101"/>
      <c r="CQ87" s="101"/>
      <c r="CR87" s="101"/>
      <c r="CS87" s="101"/>
      <c r="CT87" s="101"/>
      <c r="CU87" s="101"/>
      <c r="CV87" s="101"/>
      <c r="CW87" s="101"/>
      <c r="CX87" s="101"/>
      <c r="CY87" s="101"/>
      <c r="CZ87" s="101"/>
      <c r="DA87" s="101"/>
      <c r="DB87" s="101"/>
      <c r="DC87" s="101"/>
      <c r="DD87" s="101"/>
      <c r="DE87" s="101"/>
      <c r="DF87" s="101"/>
      <c r="DG87" s="101"/>
      <c r="DH87" s="101"/>
      <c r="DI87" s="101"/>
      <c r="DJ87" s="101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1"/>
      <c r="DV87" s="101"/>
      <c r="DW87" s="101"/>
      <c r="DX87" s="101"/>
      <c r="DY87" s="101"/>
      <c r="DZ87" s="101"/>
      <c r="EA87" s="101"/>
      <c r="EB87" s="101"/>
      <c r="EC87" s="101"/>
      <c r="ED87" s="101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1"/>
      <c r="EP87" s="101"/>
      <c r="EQ87" s="101"/>
      <c r="ER87" s="101"/>
      <c r="ES87" s="101"/>
      <c r="ET87" s="101"/>
      <c r="EU87" s="101"/>
      <c r="EV87" s="101"/>
      <c r="EW87" s="101"/>
      <c r="EX87" s="101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1"/>
      <c r="FU87" s="101"/>
      <c r="FV87" s="101"/>
      <c r="FW87" s="101"/>
      <c r="FX87" s="101"/>
      <c r="FY87" s="101"/>
      <c r="FZ87" s="101"/>
      <c r="GA87" s="101"/>
      <c r="GB87" s="101"/>
      <c r="GC87" s="101"/>
      <c r="GD87" s="101"/>
      <c r="GE87" s="101"/>
      <c r="GF87" s="101"/>
      <c r="GG87" s="101"/>
      <c r="GH87" s="101"/>
      <c r="GI87" s="101"/>
      <c r="GJ87" s="101"/>
      <c r="GK87" s="101"/>
      <c r="GL87" s="101"/>
      <c r="GM87" s="101"/>
      <c r="GN87" s="101"/>
      <c r="GO87" s="101"/>
      <c r="GP87" s="101"/>
      <c r="GQ87" s="101"/>
      <c r="GR87" s="101"/>
      <c r="GS87" s="101"/>
      <c r="GT87" s="101"/>
      <c r="GU87" s="101"/>
      <c r="GV87" s="101"/>
      <c r="GW87" s="101"/>
      <c r="GX87" s="101"/>
      <c r="GY87" s="101"/>
      <c r="GZ87" s="101"/>
      <c r="HA87" s="101"/>
      <c r="HB87" s="101"/>
      <c r="HC87" s="101"/>
      <c r="HD87" s="101"/>
      <c r="HE87" s="101"/>
      <c r="HF87" s="101"/>
      <c r="HG87" s="101"/>
      <c r="HH87" s="101"/>
      <c r="HI87" s="101"/>
      <c r="HJ87" s="101"/>
      <c r="HK87" s="101"/>
      <c r="HL87" s="101"/>
      <c r="HM87" s="101"/>
      <c r="HN87" s="101"/>
      <c r="HO87" s="101"/>
      <c r="HP87" s="101"/>
      <c r="HQ87" s="101"/>
      <c r="HR87" s="101"/>
      <c r="HS87" s="101"/>
      <c r="HT87" s="101"/>
      <c r="HU87" s="101"/>
      <c r="HV87" s="101"/>
      <c r="HW87" s="101"/>
      <c r="HX87" s="101"/>
      <c r="HY87" s="101"/>
      <c r="HZ87" s="101"/>
      <c r="IA87" s="101"/>
      <c r="IB87" s="101"/>
      <c r="IC87" s="101"/>
      <c r="ID87" s="101"/>
      <c r="IE87" s="101"/>
      <c r="IF87" s="101"/>
      <c r="IG87" s="101"/>
      <c r="IH87" s="101"/>
      <c r="II87" s="101"/>
      <c r="IJ87" s="101"/>
      <c r="IK87" s="101"/>
      <c r="IL87" s="101"/>
      <c r="IM87" s="101"/>
      <c r="IN87" s="101"/>
      <c r="IO87" s="101"/>
      <c r="IP87" s="101"/>
      <c r="IQ87" s="101"/>
      <c r="IR87" s="101"/>
      <c r="IS87" s="101"/>
      <c r="IT87" s="101"/>
    </row>
    <row r="88" spans="1:254">
      <c r="A88" s="101"/>
      <c r="B88" s="101"/>
      <c r="C88" s="101"/>
      <c r="D88" s="101"/>
      <c r="F88" s="7"/>
      <c r="G88" s="7"/>
      <c r="H88" s="7"/>
      <c r="I88" s="7"/>
      <c r="J88" s="7"/>
      <c r="K88" s="7"/>
      <c r="L88" s="7"/>
      <c r="M88" s="52"/>
      <c r="N88" s="52"/>
      <c r="O88" s="7"/>
      <c r="P88" s="52"/>
      <c r="Q88" s="52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1"/>
      <c r="BZ88" s="101"/>
      <c r="CA88" s="101"/>
      <c r="CB88" s="101"/>
      <c r="CC88" s="101"/>
      <c r="CD88" s="101"/>
      <c r="CE88" s="101"/>
      <c r="CF88" s="101"/>
      <c r="CG88" s="101"/>
      <c r="CH88" s="101"/>
      <c r="CI88" s="101"/>
      <c r="CJ88" s="101"/>
      <c r="CK88" s="101"/>
      <c r="CL88" s="101"/>
      <c r="CM88" s="101"/>
      <c r="CN88" s="101"/>
      <c r="CO88" s="101"/>
      <c r="CP88" s="101"/>
      <c r="CQ88" s="101"/>
      <c r="CR88" s="101"/>
      <c r="CS88" s="101"/>
      <c r="CT88" s="101"/>
      <c r="CU88" s="101"/>
      <c r="CV88" s="101"/>
      <c r="CW88" s="101"/>
      <c r="CX88" s="101"/>
      <c r="CY88" s="101"/>
      <c r="CZ88" s="101"/>
      <c r="DA88" s="101"/>
      <c r="DB88" s="101"/>
      <c r="DC88" s="101"/>
      <c r="DD88" s="101"/>
      <c r="DE88" s="101"/>
      <c r="DF88" s="101"/>
      <c r="DG88" s="101"/>
      <c r="DH88" s="101"/>
      <c r="DI88" s="101"/>
      <c r="DJ88" s="101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1"/>
      <c r="DV88" s="101"/>
      <c r="DW88" s="101"/>
      <c r="DX88" s="101"/>
      <c r="DY88" s="101"/>
      <c r="DZ88" s="101"/>
      <c r="EA88" s="101"/>
      <c r="EB88" s="101"/>
      <c r="EC88" s="101"/>
      <c r="ED88" s="101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1"/>
      <c r="EP88" s="101"/>
      <c r="EQ88" s="101"/>
      <c r="ER88" s="101"/>
      <c r="ES88" s="101"/>
      <c r="ET88" s="101"/>
      <c r="EU88" s="101"/>
      <c r="EV88" s="101"/>
      <c r="EW88" s="101"/>
      <c r="EX88" s="101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1"/>
      <c r="FU88" s="101"/>
      <c r="FV88" s="101"/>
      <c r="FW88" s="101"/>
      <c r="FX88" s="101"/>
      <c r="FY88" s="101"/>
      <c r="FZ88" s="101"/>
      <c r="GA88" s="101"/>
      <c r="GB88" s="101"/>
      <c r="GC88" s="101"/>
      <c r="GD88" s="101"/>
      <c r="GE88" s="101"/>
      <c r="GF88" s="101"/>
      <c r="GG88" s="101"/>
      <c r="GH88" s="101"/>
      <c r="GI88" s="101"/>
      <c r="GJ88" s="101"/>
      <c r="GK88" s="101"/>
      <c r="GL88" s="101"/>
      <c r="GM88" s="101"/>
      <c r="GN88" s="101"/>
      <c r="GO88" s="101"/>
      <c r="GP88" s="101"/>
      <c r="GQ88" s="101"/>
      <c r="GR88" s="101"/>
      <c r="GS88" s="101"/>
      <c r="GT88" s="101"/>
      <c r="GU88" s="101"/>
      <c r="GV88" s="101"/>
      <c r="GW88" s="101"/>
      <c r="GX88" s="101"/>
      <c r="GY88" s="101"/>
      <c r="GZ88" s="101"/>
      <c r="HA88" s="101"/>
      <c r="HB88" s="101"/>
      <c r="HC88" s="101"/>
      <c r="HD88" s="101"/>
      <c r="HE88" s="101"/>
      <c r="HF88" s="101"/>
      <c r="HG88" s="101"/>
      <c r="HH88" s="101"/>
      <c r="HI88" s="101"/>
      <c r="HJ88" s="101"/>
      <c r="HK88" s="101"/>
      <c r="HL88" s="101"/>
      <c r="HM88" s="101"/>
      <c r="HN88" s="101"/>
      <c r="HO88" s="101"/>
      <c r="HP88" s="101"/>
      <c r="HQ88" s="101"/>
      <c r="HR88" s="101"/>
      <c r="HS88" s="101"/>
      <c r="HT88" s="101"/>
      <c r="HU88" s="101"/>
      <c r="HV88" s="101"/>
      <c r="HW88" s="101"/>
      <c r="HX88" s="101"/>
      <c r="HY88" s="101"/>
      <c r="HZ88" s="101"/>
      <c r="IA88" s="101"/>
      <c r="IB88" s="101"/>
      <c r="IC88" s="101"/>
      <c r="ID88" s="101"/>
      <c r="IE88" s="101"/>
      <c r="IF88" s="101"/>
      <c r="IG88" s="101"/>
      <c r="IH88" s="101"/>
      <c r="II88" s="101"/>
      <c r="IJ88" s="101"/>
      <c r="IK88" s="101"/>
      <c r="IL88" s="101"/>
      <c r="IM88" s="101"/>
      <c r="IN88" s="101"/>
      <c r="IO88" s="101"/>
      <c r="IP88" s="101"/>
      <c r="IQ88" s="101"/>
      <c r="IR88" s="101"/>
      <c r="IS88" s="101"/>
      <c r="IT88" s="101"/>
    </row>
    <row r="89" spans="1:254">
      <c r="A89" s="101"/>
      <c r="B89" s="101"/>
      <c r="C89" s="101"/>
      <c r="D89" s="101"/>
      <c r="F89" s="7"/>
      <c r="G89" s="7"/>
      <c r="H89" s="7"/>
      <c r="I89" s="7"/>
      <c r="J89" s="7"/>
      <c r="K89" s="7"/>
      <c r="L89" s="7"/>
      <c r="M89" s="52"/>
      <c r="N89" s="52"/>
      <c r="O89" s="7"/>
      <c r="P89" s="52"/>
      <c r="Q89" s="52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1"/>
      <c r="BD89" s="101"/>
      <c r="BE89" s="101"/>
      <c r="BF89" s="101"/>
      <c r="BG89" s="101"/>
      <c r="BH89" s="101"/>
      <c r="BI89" s="101"/>
      <c r="BJ89" s="101"/>
      <c r="BK89" s="101"/>
      <c r="BL89" s="101"/>
      <c r="BM89" s="101"/>
      <c r="BN89" s="101"/>
      <c r="BO89" s="101"/>
      <c r="BP89" s="101"/>
      <c r="BQ89" s="101"/>
      <c r="BR89" s="101"/>
      <c r="BS89" s="101"/>
      <c r="BT89" s="101"/>
      <c r="BU89" s="101"/>
      <c r="BV89" s="101"/>
      <c r="BW89" s="101"/>
      <c r="BX89" s="101"/>
      <c r="BY89" s="101"/>
      <c r="BZ89" s="101"/>
      <c r="CA89" s="101"/>
      <c r="CB89" s="101"/>
      <c r="CC89" s="101"/>
      <c r="CD89" s="101"/>
      <c r="CE89" s="101"/>
      <c r="CF89" s="101"/>
      <c r="CG89" s="101"/>
      <c r="CH89" s="101"/>
      <c r="CI89" s="101"/>
      <c r="CJ89" s="101"/>
      <c r="CK89" s="101"/>
      <c r="CL89" s="101"/>
      <c r="CM89" s="101"/>
      <c r="CN89" s="101"/>
      <c r="CO89" s="101"/>
      <c r="CP89" s="101"/>
      <c r="CQ89" s="101"/>
      <c r="CR89" s="101"/>
      <c r="CS89" s="101"/>
      <c r="CT89" s="101"/>
      <c r="CU89" s="101"/>
      <c r="CV89" s="101"/>
      <c r="CW89" s="101"/>
      <c r="CX89" s="101"/>
      <c r="CY89" s="101"/>
      <c r="CZ89" s="101"/>
      <c r="DA89" s="101"/>
      <c r="DB89" s="101"/>
      <c r="DC89" s="101"/>
      <c r="DD89" s="101"/>
      <c r="DE89" s="101"/>
      <c r="DF89" s="101"/>
      <c r="DG89" s="101"/>
      <c r="DH89" s="101"/>
      <c r="DI89" s="101"/>
      <c r="DJ89" s="101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1"/>
      <c r="DV89" s="101"/>
      <c r="DW89" s="101"/>
      <c r="DX89" s="101"/>
      <c r="DY89" s="101"/>
      <c r="DZ89" s="101"/>
      <c r="EA89" s="101"/>
      <c r="EB89" s="101"/>
      <c r="EC89" s="101"/>
      <c r="ED89" s="101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1"/>
      <c r="EP89" s="101"/>
      <c r="EQ89" s="101"/>
      <c r="ER89" s="101"/>
      <c r="ES89" s="101"/>
      <c r="ET89" s="101"/>
      <c r="EU89" s="101"/>
      <c r="EV89" s="101"/>
      <c r="EW89" s="101"/>
      <c r="EX89" s="101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1"/>
      <c r="FU89" s="101"/>
      <c r="FV89" s="101"/>
      <c r="FW89" s="101"/>
      <c r="FX89" s="101"/>
      <c r="FY89" s="101"/>
      <c r="FZ89" s="101"/>
      <c r="GA89" s="101"/>
      <c r="GB89" s="101"/>
      <c r="GC89" s="101"/>
      <c r="GD89" s="101"/>
      <c r="GE89" s="101"/>
      <c r="GF89" s="101"/>
      <c r="GG89" s="101"/>
      <c r="GH89" s="101"/>
      <c r="GI89" s="101"/>
      <c r="GJ89" s="101"/>
      <c r="GK89" s="101"/>
      <c r="GL89" s="101"/>
      <c r="GM89" s="101"/>
      <c r="GN89" s="101"/>
      <c r="GO89" s="101"/>
      <c r="GP89" s="101"/>
      <c r="GQ89" s="101"/>
      <c r="GR89" s="101"/>
      <c r="GS89" s="101"/>
      <c r="GT89" s="101"/>
      <c r="GU89" s="101"/>
      <c r="GV89" s="101"/>
      <c r="GW89" s="101"/>
      <c r="GX89" s="101"/>
      <c r="GY89" s="101"/>
      <c r="GZ89" s="101"/>
      <c r="HA89" s="101"/>
      <c r="HB89" s="101"/>
      <c r="HC89" s="101"/>
      <c r="HD89" s="101"/>
      <c r="HE89" s="101"/>
      <c r="HF89" s="101"/>
      <c r="HG89" s="101"/>
      <c r="HH89" s="101"/>
      <c r="HI89" s="101"/>
      <c r="HJ89" s="101"/>
      <c r="HK89" s="101"/>
      <c r="HL89" s="101"/>
      <c r="HM89" s="101"/>
      <c r="HN89" s="101"/>
      <c r="HO89" s="101"/>
      <c r="HP89" s="101"/>
      <c r="HQ89" s="101"/>
      <c r="HR89" s="101"/>
      <c r="HS89" s="101"/>
      <c r="HT89" s="101"/>
      <c r="HU89" s="101"/>
      <c r="HV89" s="101"/>
      <c r="HW89" s="101"/>
      <c r="HX89" s="101"/>
      <c r="HY89" s="101"/>
      <c r="HZ89" s="101"/>
      <c r="IA89" s="101"/>
      <c r="IB89" s="101"/>
      <c r="IC89" s="101"/>
      <c r="ID89" s="101"/>
      <c r="IE89" s="101"/>
      <c r="IF89" s="101"/>
      <c r="IG89" s="101"/>
      <c r="IH89" s="101"/>
      <c r="II89" s="101"/>
      <c r="IJ89" s="101"/>
      <c r="IK89" s="101"/>
      <c r="IL89" s="101"/>
      <c r="IM89" s="101"/>
      <c r="IN89" s="101"/>
      <c r="IO89" s="101"/>
      <c r="IP89" s="101"/>
      <c r="IQ89" s="101"/>
      <c r="IR89" s="101"/>
      <c r="IS89" s="101"/>
      <c r="IT89" s="101"/>
    </row>
    <row r="90" spans="1:254">
      <c r="A90" s="101"/>
      <c r="B90" s="101"/>
      <c r="C90" s="101"/>
      <c r="D90" s="101"/>
      <c r="F90" s="7"/>
      <c r="G90" s="7"/>
      <c r="H90" s="7"/>
      <c r="I90" s="7"/>
      <c r="J90" s="7"/>
      <c r="K90" s="7"/>
      <c r="L90" s="7"/>
      <c r="M90" s="52"/>
      <c r="N90" s="52"/>
      <c r="O90" s="7"/>
      <c r="P90" s="52"/>
      <c r="Q90" s="52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1"/>
      <c r="BD90" s="101"/>
      <c r="BE90" s="101"/>
      <c r="BF90" s="101"/>
      <c r="BG90" s="101"/>
      <c r="BH90" s="101"/>
      <c r="BI90" s="101"/>
      <c r="BJ90" s="101"/>
      <c r="BK90" s="101"/>
      <c r="BL90" s="101"/>
      <c r="BM90" s="101"/>
      <c r="BN90" s="101"/>
      <c r="BO90" s="101"/>
      <c r="BP90" s="101"/>
      <c r="BQ90" s="101"/>
      <c r="BR90" s="101"/>
      <c r="BS90" s="101"/>
      <c r="BT90" s="101"/>
      <c r="BU90" s="101"/>
      <c r="BV90" s="101"/>
      <c r="BW90" s="101"/>
      <c r="BX90" s="101"/>
      <c r="BY90" s="101"/>
      <c r="BZ90" s="101"/>
      <c r="CA90" s="101"/>
      <c r="CB90" s="101"/>
      <c r="CC90" s="101"/>
      <c r="CD90" s="101"/>
      <c r="CE90" s="101"/>
      <c r="CF90" s="101"/>
      <c r="CG90" s="101"/>
      <c r="CH90" s="101"/>
      <c r="CI90" s="101"/>
      <c r="CJ90" s="101"/>
      <c r="CK90" s="101"/>
      <c r="CL90" s="101"/>
      <c r="CM90" s="101"/>
      <c r="CN90" s="101"/>
      <c r="CO90" s="101"/>
      <c r="CP90" s="101"/>
      <c r="CQ90" s="101"/>
      <c r="CR90" s="101"/>
      <c r="CS90" s="101"/>
      <c r="CT90" s="101"/>
      <c r="CU90" s="101"/>
      <c r="CV90" s="101"/>
      <c r="CW90" s="101"/>
      <c r="CX90" s="101"/>
      <c r="CY90" s="101"/>
      <c r="CZ90" s="101"/>
      <c r="DA90" s="101"/>
      <c r="DB90" s="101"/>
      <c r="DC90" s="101"/>
      <c r="DD90" s="101"/>
      <c r="DE90" s="101"/>
      <c r="DF90" s="101"/>
      <c r="DG90" s="101"/>
      <c r="DH90" s="101"/>
      <c r="DI90" s="101"/>
      <c r="DJ90" s="101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1"/>
      <c r="DV90" s="101"/>
      <c r="DW90" s="101"/>
      <c r="DX90" s="101"/>
      <c r="DY90" s="101"/>
      <c r="DZ90" s="101"/>
      <c r="EA90" s="101"/>
      <c r="EB90" s="101"/>
      <c r="EC90" s="101"/>
      <c r="ED90" s="101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1"/>
      <c r="EP90" s="101"/>
      <c r="EQ90" s="101"/>
      <c r="ER90" s="101"/>
      <c r="ES90" s="101"/>
      <c r="ET90" s="101"/>
      <c r="EU90" s="101"/>
      <c r="EV90" s="101"/>
      <c r="EW90" s="101"/>
      <c r="EX90" s="101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1"/>
      <c r="FU90" s="101"/>
      <c r="FV90" s="101"/>
      <c r="FW90" s="101"/>
      <c r="FX90" s="101"/>
      <c r="FY90" s="101"/>
      <c r="FZ90" s="101"/>
      <c r="GA90" s="101"/>
      <c r="GB90" s="101"/>
      <c r="GC90" s="101"/>
      <c r="GD90" s="101"/>
      <c r="GE90" s="101"/>
      <c r="GF90" s="101"/>
      <c r="GG90" s="101"/>
      <c r="GH90" s="101"/>
      <c r="GI90" s="101"/>
      <c r="GJ90" s="101"/>
      <c r="GK90" s="101"/>
      <c r="GL90" s="101"/>
      <c r="GM90" s="101"/>
      <c r="GN90" s="101"/>
      <c r="GO90" s="101"/>
      <c r="GP90" s="101"/>
      <c r="GQ90" s="101"/>
      <c r="GR90" s="101"/>
      <c r="GS90" s="101"/>
      <c r="GT90" s="101"/>
      <c r="GU90" s="101"/>
      <c r="GV90" s="101"/>
      <c r="GW90" s="101"/>
      <c r="GX90" s="101"/>
      <c r="GY90" s="101"/>
      <c r="GZ90" s="101"/>
      <c r="HA90" s="101"/>
      <c r="HB90" s="101"/>
      <c r="HC90" s="101"/>
      <c r="HD90" s="101"/>
      <c r="HE90" s="101"/>
      <c r="HF90" s="101"/>
      <c r="HG90" s="101"/>
      <c r="HH90" s="101"/>
      <c r="HI90" s="101"/>
      <c r="HJ90" s="101"/>
      <c r="HK90" s="101"/>
      <c r="HL90" s="101"/>
      <c r="HM90" s="101"/>
      <c r="HN90" s="101"/>
      <c r="HO90" s="101"/>
      <c r="HP90" s="101"/>
      <c r="HQ90" s="101"/>
      <c r="HR90" s="101"/>
      <c r="HS90" s="101"/>
      <c r="HT90" s="101"/>
      <c r="HU90" s="101"/>
      <c r="HV90" s="101"/>
      <c r="HW90" s="101"/>
      <c r="HX90" s="101"/>
      <c r="HY90" s="101"/>
      <c r="HZ90" s="101"/>
      <c r="IA90" s="101"/>
      <c r="IB90" s="101"/>
      <c r="IC90" s="101"/>
      <c r="ID90" s="101"/>
      <c r="IE90" s="101"/>
      <c r="IF90" s="101"/>
      <c r="IG90" s="101"/>
      <c r="IH90" s="101"/>
      <c r="II90" s="101"/>
      <c r="IJ90" s="101"/>
      <c r="IK90" s="101"/>
      <c r="IL90" s="101"/>
      <c r="IM90" s="101"/>
      <c r="IN90" s="101"/>
      <c r="IO90" s="101"/>
      <c r="IP90" s="101"/>
      <c r="IQ90" s="101"/>
      <c r="IR90" s="101"/>
      <c r="IS90" s="101"/>
      <c r="IT90" s="101"/>
    </row>
    <row r="91" spans="1:254">
      <c r="A91" s="101"/>
      <c r="B91" s="101"/>
      <c r="C91" s="101"/>
      <c r="D91" s="101"/>
      <c r="F91" s="7"/>
      <c r="G91" s="7"/>
      <c r="H91" s="7"/>
      <c r="I91" s="7"/>
      <c r="J91" s="7"/>
      <c r="K91" s="7"/>
      <c r="L91" s="7"/>
      <c r="M91" s="52"/>
      <c r="N91" s="52"/>
      <c r="O91" s="7"/>
      <c r="P91" s="52"/>
      <c r="Q91" s="52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1"/>
      <c r="BD91" s="101"/>
      <c r="BE91" s="101"/>
      <c r="BF91" s="101"/>
      <c r="BG91" s="101"/>
      <c r="BH91" s="101"/>
      <c r="BI91" s="101"/>
      <c r="BJ91" s="101"/>
      <c r="BK91" s="101"/>
      <c r="BL91" s="101"/>
      <c r="BM91" s="101"/>
      <c r="BN91" s="101"/>
      <c r="BO91" s="101"/>
      <c r="BP91" s="101"/>
      <c r="BQ91" s="101"/>
      <c r="BR91" s="101"/>
      <c r="BS91" s="101"/>
      <c r="BT91" s="101"/>
      <c r="BU91" s="101"/>
      <c r="BV91" s="101"/>
      <c r="BW91" s="101"/>
      <c r="BX91" s="101"/>
      <c r="BY91" s="101"/>
      <c r="BZ91" s="101"/>
      <c r="CA91" s="101"/>
      <c r="CB91" s="101"/>
      <c r="CC91" s="101"/>
      <c r="CD91" s="101"/>
      <c r="CE91" s="101"/>
      <c r="CF91" s="101"/>
      <c r="CG91" s="101"/>
      <c r="CH91" s="101"/>
      <c r="CI91" s="101"/>
      <c r="CJ91" s="101"/>
      <c r="CK91" s="101"/>
      <c r="CL91" s="101"/>
      <c r="CM91" s="101"/>
      <c r="CN91" s="101"/>
      <c r="CO91" s="101"/>
      <c r="CP91" s="101"/>
      <c r="CQ91" s="101"/>
      <c r="CR91" s="101"/>
      <c r="CS91" s="101"/>
      <c r="CT91" s="101"/>
      <c r="CU91" s="101"/>
      <c r="CV91" s="101"/>
      <c r="CW91" s="101"/>
      <c r="CX91" s="101"/>
      <c r="CY91" s="101"/>
      <c r="CZ91" s="101"/>
      <c r="DA91" s="101"/>
      <c r="DB91" s="101"/>
      <c r="DC91" s="101"/>
      <c r="DD91" s="101"/>
      <c r="DE91" s="101"/>
      <c r="DF91" s="101"/>
      <c r="DG91" s="101"/>
      <c r="DH91" s="101"/>
      <c r="DI91" s="101"/>
      <c r="DJ91" s="101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1"/>
      <c r="DV91" s="101"/>
      <c r="DW91" s="101"/>
      <c r="DX91" s="101"/>
      <c r="DY91" s="101"/>
      <c r="DZ91" s="101"/>
      <c r="EA91" s="101"/>
      <c r="EB91" s="101"/>
      <c r="EC91" s="101"/>
      <c r="ED91" s="101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1"/>
      <c r="EP91" s="101"/>
      <c r="EQ91" s="101"/>
      <c r="ER91" s="101"/>
      <c r="ES91" s="101"/>
      <c r="ET91" s="101"/>
      <c r="EU91" s="101"/>
      <c r="EV91" s="101"/>
      <c r="EW91" s="101"/>
      <c r="EX91" s="101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1"/>
      <c r="FU91" s="101"/>
      <c r="FV91" s="101"/>
      <c r="FW91" s="101"/>
      <c r="FX91" s="101"/>
      <c r="FY91" s="101"/>
      <c r="FZ91" s="101"/>
      <c r="GA91" s="101"/>
      <c r="GB91" s="101"/>
      <c r="GC91" s="101"/>
      <c r="GD91" s="101"/>
      <c r="GE91" s="101"/>
      <c r="GF91" s="101"/>
      <c r="GG91" s="101"/>
      <c r="GH91" s="101"/>
      <c r="GI91" s="101"/>
      <c r="GJ91" s="101"/>
      <c r="GK91" s="101"/>
      <c r="GL91" s="101"/>
      <c r="GM91" s="101"/>
      <c r="GN91" s="101"/>
      <c r="GO91" s="101"/>
      <c r="GP91" s="101"/>
      <c r="GQ91" s="101"/>
      <c r="GR91" s="101"/>
      <c r="GS91" s="101"/>
      <c r="GT91" s="101"/>
      <c r="GU91" s="101"/>
      <c r="GV91" s="101"/>
      <c r="GW91" s="101"/>
      <c r="GX91" s="101"/>
      <c r="GY91" s="101"/>
      <c r="GZ91" s="101"/>
      <c r="HA91" s="101"/>
      <c r="HB91" s="101"/>
      <c r="HC91" s="101"/>
      <c r="HD91" s="101"/>
      <c r="HE91" s="101"/>
      <c r="HF91" s="101"/>
      <c r="HG91" s="101"/>
      <c r="HH91" s="101"/>
      <c r="HI91" s="101"/>
      <c r="HJ91" s="101"/>
      <c r="HK91" s="101"/>
      <c r="HL91" s="101"/>
      <c r="HM91" s="101"/>
      <c r="HN91" s="101"/>
      <c r="HO91" s="101"/>
      <c r="HP91" s="101"/>
      <c r="HQ91" s="101"/>
      <c r="HR91" s="101"/>
      <c r="HS91" s="101"/>
      <c r="HT91" s="101"/>
      <c r="HU91" s="101"/>
      <c r="HV91" s="101"/>
      <c r="HW91" s="101"/>
      <c r="HX91" s="101"/>
      <c r="HY91" s="101"/>
      <c r="HZ91" s="101"/>
      <c r="IA91" s="101"/>
      <c r="IB91" s="101"/>
      <c r="IC91" s="101"/>
      <c r="ID91" s="101"/>
      <c r="IE91" s="101"/>
      <c r="IF91" s="101"/>
      <c r="IG91" s="101"/>
      <c r="IH91" s="101"/>
      <c r="II91" s="101"/>
      <c r="IJ91" s="101"/>
      <c r="IK91" s="101"/>
      <c r="IL91" s="101"/>
      <c r="IM91" s="101"/>
      <c r="IN91" s="101"/>
      <c r="IO91" s="101"/>
      <c r="IP91" s="101"/>
      <c r="IQ91" s="101"/>
      <c r="IR91" s="101"/>
      <c r="IS91" s="101"/>
      <c r="IT91" s="101"/>
    </row>
    <row r="92" spans="1:254">
      <c r="A92" s="101"/>
      <c r="B92" s="101"/>
      <c r="C92" s="101"/>
      <c r="D92" s="101"/>
      <c r="F92" s="7"/>
      <c r="G92" s="7"/>
      <c r="H92" s="7"/>
      <c r="I92" s="7"/>
      <c r="J92" s="7"/>
      <c r="K92" s="7"/>
      <c r="L92" s="7"/>
      <c r="M92" s="52"/>
      <c r="N92" s="52"/>
      <c r="O92" s="7"/>
      <c r="P92" s="52"/>
      <c r="Q92" s="52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/>
      <c r="BD92" s="101"/>
      <c r="BE92" s="101"/>
      <c r="BF92" s="101"/>
      <c r="BG92" s="101"/>
      <c r="BH92" s="101"/>
      <c r="BI92" s="101"/>
      <c r="BJ92" s="101"/>
      <c r="BK92" s="101"/>
      <c r="BL92" s="101"/>
      <c r="BM92" s="101"/>
      <c r="BN92" s="101"/>
      <c r="BO92" s="101"/>
      <c r="BP92" s="101"/>
      <c r="BQ92" s="101"/>
      <c r="BR92" s="101"/>
      <c r="BS92" s="101"/>
      <c r="BT92" s="101"/>
      <c r="BU92" s="101"/>
      <c r="BV92" s="101"/>
      <c r="BW92" s="101"/>
      <c r="BX92" s="101"/>
      <c r="BY92" s="101"/>
      <c r="BZ92" s="101"/>
      <c r="CA92" s="101"/>
      <c r="CB92" s="101"/>
      <c r="CC92" s="101"/>
      <c r="CD92" s="101"/>
      <c r="CE92" s="101"/>
      <c r="CF92" s="101"/>
      <c r="CG92" s="101"/>
      <c r="CH92" s="101"/>
      <c r="CI92" s="101"/>
      <c r="CJ92" s="101"/>
      <c r="CK92" s="101"/>
      <c r="CL92" s="101"/>
      <c r="CM92" s="101"/>
      <c r="CN92" s="101"/>
      <c r="CO92" s="101"/>
      <c r="CP92" s="101"/>
      <c r="CQ92" s="101"/>
      <c r="CR92" s="101"/>
      <c r="CS92" s="101"/>
      <c r="CT92" s="101"/>
      <c r="CU92" s="101"/>
      <c r="CV92" s="101"/>
      <c r="CW92" s="101"/>
      <c r="CX92" s="101"/>
      <c r="CY92" s="101"/>
      <c r="CZ92" s="101"/>
      <c r="DA92" s="101"/>
      <c r="DB92" s="101"/>
      <c r="DC92" s="101"/>
      <c r="DD92" s="101"/>
      <c r="DE92" s="101"/>
      <c r="DF92" s="101"/>
      <c r="DG92" s="101"/>
      <c r="DH92" s="101"/>
      <c r="DI92" s="101"/>
      <c r="DJ92" s="101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1"/>
      <c r="DV92" s="101"/>
      <c r="DW92" s="101"/>
      <c r="DX92" s="101"/>
      <c r="DY92" s="101"/>
      <c r="DZ92" s="101"/>
      <c r="EA92" s="101"/>
      <c r="EB92" s="101"/>
      <c r="EC92" s="101"/>
      <c r="ED92" s="101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1"/>
      <c r="EP92" s="101"/>
      <c r="EQ92" s="101"/>
      <c r="ER92" s="101"/>
      <c r="ES92" s="101"/>
      <c r="ET92" s="101"/>
      <c r="EU92" s="101"/>
      <c r="EV92" s="101"/>
      <c r="EW92" s="101"/>
      <c r="EX92" s="101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1"/>
      <c r="FU92" s="101"/>
      <c r="FV92" s="101"/>
      <c r="FW92" s="101"/>
      <c r="FX92" s="101"/>
      <c r="FY92" s="101"/>
      <c r="FZ92" s="101"/>
      <c r="GA92" s="101"/>
      <c r="GB92" s="101"/>
      <c r="GC92" s="101"/>
      <c r="GD92" s="101"/>
      <c r="GE92" s="101"/>
      <c r="GF92" s="101"/>
      <c r="GG92" s="101"/>
      <c r="GH92" s="101"/>
      <c r="GI92" s="101"/>
      <c r="GJ92" s="101"/>
      <c r="GK92" s="101"/>
      <c r="GL92" s="101"/>
      <c r="GM92" s="101"/>
      <c r="GN92" s="101"/>
      <c r="GO92" s="101"/>
      <c r="GP92" s="101"/>
      <c r="GQ92" s="101"/>
      <c r="GR92" s="101"/>
      <c r="GS92" s="101"/>
      <c r="GT92" s="101"/>
      <c r="GU92" s="101"/>
      <c r="GV92" s="101"/>
      <c r="GW92" s="101"/>
      <c r="GX92" s="101"/>
      <c r="GY92" s="101"/>
      <c r="GZ92" s="101"/>
      <c r="HA92" s="101"/>
      <c r="HB92" s="101"/>
      <c r="HC92" s="101"/>
      <c r="HD92" s="101"/>
      <c r="HE92" s="101"/>
      <c r="HF92" s="101"/>
      <c r="HG92" s="101"/>
      <c r="HH92" s="101"/>
      <c r="HI92" s="101"/>
      <c r="HJ92" s="101"/>
      <c r="HK92" s="101"/>
      <c r="HL92" s="101"/>
      <c r="HM92" s="101"/>
      <c r="HN92" s="101"/>
      <c r="HO92" s="101"/>
      <c r="HP92" s="101"/>
      <c r="HQ92" s="101"/>
      <c r="HR92" s="101"/>
      <c r="HS92" s="101"/>
      <c r="HT92" s="101"/>
      <c r="HU92" s="101"/>
      <c r="HV92" s="101"/>
      <c r="HW92" s="101"/>
      <c r="HX92" s="101"/>
      <c r="HY92" s="101"/>
      <c r="HZ92" s="101"/>
      <c r="IA92" s="101"/>
      <c r="IB92" s="101"/>
      <c r="IC92" s="101"/>
      <c r="ID92" s="101"/>
      <c r="IE92" s="101"/>
      <c r="IF92" s="101"/>
      <c r="IG92" s="101"/>
      <c r="IH92" s="101"/>
      <c r="II92" s="101"/>
      <c r="IJ92" s="101"/>
      <c r="IK92" s="101"/>
      <c r="IL92" s="101"/>
      <c r="IM92" s="101"/>
      <c r="IN92" s="101"/>
      <c r="IO92" s="101"/>
      <c r="IP92" s="101"/>
      <c r="IQ92" s="101"/>
      <c r="IR92" s="101"/>
      <c r="IS92" s="101"/>
      <c r="IT92" s="101"/>
    </row>
    <row r="93" spans="1:254">
      <c r="A93" s="101"/>
      <c r="B93" s="101"/>
      <c r="C93" s="101"/>
      <c r="D93" s="101"/>
      <c r="F93" s="7"/>
      <c r="G93" s="7"/>
      <c r="H93" s="7"/>
      <c r="I93" s="7"/>
      <c r="J93" s="7"/>
      <c r="K93" s="7"/>
      <c r="L93" s="7"/>
      <c r="M93" s="52"/>
      <c r="N93" s="52"/>
      <c r="O93" s="7"/>
      <c r="P93" s="52"/>
      <c r="Q93" s="52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/>
      <c r="BO93" s="101"/>
      <c r="BP93" s="101"/>
      <c r="BQ93" s="101"/>
      <c r="BR93" s="101"/>
      <c r="BS93" s="101"/>
      <c r="BT93" s="101"/>
      <c r="BU93" s="101"/>
      <c r="BV93" s="101"/>
      <c r="BW93" s="101"/>
      <c r="BX93" s="101"/>
      <c r="BY93" s="101"/>
      <c r="BZ93" s="101"/>
      <c r="CA93" s="101"/>
      <c r="CB93" s="101"/>
      <c r="CC93" s="101"/>
      <c r="CD93" s="101"/>
      <c r="CE93" s="101"/>
      <c r="CF93" s="101"/>
      <c r="CG93" s="101"/>
      <c r="CH93" s="101"/>
      <c r="CI93" s="101"/>
      <c r="CJ93" s="101"/>
      <c r="CK93" s="101"/>
      <c r="CL93" s="101"/>
      <c r="CM93" s="101"/>
      <c r="CN93" s="101"/>
      <c r="CO93" s="101"/>
      <c r="CP93" s="101"/>
      <c r="CQ93" s="101"/>
      <c r="CR93" s="101"/>
      <c r="CS93" s="101"/>
      <c r="CT93" s="101"/>
      <c r="CU93" s="101"/>
      <c r="CV93" s="101"/>
      <c r="CW93" s="101"/>
      <c r="CX93" s="101"/>
      <c r="CY93" s="101"/>
      <c r="CZ93" s="101"/>
      <c r="DA93" s="101"/>
      <c r="DB93" s="101"/>
      <c r="DC93" s="101"/>
      <c r="DD93" s="101"/>
      <c r="DE93" s="101"/>
      <c r="DF93" s="101"/>
      <c r="DG93" s="101"/>
      <c r="DH93" s="101"/>
      <c r="DI93" s="101"/>
      <c r="DJ93" s="101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1"/>
      <c r="DV93" s="101"/>
      <c r="DW93" s="101"/>
      <c r="DX93" s="101"/>
      <c r="DY93" s="101"/>
      <c r="DZ93" s="101"/>
      <c r="EA93" s="101"/>
      <c r="EB93" s="101"/>
      <c r="EC93" s="101"/>
      <c r="ED93" s="101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1"/>
      <c r="EP93" s="101"/>
      <c r="EQ93" s="101"/>
      <c r="ER93" s="101"/>
      <c r="ES93" s="101"/>
      <c r="ET93" s="101"/>
      <c r="EU93" s="101"/>
      <c r="EV93" s="101"/>
      <c r="EW93" s="101"/>
      <c r="EX93" s="101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1"/>
      <c r="FU93" s="101"/>
      <c r="FV93" s="101"/>
      <c r="FW93" s="101"/>
      <c r="FX93" s="101"/>
      <c r="FY93" s="101"/>
      <c r="FZ93" s="101"/>
      <c r="GA93" s="101"/>
      <c r="GB93" s="101"/>
      <c r="GC93" s="101"/>
      <c r="GD93" s="101"/>
      <c r="GE93" s="101"/>
      <c r="GF93" s="101"/>
      <c r="GG93" s="101"/>
      <c r="GH93" s="101"/>
      <c r="GI93" s="101"/>
      <c r="GJ93" s="101"/>
      <c r="GK93" s="101"/>
      <c r="GL93" s="101"/>
      <c r="GM93" s="101"/>
      <c r="GN93" s="101"/>
      <c r="GO93" s="101"/>
      <c r="GP93" s="101"/>
      <c r="GQ93" s="101"/>
      <c r="GR93" s="101"/>
      <c r="GS93" s="101"/>
      <c r="GT93" s="101"/>
      <c r="GU93" s="101"/>
      <c r="GV93" s="101"/>
      <c r="GW93" s="101"/>
      <c r="GX93" s="101"/>
      <c r="GY93" s="101"/>
      <c r="GZ93" s="101"/>
      <c r="HA93" s="101"/>
      <c r="HB93" s="101"/>
      <c r="HC93" s="101"/>
      <c r="HD93" s="101"/>
      <c r="HE93" s="101"/>
      <c r="HF93" s="101"/>
      <c r="HG93" s="101"/>
      <c r="HH93" s="101"/>
      <c r="HI93" s="101"/>
      <c r="HJ93" s="101"/>
      <c r="HK93" s="101"/>
      <c r="HL93" s="101"/>
      <c r="HM93" s="101"/>
      <c r="HN93" s="101"/>
      <c r="HO93" s="101"/>
      <c r="HP93" s="101"/>
      <c r="HQ93" s="101"/>
      <c r="HR93" s="101"/>
      <c r="HS93" s="101"/>
      <c r="HT93" s="101"/>
      <c r="HU93" s="101"/>
      <c r="HV93" s="101"/>
      <c r="HW93" s="101"/>
      <c r="HX93" s="101"/>
      <c r="HY93" s="101"/>
      <c r="HZ93" s="101"/>
      <c r="IA93" s="101"/>
      <c r="IB93" s="101"/>
      <c r="IC93" s="101"/>
      <c r="ID93" s="101"/>
      <c r="IE93" s="101"/>
      <c r="IF93" s="101"/>
      <c r="IG93" s="101"/>
      <c r="IH93" s="101"/>
      <c r="II93" s="101"/>
      <c r="IJ93" s="101"/>
      <c r="IK93" s="101"/>
      <c r="IL93" s="101"/>
      <c r="IM93" s="101"/>
      <c r="IN93" s="101"/>
      <c r="IO93" s="101"/>
      <c r="IP93" s="101"/>
      <c r="IQ93" s="101"/>
      <c r="IR93" s="101"/>
      <c r="IS93" s="101"/>
      <c r="IT93" s="101"/>
    </row>
    <row r="94" spans="1:254">
      <c r="A94" s="101"/>
      <c r="B94" s="101"/>
      <c r="C94" s="101"/>
      <c r="D94" s="101"/>
      <c r="F94" s="7"/>
      <c r="G94" s="7"/>
      <c r="H94" s="7"/>
      <c r="I94" s="7"/>
      <c r="J94" s="7"/>
      <c r="K94" s="7"/>
      <c r="L94" s="7"/>
      <c r="M94" s="52"/>
      <c r="N94" s="52"/>
      <c r="O94" s="7"/>
      <c r="P94" s="52"/>
      <c r="Q94" s="52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  <c r="BJ94" s="101"/>
      <c r="BK94" s="101"/>
      <c r="BL94" s="101"/>
      <c r="BM94" s="101"/>
      <c r="BN94" s="101"/>
      <c r="BO94" s="101"/>
      <c r="BP94" s="101"/>
      <c r="BQ94" s="101"/>
      <c r="BR94" s="101"/>
      <c r="BS94" s="101"/>
      <c r="BT94" s="101"/>
      <c r="BU94" s="101"/>
      <c r="BV94" s="101"/>
      <c r="BW94" s="101"/>
      <c r="BX94" s="101"/>
      <c r="BY94" s="101"/>
      <c r="BZ94" s="101"/>
      <c r="CA94" s="101"/>
      <c r="CB94" s="101"/>
      <c r="CC94" s="101"/>
      <c r="CD94" s="101"/>
      <c r="CE94" s="101"/>
      <c r="CF94" s="101"/>
      <c r="CG94" s="101"/>
      <c r="CH94" s="101"/>
      <c r="CI94" s="101"/>
      <c r="CJ94" s="101"/>
      <c r="CK94" s="101"/>
      <c r="CL94" s="101"/>
      <c r="CM94" s="101"/>
      <c r="CN94" s="101"/>
      <c r="CO94" s="101"/>
      <c r="CP94" s="101"/>
      <c r="CQ94" s="101"/>
      <c r="CR94" s="101"/>
      <c r="CS94" s="101"/>
      <c r="CT94" s="101"/>
      <c r="CU94" s="101"/>
      <c r="CV94" s="101"/>
      <c r="CW94" s="101"/>
      <c r="CX94" s="101"/>
      <c r="CY94" s="101"/>
      <c r="CZ94" s="101"/>
      <c r="DA94" s="101"/>
      <c r="DB94" s="101"/>
      <c r="DC94" s="101"/>
      <c r="DD94" s="101"/>
      <c r="DE94" s="101"/>
      <c r="DF94" s="101"/>
      <c r="DG94" s="101"/>
      <c r="DH94" s="101"/>
      <c r="DI94" s="101"/>
      <c r="DJ94" s="101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1"/>
      <c r="DV94" s="101"/>
      <c r="DW94" s="101"/>
      <c r="DX94" s="101"/>
      <c r="DY94" s="101"/>
      <c r="DZ94" s="101"/>
      <c r="EA94" s="101"/>
      <c r="EB94" s="101"/>
      <c r="EC94" s="101"/>
      <c r="ED94" s="101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1"/>
      <c r="EP94" s="101"/>
      <c r="EQ94" s="101"/>
      <c r="ER94" s="101"/>
      <c r="ES94" s="101"/>
      <c r="ET94" s="101"/>
      <c r="EU94" s="101"/>
      <c r="EV94" s="101"/>
      <c r="EW94" s="101"/>
      <c r="EX94" s="101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1"/>
      <c r="FU94" s="101"/>
      <c r="FV94" s="101"/>
      <c r="FW94" s="101"/>
      <c r="FX94" s="101"/>
      <c r="FY94" s="101"/>
      <c r="FZ94" s="101"/>
      <c r="GA94" s="101"/>
      <c r="GB94" s="101"/>
      <c r="GC94" s="101"/>
      <c r="GD94" s="101"/>
      <c r="GE94" s="101"/>
      <c r="GF94" s="101"/>
      <c r="GG94" s="101"/>
      <c r="GH94" s="101"/>
      <c r="GI94" s="101"/>
      <c r="GJ94" s="101"/>
      <c r="GK94" s="101"/>
      <c r="GL94" s="101"/>
      <c r="GM94" s="101"/>
      <c r="GN94" s="101"/>
      <c r="GO94" s="101"/>
      <c r="GP94" s="101"/>
      <c r="GQ94" s="101"/>
      <c r="GR94" s="101"/>
      <c r="GS94" s="101"/>
      <c r="GT94" s="101"/>
      <c r="GU94" s="101"/>
      <c r="GV94" s="101"/>
      <c r="GW94" s="101"/>
      <c r="GX94" s="101"/>
      <c r="GY94" s="101"/>
      <c r="GZ94" s="101"/>
      <c r="HA94" s="101"/>
      <c r="HB94" s="101"/>
      <c r="HC94" s="101"/>
      <c r="HD94" s="101"/>
      <c r="HE94" s="101"/>
      <c r="HF94" s="101"/>
      <c r="HG94" s="101"/>
      <c r="HH94" s="101"/>
      <c r="HI94" s="101"/>
      <c r="HJ94" s="101"/>
      <c r="HK94" s="101"/>
      <c r="HL94" s="101"/>
      <c r="HM94" s="101"/>
      <c r="HN94" s="101"/>
      <c r="HO94" s="101"/>
      <c r="HP94" s="101"/>
      <c r="HQ94" s="101"/>
      <c r="HR94" s="101"/>
      <c r="HS94" s="101"/>
      <c r="HT94" s="101"/>
      <c r="HU94" s="101"/>
      <c r="HV94" s="101"/>
      <c r="HW94" s="101"/>
      <c r="HX94" s="101"/>
      <c r="HY94" s="101"/>
      <c r="HZ94" s="101"/>
      <c r="IA94" s="101"/>
      <c r="IB94" s="101"/>
      <c r="IC94" s="101"/>
      <c r="ID94" s="101"/>
      <c r="IE94" s="101"/>
      <c r="IF94" s="101"/>
      <c r="IG94" s="101"/>
      <c r="IH94" s="101"/>
      <c r="II94" s="101"/>
      <c r="IJ94" s="101"/>
      <c r="IK94" s="101"/>
      <c r="IL94" s="101"/>
      <c r="IM94" s="101"/>
      <c r="IN94" s="101"/>
      <c r="IO94" s="101"/>
      <c r="IP94" s="101"/>
      <c r="IQ94" s="101"/>
      <c r="IR94" s="101"/>
      <c r="IS94" s="101"/>
      <c r="IT94" s="101"/>
    </row>
    <row r="95" spans="1:254">
      <c r="A95" s="101"/>
      <c r="B95" s="101"/>
      <c r="C95" s="101"/>
      <c r="D95" s="101"/>
      <c r="F95" s="7"/>
      <c r="G95" s="7"/>
      <c r="H95" s="7"/>
      <c r="I95" s="7"/>
      <c r="J95" s="7"/>
      <c r="K95" s="7"/>
      <c r="L95" s="7"/>
      <c r="M95" s="52"/>
      <c r="N95" s="52"/>
      <c r="O95" s="7"/>
      <c r="P95" s="52"/>
      <c r="Q95" s="52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01"/>
      <c r="BK95" s="101"/>
      <c r="BL95" s="101"/>
      <c r="BM95" s="101"/>
      <c r="BN95" s="101"/>
      <c r="BO95" s="101"/>
      <c r="BP95" s="101"/>
      <c r="BQ95" s="101"/>
      <c r="BR95" s="101"/>
      <c r="BS95" s="101"/>
      <c r="BT95" s="101"/>
      <c r="BU95" s="101"/>
      <c r="BV95" s="101"/>
      <c r="BW95" s="101"/>
      <c r="BX95" s="101"/>
      <c r="BY95" s="101"/>
      <c r="BZ95" s="101"/>
      <c r="CA95" s="101"/>
      <c r="CB95" s="101"/>
      <c r="CC95" s="101"/>
      <c r="CD95" s="101"/>
      <c r="CE95" s="101"/>
      <c r="CF95" s="101"/>
      <c r="CG95" s="101"/>
      <c r="CH95" s="101"/>
      <c r="CI95" s="101"/>
      <c r="CJ95" s="101"/>
      <c r="CK95" s="101"/>
      <c r="CL95" s="101"/>
      <c r="CM95" s="101"/>
      <c r="CN95" s="101"/>
      <c r="CO95" s="101"/>
      <c r="CP95" s="101"/>
      <c r="CQ95" s="101"/>
      <c r="CR95" s="101"/>
      <c r="CS95" s="101"/>
      <c r="CT95" s="101"/>
      <c r="CU95" s="101"/>
      <c r="CV95" s="101"/>
      <c r="CW95" s="101"/>
      <c r="CX95" s="101"/>
      <c r="CY95" s="101"/>
      <c r="CZ95" s="101"/>
      <c r="DA95" s="101"/>
      <c r="DB95" s="101"/>
      <c r="DC95" s="101"/>
      <c r="DD95" s="101"/>
      <c r="DE95" s="101"/>
      <c r="DF95" s="101"/>
      <c r="DG95" s="101"/>
      <c r="DH95" s="101"/>
      <c r="DI95" s="101"/>
      <c r="DJ95" s="101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1"/>
      <c r="DV95" s="101"/>
      <c r="DW95" s="101"/>
      <c r="DX95" s="101"/>
      <c r="DY95" s="101"/>
      <c r="DZ95" s="101"/>
      <c r="EA95" s="101"/>
      <c r="EB95" s="101"/>
      <c r="EC95" s="101"/>
      <c r="ED95" s="101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1"/>
      <c r="EP95" s="101"/>
      <c r="EQ95" s="101"/>
      <c r="ER95" s="101"/>
      <c r="ES95" s="101"/>
      <c r="ET95" s="101"/>
      <c r="EU95" s="101"/>
      <c r="EV95" s="101"/>
      <c r="EW95" s="101"/>
      <c r="EX95" s="101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1"/>
      <c r="FU95" s="101"/>
      <c r="FV95" s="101"/>
      <c r="FW95" s="101"/>
      <c r="FX95" s="101"/>
      <c r="FY95" s="101"/>
      <c r="FZ95" s="101"/>
      <c r="GA95" s="101"/>
      <c r="GB95" s="101"/>
      <c r="GC95" s="101"/>
      <c r="GD95" s="101"/>
      <c r="GE95" s="101"/>
      <c r="GF95" s="101"/>
      <c r="GG95" s="101"/>
      <c r="GH95" s="101"/>
      <c r="GI95" s="101"/>
      <c r="GJ95" s="101"/>
      <c r="GK95" s="101"/>
      <c r="GL95" s="101"/>
      <c r="GM95" s="101"/>
      <c r="GN95" s="101"/>
      <c r="GO95" s="101"/>
      <c r="GP95" s="101"/>
      <c r="GQ95" s="101"/>
      <c r="GR95" s="101"/>
      <c r="GS95" s="101"/>
      <c r="GT95" s="101"/>
      <c r="GU95" s="101"/>
      <c r="GV95" s="101"/>
      <c r="GW95" s="101"/>
      <c r="GX95" s="101"/>
      <c r="GY95" s="101"/>
      <c r="GZ95" s="101"/>
      <c r="HA95" s="101"/>
      <c r="HB95" s="101"/>
      <c r="HC95" s="101"/>
      <c r="HD95" s="101"/>
      <c r="HE95" s="101"/>
      <c r="HF95" s="101"/>
      <c r="HG95" s="101"/>
      <c r="HH95" s="101"/>
      <c r="HI95" s="101"/>
      <c r="HJ95" s="101"/>
      <c r="HK95" s="101"/>
      <c r="HL95" s="101"/>
      <c r="HM95" s="101"/>
      <c r="HN95" s="101"/>
      <c r="HO95" s="101"/>
      <c r="HP95" s="101"/>
      <c r="HQ95" s="101"/>
      <c r="HR95" s="101"/>
      <c r="HS95" s="101"/>
      <c r="HT95" s="101"/>
      <c r="HU95" s="101"/>
      <c r="HV95" s="101"/>
      <c r="HW95" s="101"/>
      <c r="HX95" s="101"/>
      <c r="HY95" s="101"/>
      <c r="HZ95" s="101"/>
      <c r="IA95" s="101"/>
      <c r="IB95" s="101"/>
      <c r="IC95" s="101"/>
      <c r="ID95" s="101"/>
      <c r="IE95" s="101"/>
      <c r="IF95" s="101"/>
      <c r="IG95" s="101"/>
      <c r="IH95" s="101"/>
      <c r="II95" s="101"/>
      <c r="IJ95" s="101"/>
      <c r="IK95" s="101"/>
      <c r="IL95" s="101"/>
      <c r="IM95" s="101"/>
      <c r="IN95" s="101"/>
      <c r="IO95" s="101"/>
      <c r="IP95" s="101"/>
      <c r="IQ95" s="101"/>
      <c r="IR95" s="101"/>
      <c r="IS95" s="101"/>
      <c r="IT95" s="101"/>
    </row>
    <row r="96" spans="1:254">
      <c r="A96" s="101"/>
      <c r="B96" s="101"/>
      <c r="C96" s="101"/>
      <c r="D96" s="101"/>
      <c r="F96" s="7"/>
      <c r="G96" s="7"/>
      <c r="H96" s="7"/>
      <c r="I96" s="7"/>
      <c r="J96" s="7"/>
      <c r="K96" s="7"/>
      <c r="L96" s="7"/>
      <c r="M96" s="52"/>
      <c r="N96" s="52"/>
      <c r="O96" s="7"/>
      <c r="P96" s="52"/>
      <c r="Q96" s="52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01"/>
      <c r="BK96" s="101"/>
      <c r="BL96" s="101"/>
      <c r="BM96" s="101"/>
      <c r="BN96" s="101"/>
      <c r="BO96" s="101"/>
      <c r="BP96" s="101"/>
      <c r="BQ96" s="101"/>
      <c r="BR96" s="101"/>
      <c r="BS96" s="101"/>
      <c r="BT96" s="101"/>
      <c r="BU96" s="101"/>
      <c r="BV96" s="101"/>
      <c r="BW96" s="101"/>
      <c r="BX96" s="101"/>
      <c r="BY96" s="101"/>
      <c r="BZ96" s="101"/>
      <c r="CA96" s="101"/>
      <c r="CB96" s="101"/>
      <c r="CC96" s="101"/>
      <c r="CD96" s="101"/>
      <c r="CE96" s="101"/>
      <c r="CF96" s="101"/>
      <c r="CG96" s="101"/>
      <c r="CH96" s="101"/>
      <c r="CI96" s="101"/>
      <c r="CJ96" s="101"/>
      <c r="CK96" s="101"/>
      <c r="CL96" s="101"/>
      <c r="CM96" s="101"/>
      <c r="CN96" s="101"/>
      <c r="CO96" s="101"/>
      <c r="CP96" s="101"/>
      <c r="CQ96" s="101"/>
      <c r="CR96" s="101"/>
      <c r="CS96" s="101"/>
      <c r="CT96" s="101"/>
      <c r="CU96" s="101"/>
      <c r="CV96" s="101"/>
      <c r="CW96" s="101"/>
      <c r="CX96" s="101"/>
      <c r="CY96" s="101"/>
      <c r="CZ96" s="101"/>
      <c r="DA96" s="101"/>
      <c r="DB96" s="101"/>
      <c r="DC96" s="101"/>
      <c r="DD96" s="101"/>
      <c r="DE96" s="101"/>
      <c r="DF96" s="101"/>
      <c r="DG96" s="101"/>
      <c r="DH96" s="101"/>
      <c r="DI96" s="101"/>
      <c r="DJ96" s="101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1"/>
      <c r="DV96" s="101"/>
      <c r="DW96" s="101"/>
      <c r="DX96" s="101"/>
      <c r="DY96" s="101"/>
      <c r="DZ96" s="101"/>
      <c r="EA96" s="101"/>
      <c r="EB96" s="101"/>
      <c r="EC96" s="101"/>
      <c r="ED96" s="101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1"/>
      <c r="EP96" s="101"/>
      <c r="EQ96" s="101"/>
      <c r="ER96" s="101"/>
      <c r="ES96" s="101"/>
      <c r="ET96" s="101"/>
      <c r="EU96" s="101"/>
      <c r="EV96" s="101"/>
      <c r="EW96" s="101"/>
      <c r="EX96" s="101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1"/>
      <c r="FU96" s="101"/>
      <c r="FV96" s="101"/>
      <c r="FW96" s="101"/>
      <c r="FX96" s="101"/>
      <c r="FY96" s="101"/>
      <c r="FZ96" s="101"/>
      <c r="GA96" s="101"/>
      <c r="GB96" s="101"/>
      <c r="GC96" s="101"/>
      <c r="GD96" s="101"/>
      <c r="GE96" s="101"/>
      <c r="GF96" s="101"/>
      <c r="GG96" s="101"/>
      <c r="GH96" s="101"/>
      <c r="GI96" s="101"/>
      <c r="GJ96" s="101"/>
      <c r="GK96" s="101"/>
      <c r="GL96" s="101"/>
      <c r="GM96" s="101"/>
      <c r="GN96" s="101"/>
      <c r="GO96" s="101"/>
      <c r="GP96" s="101"/>
      <c r="GQ96" s="101"/>
      <c r="GR96" s="101"/>
      <c r="GS96" s="101"/>
      <c r="GT96" s="101"/>
      <c r="GU96" s="101"/>
      <c r="GV96" s="101"/>
      <c r="GW96" s="101"/>
      <c r="GX96" s="101"/>
      <c r="GY96" s="101"/>
      <c r="GZ96" s="101"/>
      <c r="HA96" s="101"/>
      <c r="HB96" s="101"/>
      <c r="HC96" s="101"/>
      <c r="HD96" s="101"/>
      <c r="HE96" s="101"/>
      <c r="HF96" s="101"/>
      <c r="HG96" s="101"/>
      <c r="HH96" s="101"/>
      <c r="HI96" s="101"/>
      <c r="HJ96" s="101"/>
      <c r="HK96" s="101"/>
      <c r="HL96" s="101"/>
      <c r="HM96" s="101"/>
      <c r="HN96" s="101"/>
      <c r="HO96" s="101"/>
      <c r="HP96" s="101"/>
      <c r="HQ96" s="101"/>
      <c r="HR96" s="101"/>
      <c r="HS96" s="101"/>
      <c r="HT96" s="101"/>
      <c r="HU96" s="101"/>
      <c r="HV96" s="101"/>
      <c r="HW96" s="101"/>
      <c r="HX96" s="101"/>
      <c r="HY96" s="101"/>
      <c r="HZ96" s="101"/>
      <c r="IA96" s="101"/>
      <c r="IB96" s="101"/>
      <c r="IC96" s="101"/>
      <c r="ID96" s="101"/>
      <c r="IE96" s="101"/>
      <c r="IF96" s="101"/>
      <c r="IG96" s="101"/>
      <c r="IH96" s="101"/>
      <c r="II96" s="101"/>
      <c r="IJ96" s="101"/>
      <c r="IK96" s="101"/>
      <c r="IL96" s="101"/>
      <c r="IM96" s="101"/>
      <c r="IN96" s="101"/>
      <c r="IO96" s="101"/>
      <c r="IP96" s="101"/>
      <c r="IQ96" s="101"/>
      <c r="IR96" s="101"/>
      <c r="IS96" s="101"/>
      <c r="IT96" s="101"/>
    </row>
    <row r="97" spans="1:254">
      <c r="A97" s="101"/>
      <c r="B97" s="101"/>
      <c r="C97" s="101"/>
      <c r="D97" s="101"/>
      <c r="F97" s="7"/>
      <c r="G97" s="7"/>
      <c r="H97" s="7"/>
      <c r="I97" s="7"/>
      <c r="J97" s="7"/>
      <c r="K97" s="7"/>
      <c r="L97" s="7"/>
      <c r="M97" s="52"/>
      <c r="N97" s="52"/>
      <c r="O97" s="7"/>
      <c r="P97" s="52"/>
      <c r="Q97" s="52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01"/>
      <c r="BK97" s="101"/>
      <c r="BL97" s="101"/>
      <c r="BM97" s="101"/>
      <c r="BN97" s="101"/>
      <c r="BO97" s="101"/>
      <c r="BP97" s="101"/>
      <c r="BQ97" s="101"/>
      <c r="BR97" s="101"/>
      <c r="BS97" s="101"/>
      <c r="BT97" s="101"/>
      <c r="BU97" s="101"/>
      <c r="BV97" s="101"/>
      <c r="BW97" s="101"/>
      <c r="BX97" s="101"/>
      <c r="BY97" s="101"/>
      <c r="BZ97" s="101"/>
      <c r="CA97" s="101"/>
      <c r="CB97" s="101"/>
      <c r="CC97" s="101"/>
      <c r="CD97" s="101"/>
      <c r="CE97" s="101"/>
      <c r="CF97" s="101"/>
      <c r="CG97" s="101"/>
      <c r="CH97" s="101"/>
      <c r="CI97" s="101"/>
      <c r="CJ97" s="101"/>
      <c r="CK97" s="101"/>
      <c r="CL97" s="101"/>
      <c r="CM97" s="101"/>
      <c r="CN97" s="101"/>
      <c r="CO97" s="101"/>
      <c r="CP97" s="101"/>
      <c r="CQ97" s="101"/>
      <c r="CR97" s="101"/>
      <c r="CS97" s="101"/>
      <c r="CT97" s="101"/>
      <c r="CU97" s="101"/>
      <c r="CV97" s="101"/>
      <c r="CW97" s="101"/>
      <c r="CX97" s="101"/>
      <c r="CY97" s="101"/>
      <c r="CZ97" s="101"/>
      <c r="DA97" s="101"/>
      <c r="DB97" s="101"/>
      <c r="DC97" s="101"/>
      <c r="DD97" s="101"/>
      <c r="DE97" s="101"/>
      <c r="DF97" s="101"/>
      <c r="DG97" s="101"/>
      <c r="DH97" s="101"/>
      <c r="DI97" s="101"/>
      <c r="DJ97" s="101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1"/>
      <c r="DV97" s="101"/>
      <c r="DW97" s="101"/>
      <c r="DX97" s="101"/>
      <c r="DY97" s="101"/>
      <c r="DZ97" s="101"/>
      <c r="EA97" s="101"/>
      <c r="EB97" s="101"/>
      <c r="EC97" s="101"/>
      <c r="ED97" s="101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1"/>
      <c r="EP97" s="101"/>
      <c r="EQ97" s="101"/>
      <c r="ER97" s="101"/>
      <c r="ES97" s="101"/>
      <c r="ET97" s="101"/>
      <c r="EU97" s="101"/>
      <c r="EV97" s="101"/>
      <c r="EW97" s="101"/>
      <c r="EX97" s="101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1"/>
      <c r="FU97" s="101"/>
      <c r="FV97" s="101"/>
      <c r="FW97" s="101"/>
      <c r="FX97" s="101"/>
      <c r="FY97" s="101"/>
      <c r="FZ97" s="101"/>
      <c r="GA97" s="101"/>
      <c r="GB97" s="101"/>
      <c r="GC97" s="101"/>
      <c r="GD97" s="101"/>
      <c r="GE97" s="101"/>
      <c r="GF97" s="101"/>
      <c r="GG97" s="101"/>
      <c r="GH97" s="101"/>
      <c r="GI97" s="101"/>
      <c r="GJ97" s="101"/>
      <c r="GK97" s="101"/>
      <c r="GL97" s="101"/>
      <c r="GM97" s="101"/>
      <c r="GN97" s="101"/>
      <c r="GO97" s="101"/>
      <c r="GP97" s="101"/>
      <c r="GQ97" s="101"/>
      <c r="GR97" s="101"/>
      <c r="GS97" s="101"/>
      <c r="GT97" s="101"/>
      <c r="GU97" s="101"/>
      <c r="GV97" s="101"/>
      <c r="GW97" s="101"/>
      <c r="GX97" s="101"/>
      <c r="GY97" s="101"/>
      <c r="GZ97" s="101"/>
      <c r="HA97" s="101"/>
      <c r="HB97" s="101"/>
      <c r="HC97" s="101"/>
      <c r="HD97" s="101"/>
      <c r="HE97" s="101"/>
      <c r="HF97" s="101"/>
      <c r="HG97" s="101"/>
      <c r="HH97" s="101"/>
      <c r="HI97" s="101"/>
      <c r="HJ97" s="101"/>
      <c r="HK97" s="101"/>
      <c r="HL97" s="101"/>
      <c r="HM97" s="101"/>
      <c r="HN97" s="101"/>
      <c r="HO97" s="101"/>
      <c r="HP97" s="101"/>
      <c r="HQ97" s="101"/>
      <c r="HR97" s="101"/>
      <c r="HS97" s="101"/>
      <c r="HT97" s="101"/>
      <c r="HU97" s="101"/>
      <c r="HV97" s="101"/>
      <c r="HW97" s="101"/>
      <c r="HX97" s="101"/>
      <c r="HY97" s="101"/>
      <c r="HZ97" s="101"/>
      <c r="IA97" s="101"/>
      <c r="IB97" s="101"/>
      <c r="IC97" s="101"/>
      <c r="ID97" s="101"/>
      <c r="IE97" s="101"/>
      <c r="IF97" s="101"/>
      <c r="IG97" s="101"/>
      <c r="IH97" s="101"/>
      <c r="II97" s="101"/>
      <c r="IJ97" s="101"/>
      <c r="IK97" s="101"/>
      <c r="IL97" s="101"/>
      <c r="IM97" s="101"/>
      <c r="IN97" s="101"/>
      <c r="IO97" s="101"/>
      <c r="IP97" s="101"/>
      <c r="IQ97" s="101"/>
      <c r="IR97" s="101"/>
      <c r="IS97" s="101"/>
      <c r="IT97" s="101"/>
    </row>
    <row r="98" spans="1:254">
      <c r="A98" s="101"/>
      <c r="B98" s="101"/>
      <c r="C98" s="101"/>
      <c r="D98" s="101"/>
      <c r="F98" s="7"/>
      <c r="G98" s="7"/>
      <c r="H98" s="7"/>
      <c r="I98" s="7"/>
      <c r="J98" s="7"/>
      <c r="K98" s="7"/>
      <c r="L98" s="7"/>
      <c r="M98" s="52"/>
      <c r="N98" s="52"/>
      <c r="O98" s="7"/>
      <c r="P98" s="52"/>
      <c r="Q98" s="52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1"/>
      <c r="BD98" s="101"/>
      <c r="BE98" s="101"/>
      <c r="BF98" s="101"/>
      <c r="BG98" s="101"/>
      <c r="BH98" s="101"/>
      <c r="BI98" s="101"/>
      <c r="BJ98" s="101"/>
      <c r="BK98" s="101"/>
      <c r="BL98" s="101"/>
      <c r="BM98" s="101"/>
      <c r="BN98" s="101"/>
      <c r="BO98" s="101"/>
      <c r="BP98" s="101"/>
      <c r="BQ98" s="101"/>
      <c r="BR98" s="101"/>
      <c r="BS98" s="101"/>
      <c r="BT98" s="101"/>
      <c r="BU98" s="101"/>
      <c r="BV98" s="101"/>
      <c r="BW98" s="101"/>
      <c r="BX98" s="101"/>
      <c r="BY98" s="101"/>
      <c r="BZ98" s="101"/>
      <c r="CA98" s="101"/>
      <c r="CB98" s="101"/>
      <c r="CC98" s="101"/>
      <c r="CD98" s="101"/>
      <c r="CE98" s="101"/>
      <c r="CF98" s="101"/>
      <c r="CG98" s="101"/>
      <c r="CH98" s="101"/>
      <c r="CI98" s="101"/>
      <c r="CJ98" s="101"/>
      <c r="CK98" s="101"/>
      <c r="CL98" s="101"/>
      <c r="CM98" s="101"/>
      <c r="CN98" s="101"/>
      <c r="CO98" s="101"/>
      <c r="CP98" s="101"/>
      <c r="CQ98" s="101"/>
      <c r="CR98" s="101"/>
      <c r="CS98" s="101"/>
      <c r="CT98" s="101"/>
      <c r="CU98" s="101"/>
      <c r="CV98" s="101"/>
      <c r="CW98" s="101"/>
      <c r="CX98" s="101"/>
      <c r="CY98" s="101"/>
      <c r="CZ98" s="101"/>
      <c r="DA98" s="101"/>
      <c r="DB98" s="101"/>
      <c r="DC98" s="101"/>
      <c r="DD98" s="101"/>
      <c r="DE98" s="101"/>
      <c r="DF98" s="101"/>
      <c r="DG98" s="101"/>
      <c r="DH98" s="101"/>
      <c r="DI98" s="101"/>
      <c r="DJ98" s="101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1"/>
      <c r="DV98" s="101"/>
      <c r="DW98" s="101"/>
      <c r="DX98" s="101"/>
      <c r="DY98" s="101"/>
      <c r="DZ98" s="101"/>
      <c r="EA98" s="101"/>
      <c r="EB98" s="101"/>
      <c r="EC98" s="101"/>
      <c r="ED98" s="101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1"/>
      <c r="EP98" s="101"/>
      <c r="EQ98" s="101"/>
      <c r="ER98" s="101"/>
      <c r="ES98" s="101"/>
      <c r="ET98" s="101"/>
      <c r="EU98" s="101"/>
      <c r="EV98" s="101"/>
      <c r="EW98" s="101"/>
      <c r="EX98" s="101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1"/>
      <c r="FU98" s="101"/>
      <c r="FV98" s="101"/>
      <c r="FW98" s="101"/>
      <c r="FX98" s="101"/>
      <c r="FY98" s="101"/>
      <c r="FZ98" s="101"/>
      <c r="GA98" s="101"/>
      <c r="GB98" s="101"/>
      <c r="GC98" s="101"/>
      <c r="GD98" s="101"/>
      <c r="GE98" s="101"/>
      <c r="GF98" s="101"/>
      <c r="GG98" s="101"/>
      <c r="GH98" s="101"/>
      <c r="GI98" s="101"/>
      <c r="GJ98" s="101"/>
      <c r="GK98" s="101"/>
      <c r="GL98" s="101"/>
      <c r="GM98" s="101"/>
      <c r="GN98" s="101"/>
      <c r="GO98" s="101"/>
      <c r="GP98" s="101"/>
      <c r="GQ98" s="101"/>
      <c r="GR98" s="101"/>
      <c r="GS98" s="101"/>
      <c r="GT98" s="101"/>
      <c r="GU98" s="101"/>
      <c r="GV98" s="101"/>
      <c r="GW98" s="101"/>
      <c r="GX98" s="101"/>
      <c r="GY98" s="101"/>
      <c r="GZ98" s="101"/>
      <c r="HA98" s="101"/>
      <c r="HB98" s="101"/>
      <c r="HC98" s="101"/>
      <c r="HD98" s="101"/>
      <c r="HE98" s="101"/>
      <c r="HF98" s="101"/>
      <c r="HG98" s="101"/>
      <c r="HH98" s="101"/>
      <c r="HI98" s="101"/>
      <c r="HJ98" s="101"/>
      <c r="HK98" s="101"/>
      <c r="HL98" s="101"/>
      <c r="HM98" s="101"/>
      <c r="HN98" s="101"/>
      <c r="HO98" s="101"/>
      <c r="HP98" s="101"/>
      <c r="HQ98" s="101"/>
      <c r="HR98" s="101"/>
      <c r="HS98" s="101"/>
      <c r="HT98" s="101"/>
      <c r="HU98" s="101"/>
      <c r="HV98" s="101"/>
      <c r="HW98" s="101"/>
      <c r="HX98" s="101"/>
      <c r="HY98" s="101"/>
      <c r="HZ98" s="101"/>
      <c r="IA98" s="101"/>
      <c r="IB98" s="101"/>
      <c r="IC98" s="101"/>
      <c r="ID98" s="101"/>
      <c r="IE98" s="101"/>
      <c r="IF98" s="101"/>
      <c r="IG98" s="101"/>
      <c r="IH98" s="101"/>
      <c r="II98" s="101"/>
      <c r="IJ98" s="101"/>
      <c r="IK98" s="101"/>
      <c r="IL98" s="101"/>
      <c r="IM98" s="101"/>
      <c r="IN98" s="101"/>
      <c r="IO98" s="101"/>
      <c r="IP98" s="101"/>
      <c r="IQ98" s="101"/>
      <c r="IR98" s="101"/>
      <c r="IS98" s="101"/>
      <c r="IT98" s="101"/>
    </row>
    <row r="99" spans="1:254">
      <c r="A99" s="101"/>
      <c r="B99" s="101"/>
      <c r="C99" s="101"/>
      <c r="D99" s="101"/>
      <c r="F99" s="7"/>
      <c r="G99" s="7"/>
      <c r="H99" s="7"/>
      <c r="I99" s="7"/>
      <c r="J99" s="7"/>
      <c r="K99" s="7"/>
      <c r="L99" s="7"/>
      <c r="M99" s="52"/>
      <c r="N99" s="52"/>
      <c r="O99" s="7"/>
      <c r="P99" s="52"/>
      <c r="Q99" s="52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1"/>
      <c r="BD99" s="101"/>
      <c r="BE99" s="101"/>
      <c r="BF99" s="101"/>
      <c r="BG99" s="101"/>
      <c r="BH99" s="101"/>
      <c r="BI99" s="101"/>
      <c r="BJ99" s="101"/>
      <c r="BK99" s="101"/>
      <c r="BL99" s="101"/>
      <c r="BM99" s="101"/>
      <c r="BN99" s="101"/>
      <c r="BO99" s="101"/>
      <c r="BP99" s="101"/>
      <c r="BQ99" s="101"/>
      <c r="BR99" s="101"/>
      <c r="BS99" s="101"/>
      <c r="BT99" s="101"/>
      <c r="BU99" s="101"/>
      <c r="BV99" s="101"/>
      <c r="BW99" s="101"/>
      <c r="BX99" s="101"/>
      <c r="BY99" s="101"/>
      <c r="BZ99" s="101"/>
      <c r="CA99" s="101"/>
      <c r="CB99" s="101"/>
      <c r="CC99" s="101"/>
      <c r="CD99" s="101"/>
      <c r="CE99" s="101"/>
      <c r="CF99" s="101"/>
      <c r="CG99" s="101"/>
      <c r="CH99" s="101"/>
      <c r="CI99" s="101"/>
      <c r="CJ99" s="101"/>
      <c r="CK99" s="101"/>
      <c r="CL99" s="101"/>
      <c r="CM99" s="101"/>
      <c r="CN99" s="101"/>
      <c r="CO99" s="101"/>
      <c r="CP99" s="101"/>
      <c r="CQ99" s="101"/>
      <c r="CR99" s="101"/>
      <c r="CS99" s="101"/>
      <c r="CT99" s="101"/>
      <c r="CU99" s="101"/>
      <c r="CV99" s="101"/>
      <c r="CW99" s="101"/>
      <c r="CX99" s="101"/>
      <c r="CY99" s="101"/>
      <c r="CZ99" s="101"/>
      <c r="DA99" s="101"/>
      <c r="DB99" s="101"/>
      <c r="DC99" s="101"/>
      <c r="DD99" s="101"/>
      <c r="DE99" s="101"/>
      <c r="DF99" s="101"/>
      <c r="DG99" s="101"/>
      <c r="DH99" s="101"/>
      <c r="DI99" s="101"/>
      <c r="DJ99" s="101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1"/>
      <c r="DV99" s="101"/>
      <c r="DW99" s="101"/>
      <c r="DX99" s="101"/>
      <c r="DY99" s="101"/>
      <c r="DZ99" s="101"/>
      <c r="EA99" s="101"/>
      <c r="EB99" s="101"/>
      <c r="EC99" s="101"/>
      <c r="ED99" s="101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1"/>
      <c r="EP99" s="101"/>
      <c r="EQ99" s="101"/>
      <c r="ER99" s="101"/>
      <c r="ES99" s="101"/>
      <c r="ET99" s="101"/>
      <c r="EU99" s="101"/>
      <c r="EV99" s="101"/>
      <c r="EW99" s="101"/>
      <c r="EX99" s="101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1"/>
      <c r="FU99" s="101"/>
      <c r="FV99" s="101"/>
      <c r="FW99" s="101"/>
      <c r="FX99" s="101"/>
      <c r="FY99" s="101"/>
      <c r="FZ99" s="101"/>
      <c r="GA99" s="101"/>
      <c r="GB99" s="101"/>
      <c r="GC99" s="101"/>
      <c r="GD99" s="101"/>
      <c r="GE99" s="101"/>
      <c r="GF99" s="101"/>
      <c r="GG99" s="101"/>
      <c r="GH99" s="101"/>
      <c r="GI99" s="101"/>
      <c r="GJ99" s="101"/>
      <c r="GK99" s="101"/>
      <c r="GL99" s="101"/>
      <c r="GM99" s="101"/>
      <c r="GN99" s="101"/>
      <c r="GO99" s="101"/>
      <c r="GP99" s="101"/>
      <c r="GQ99" s="101"/>
      <c r="GR99" s="101"/>
      <c r="GS99" s="101"/>
      <c r="GT99" s="101"/>
      <c r="GU99" s="101"/>
      <c r="GV99" s="101"/>
      <c r="GW99" s="101"/>
      <c r="GX99" s="101"/>
      <c r="GY99" s="101"/>
      <c r="GZ99" s="101"/>
      <c r="HA99" s="101"/>
      <c r="HB99" s="101"/>
      <c r="HC99" s="101"/>
      <c r="HD99" s="101"/>
      <c r="HE99" s="101"/>
      <c r="HF99" s="101"/>
      <c r="HG99" s="101"/>
      <c r="HH99" s="101"/>
      <c r="HI99" s="101"/>
      <c r="HJ99" s="101"/>
      <c r="HK99" s="101"/>
      <c r="HL99" s="101"/>
      <c r="HM99" s="101"/>
      <c r="HN99" s="101"/>
      <c r="HO99" s="101"/>
      <c r="HP99" s="101"/>
      <c r="HQ99" s="101"/>
      <c r="HR99" s="101"/>
      <c r="HS99" s="101"/>
      <c r="HT99" s="101"/>
      <c r="HU99" s="101"/>
      <c r="HV99" s="101"/>
      <c r="HW99" s="101"/>
      <c r="HX99" s="101"/>
      <c r="HY99" s="101"/>
      <c r="HZ99" s="101"/>
      <c r="IA99" s="101"/>
      <c r="IB99" s="101"/>
      <c r="IC99" s="101"/>
      <c r="ID99" s="101"/>
      <c r="IE99" s="101"/>
      <c r="IF99" s="101"/>
      <c r="IG99" s="101"/>
      <c r="IH99" s="101"/>
      <c r="II99" s="101"/>
      <c r="IJ99" s="101"/>
      <c r="IK99" s="101"/>
      <c r="IL99" s="101"/>
      <c r="IM99" s="101"/>
      <c r="IN99" s="101"/>
      <c r="IO99" s="101"/>
      <c r="IP99" s="101"/>
      <c r="IQ99" s="101"/>
      <c r="IR99" s="101"/>
      <c r="IS99" s="101"/>
      <c r="IT99" s="101"/>
    </row>
    <row r="100" spans="1:254">
      <c r="A100" s="101"/>
      <c r="B100" s="101"/>
      <c r="C100" s="101"/>
      <c r="D100" s="101"/>
      <c r="F100" s="7"/>
      <c r="G100" s="7"/>
      <c r="H100" s="7"/>
      <c r="I100" s="7"/>
      <c r="J100" s="7"/>
      <c r="K100" s="7"/>
      <c r="L100" s="7"/>
      <c r="M100" s="52"/>
      <c r="N100" s="52"/>
      <c r="O100" s="7"/>
      <c r="P100" s="52"/>
      <c r="Q100" s="52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1"/>
      <c r="BD100" s="101"/>
      <c r="BE100" s="101"/>
      <c r="BF100" s="101"/>
      <c r="BG100" s="101"/>
      <c r="BH100" s="101"/>
      <c r="BI100" s="101"/>
      <c r="BJ100" s="101"/>
      <c r="BK100" s="101"/>
      <c r="BL100" s="101"/>
      <c r="BM100" s="101"/>
      <c r="BN100" s="101"/>
      <c r="BO100" s="101"/>
      <c r="BP100" s="101"/>
      <c r="BQ100" s="101"/>
      <c r="BR100" s="101"/>
      <c r="BS100" s="101"/>
      <c r="BT100" s="101"/>
      <c r="BU100" s="101"/>
      <c r="BV100" s="101"/>
      <c r="BW100" s="101"/>
      <c r="BX100" s="101"/>
      <c r="BY100" s="101"/>
      <c r="BZ100" s="101"/>
      <c r="CA100" s="101"/>
      <c r="CB100" s="101"/>
      <c r="CC100" s="101"/>
      <c r="CD100" s="101"/>
      <c r="CE100" s="101"/>
      <c r="CF100" s="101"/>
      <c r="CG100" s="101"/>
      <c r="CH100" s="101"/>
      <c r="CI100" s="101"/>
      <c r="CJ100" s="101"/>
      <c r="CK100" s="101"/>
      <c r="CL100" s="101"/>
      <c r="CM100" s="101"/>
      <c r="CN100" s="101"/>
      <c r="CO100" s="101"/>
      <c r="CP100" s="101"/>
      <c r="CQ100" s="101"/>
      <c r="CR100" s="101"/>
      <c r="CS100" s="101"/>
      <c r="CT100" s="101"/>
      <c r="CU100" s="101"/>
      <c r="CV100" s="101"/>
      <c r="CW100" s="101"/>
      <c r="CX100" s="101"/>
      <c r="CY100" s="101"/>
      <c r="CZ100" s="101"/>
      <c r="DA100" s="101"/>
      <c r="DB100" s="101"/>
      <c r="DC100" s="101"/>
      <c r="DD100" s="101"/>
      <c r="DE100" s="101"/>
      <c r="DF100" s="101"/>
      <c r="DG100" s="101"/>
      <c r="DH100" s="101"/>
      <c r="DI100" s="101"/>
      <c r="DJ100" s="101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1"/>
      <c r="DV100" s="101"/>
      <c r="DW100" s="101"/>
      <c r="DX100" s="101"/>
      <c r="DY100" s="101"/>
      <c r="DZ100" s="101"/>
      <c r="EA100" s="101"/>
      <c r="EB100" s="101"/>
      <c r="EC100" s="101"/>
      <c r="ED100" s="101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1"/>
      <c r="EP100" s="101"/>
      <c r="EQ100" s="101"/>
      <c r="ER100" s="101"/>
      <c r="ES100" s="101"/>
      <c r="ET100" s="101"/>
      <c r="EU100" s="101"/>
      <c r="EV100" s="101"/>
      <c r="EW100" s="101"/>
      <c r="EX100" s="101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1"/>
      <c r="FU100" s="101"/>
      <c r="FV100" s="101"/>
      <c r="FW100" s="101"/>
      <c r="FX100" s="101"/>
      <c r="FY100" s="101"/>
      <c r="FZ100" s="101"/>
      <c r="GA100" s="101"/>
      <c r="GB100" s="101"/>
      <c r="GC100" s="101"/>
      <c r="GD100" s="101"/>
      <c r="GE100" s="101"/>
      <c r="GF100" s="101"/>
      <c r="GG100" s="101"/>
      <c r="GH100" s="101"/>
      <c r="GI100" s="101"/>
      <c r="GJ100" s="101"/>
      <c r="GK100" s="101"/>
      <c r="GL100" s="101"/>
      <c r="GM100" s="101"/>
      <c r="GN100" s="101"/>
      <c r="GO100" s="101"/>
      <c r="GP100" s="101"/>
      <c r="GQ100" s="101"/>
      <c r="GR100" s="101"/>
      <c r="GS100" s="101"/>
      <c r="GT100" s="101"/>
      <c r="GU100" s="101"/>
      <c r="GV100" s="101"/>
      <c r="GW100" s="101"/>
      <c r="GX100" s="101"/>
      <c r="GY100" s="101"/>
      <c r="GZ100" s="101"/>
      <c r="HA100" s="101"/>
      <c r="HB100" s="101"/>
      <c r="HC100" s="101"/>
      <c r="HD100" s="101"/>
      <c r="HE100" s="101"/>
      <c r="HF100" s="101"/>
      <c r="HG100" s="101"/>
      <c r="HH100" s="101"/>
      <c r="HI100" s="101"/>
      <c r="HJ100" s="101"/>
      <c r="HK100" s="101"/>
      <c r="HL100" s="101"/>
      <c r="HM100" s="101"/>
      <c r="HN100" s="101"/>
      <c r="HO100" s="101"/>
      <c r="HP100" s="101"/>
      <c r="HQ100" s="101"/>
      <c r="HR100" s="101"/>
      <c r="HS100" s="101"/>
      <c r="HT100" s="101"/>
      <c r="HU100" s="101"/>
      <c r="HV100" s="101"/>
      <c r="HW100" s="101"/>
      <c r="HX100" s="101"/>
      <c r="HY100" s="101"/>
      <c r="HZ100" s="101"/>
      <c r="IA100" s="101"/>
      <c r="IB100" s="101"/>
      <c r="IC100" s="101"/>
      <c r="ID100" s="101"/>
      <c r="IE100" s="101"/>
      <c r="IF100" s="101"/>
      <c r="IG100" s="101"/>
      <c r="IH100" s="101"/>
      <c r="II100" s="101"/>
      <c r="IJ100" s="101"/>
      <c r="IK100" s="101"/>
      <c r="IL100" s="101"/>
      <c r="IM100" s="101"/>
      <c r="IN100" s="101"/>
      <c r="IO100" s="101"/>
      <c r="IP100" s="101"/>
      <c r="IQ100" s="101"/>
      <c r="IR100" s="101"/>
      <c r="IS100" s="101"/>
      <c r="IT100" s="101"/>
    </row>
    <row r="101" spans="1:254">
      <c r="A101" s="101"/>
      <c r="B101" s="101"/>
      <c r="C101" s="101"/>
      <c r="D101" s="101"/>
      <c r="F101" s="7"/>
      <c r="G101" s="7"/>
      <c r="H101" s="7"/>
      <c r="I101" s="7"/>
      <c r="J101" s="7"/>
      <c r="K101" s="7"/>
      <c r="L101" s="7"/>
      <c r="M101" s="52"/>
      <c r="N101" s="52"/>
      <c r="O101" s="7"/>
      <c r="P101" s="52"/>
      <c r="Q101" s="52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  <c r="BL101" s="101"/>
      <c r="BM101" s="101"/>
      <c r="BN101" s="101"/>
      <c r="BO101" s="101"/>
      <c r="BP101" s="101"/>
      <c r="BQ101" s="101"/>
      <c r="BR101" s="101"/>
      <c r="BS101" s="101"/>
      <c r="BT101" s="101"/>
      <c r="BU101" s="101"/>
      <c r="BV101" s="101"/>
      <c r="BW101" s="101"/>
      <c r="BX101" s="101"/>
      <c r="BY101" s="101"/>
      <c r="BZ101" s="101"/>
      <c r="CA101" s="101"/>
      <c r="CB101" s="101"/>
      <c r="CC101" s="101"/>
      <c r="CD101" s="101"/>
      <c r="CE101" s="101"/>
      <c r="CF101" s="101"/>
      <c r="CG101" s="101"/>
      <c r="CH101" s="101"/>
      <c r="CI101" s="101"/>
      <c r="CJ101" s="101"/>
      <c r="CK101" s="101"/>
      <c r="CL101" s="101"/>
      <c r="CM101" s="101"/>
      <c r="CN101" s="101"/>
      <c r="CO101" s="101"/>
      <c r="CP101" s="101"/>
      <c r="CQ101" s="101"/>
      <c r="CR101" s="101"/>
      <c r="CS101" s="101"/>
      <c r="CT101" s="101"/>
      <c r="CU101" s="101"/>
      <c r="CV101" s="101"/>
      <c r="CW101" s="101"/>
      <c r="CX101" s="101"/>
      <c r="CY101" s="101"/>
      <c r="CZ101" s="101"/>
      <c r="DA101" s="101"/>
      <c r="DB101" s="101"/>
      <c r="DC101" s="101"/>
      <c r="DD101" s="101"/>
      <c r="DE101" s="101"/>
      <c r="DF101" s="101"/>
      <c r="DG101" s="101"/>
      <c r="DH101" s="101"/>
      <c r="DI101" s="101"/>
      <c r="DJ101" s="101"/>
      <c r="DK101" s="101"/>
      <c r="DL101" s="101"/>
      <c r="DM101" s="101"/>
      <c r="DN101" s="101"/>
      <c r="DO101" s="101"/>
      <c r="DP101" s="101"/>
      <c r="DQ101" s="101"/>
      <c r="DR101" s="101"/>
      <c r="DS101" s="101"/>
      <c r="DT101" s="101"/>
      <c r="DU101" s="101"/>
      <c r="DV101" s="101"/>
      <c r="DW101" s="101"/>
      <c r="DX101" s="101"/>
      <c r="DY101" s="101"/>
      <c r="DZ101" s="101"/>
      <c r="EA101" s="101"/>
      <c r="EB101" s="101"/>
      <c r="EC101" s="101"/>
      <c r="ED101" s="101"/>
      <c r="EE101" s="101"/>
      <c r="EF101" s="101"/>
      <c r="EG101" s="101"/>
      <c r="EH101" s="101"/>
      <c r="EI101" s="101"/>
      <c r="EJ101" s="101"/>
      <c r="EK101" s="101"/>
      <c r="EL101" s="101"/>
      <c r="EM101" s="101"/>
      <c r="EN101" s="101"/>
      <c r="EO101" s="101"/>
      <c r="EP101" s="101"/>
      <c r="EQ101" s="101"/>
      <c r="ER101" s="101"/>
      <c r="ES101" s="101"/>
      <c r="ET101" s="101"/>
      <c r="EU101" s="101"/>
      <c r="EV101" s="101"/>
      <c r="EW101" s="101"/>
      <c r="EX101" s="101"/>
      <c r="EY101" s="101"/>
      <c r="EZ101" s="101"/>
      <c r="FA101" s="101"/>
      <c r="FB101" s="101"/>
      <c r="FC101" s="101"/>
      <c r="FD101" s="101"/>
      <c r="FE101" s="101"/>
      <c r="FF101" s="101"/>
      <c r="FG101" s="101"/>
      <c r="FH101" s="101"/>
      <c r="FI101" s="101"/>
      <c r="FJ101" s="101"/>
      <c r="FK101" s="101"/>
      <c r="FL101" s="101"/>
      <c r="FM101" s="101"/>
      <c r="FN101" s="101"/>
      <c r="FO101" s="101"/>
      <c r="FP101" s="101"/>
      <c r="FQ101" s="101"/>
      <c r="FR101" s="101"/>
      <c r="FS101" s="101"/>
      <c r="FT101" s="101"/>
      <c r="FU101" s="101"/>
      <c r="FV101" s="101"/>
      <c r="FW101" s="101"/>
      <c r="FX101" s="101"/>
      <c r="FY101" s="101"/>
      <c r="FZ101" s="101"/>
      <c r="GA101" s="101"/>
      <c r="GB101" s="101"/>
      <c r="GC101" s="101"/>
      <c r="GD101" s="101"/>
      <c r="GE101" s="101"/>
      <c r="GF101" s="101"/>
      <c r="GG101" s="101"/>
      <c r="GH101" s="101"/>
      <c r="GI101" s="101"/>
      <c r="GJ101" s="101"/>
      <c r="GK101" s="101"/>
      <c r="GL101" s="101"/>
      <c r="GM101" s="101"/>
      <c r="GN101" s="101"/>
      <c r="GO101" s="101"/>
      <c r="GP101" s="101"/>
      <c r="GQ101" s="101"/>
      <c r="GR101" s="101"/>
      <c r="GS101" s="101"/>
      <c r="GT101" s="101"/>
      <c r="GU101" s="101"/>
      <c r="GV101" s="101"/>
      <c r="GW101" s="101"/>
      <c r="GX101" s="101"/>
      <c r="GY101" s="101"/>
      <c r="GZ101" s="101"/>
      <c r="HA101" s="101"/>
      <c r="HB101" s="101"/>
      <c r="HC101" s="101"/>
      <c r="HD101" s="101"/>
      <c r="HE101" s="101"/>
      <c r="HF101" s="101"/>
      <c r="HG101" s="101"/>
      <c r="HH101" s="101"/>
      <c r="HI101" s="101"/>
      <c r="HJ101" s="101"/>
      <c r="HK101" s="101"/>
      <c r="HL101" s="101"/>
      <c r="HM101" s="101"/>
      <c r="HN101" s="101"/>
      <c r="HO101" s="101"/>
      <c r="HP101" s="101"/>
      <c r="HQ101" s="101"/>
      <c r="HR101" s="101"/>
      <c r="HS101" s="101"/>
      <c r="HT101" s="101"/>
      <c r="HU101" s="101"/>
      <c r="HV101" s="101"/>
      <c r="HW101" s="101"/>
      <c r="HX101" s="101"/>
      <c r="HY101" s="101"/>
      <c r="HZ101" s="101"/>
      <c r="IA101" s="101"/>
      <c r="IB101" s="101"/>
      <c r="IC101" s="101"/>
      <c r="ID101" s="101"/>
      <c r="IE101" s="101"/>
      <c r="IF101" s="101"/>
      <c r="IG101" s="101"/>
      <c r="IH101" s="101"/>
      <c r="II101" s="101"/>
      <c r="IJ101" s="101"/>
      <c r="IK101" s="101"/>
      <c r="IL101" s="101"/>
      <c r="IM101" s="101"/>
      <c r="IN101" s="101"/>
      <c r="IO101" s="101"/>
      <c r="IP101" s="101"/>
      <c r="IQ101" s="101"/>
      <c r="IR101" s="101"/>
      <c r="IS101" s="101"/>
      <c r="IT101" s="101"/>
    </row>
    <row r="102" spans="1:254">
      <c r="A102" s="101"/>
      <c r="B102" s="101"/>
      <c r="C102" s="101"/>
      <c r="D102" s="101"/>
      <c r="F102" s="7"/>
      <c r="G102" s="7"/>
      <c r="H102" s="7"/>
      <c r="I102" s="7"/>
      <c r="J102" s="7"/>
      <c r="K102" s="7"/>
      <c r="L102" s="7"/>
      <c r="M102" s="52"/>
      <c r="N102" s="52"/>
      <c r="O102" s="7"/>
      <c r="P102" s="52"/>
      <c r="Q102" s="52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  <c r="BJ102" s="101"/>
      <c r="BK102" s="101"/>
      <c r="BL102" s="101"/>
      <c r="BM102" s="101"/>
      <c r="BN102" s="101"/>
      <c r="BO102" s="101"/>
      <c r="BP102" s="101"/>
      <c r="BQ102" s="101"/>
      <c r="BR102" s="101"/>
      <c r="BS102" s="101"/>
      <c r="BT102" s="101"/>
      <c r="BU102" s="101"/>
      <c r="BV102" s="101"/>
      <c r="BW102" s="101"/>
      <c r="BX102" s="101"/>
      <c r="BY102" s="101"/>
      <c r="BZ102" s="101"/>
      <c r="CA102" s="101"/>
      <c r="CB102" s="101"/>
      <c r="CC102" s="101"/>
      <c r="CD102" s="101"/>
      <c r="CE102" s="101"/>
      <c r="CF102" s="101"/>
      <c r="CG102" s="101"/>
      <c r="CH102" s="101"/>
      <c r="CI102" s="101"/>
      <c r="CJ102" s="101"/>
      <c r="CK102" s="101"/>
      <c r="CL102" s="101"/>
      <c r="CM102" s="101"/>
      <c r="CN102" s="101"/>
      <c r="CO102" s="101"/>
      <c r="CP102" s="101"/>
      <c r="CQ102" s="101"/>
      <c r="CR102" s="101"/>
      <c r="CS102" s="101"/>
      <c r="CT102" s="101"/>
      <c r="CU102" s="101"/>
      <c r="CV102" s="101"/>
      <c r="CW102" s="101"/>
      <c r="CX102" s="101"/>
      <c r="CY102" s="101"/>
      <c r="CZ102" s="101"/>
      <c r="DA102" s="101"/>
      <c r="DB102" s="101"/>
      <c r="DC102" s="101"/>
      <c r="DD102" s="101"/>
      <c r="DE102" s="101"/>
      <c r="DF102" s="101"/>
      <c r="DG102" s="101"/>
      <c r="DH102" s="101"/>
      <c r="DI102" s="101"/>
      <c r="DJ102" s="101"/>
      <c r="DK102" s="101"/>
      <c r="DL102" s="101"/>
      <c r="DM102" s="101"/>
      <c r="DN102" s="101"/>
      <c r="DO102" s="101"/>
      <c r="DP102" s="101"/>
      <c r="DQ102" s="101"/>
      <c r="DR102" s="101"/>
      <c r="DS102" s="101"/>
      <c r="DT102" s="101"/>
      <c r="DU102" s="101"/>
      <c r="DV102" s="101"/>
      <c r="DW102" s="101"/>
      <c r="DX102" s="101"/>
      <c r="DY102" s="101"/>
      <c r="DZ102" s="101"/>
      <c r="EA102" s="101"/>
      <c r="EB102" s="101"/>
      <c r="EC102" s="101"/>
      <c r="ED102" s="101"/>
      <c r="EE102" s="101"/>
      <c r="EF102" s="101"/>
      <c r="EG102" s="101"/>
      <c r="EH102" s="101"/>
      <c r="EI102" s="101"/>
      <c r="EJ102" s="101"/>
      <c r="EK102" s="101"/>
      <c r="EL102" s="101"/>
      <c r="EM102" s="101"/>
      <c r="EN102" s="101"/>
      <c r="EO102" s="101"/>
      <c r="EP102" s="101"/>
      <c r="EQ102" s="101"/>
      <c r="ER102" s="101"/>
      <c r="ES102" s="101"/>
      <c r="ET102" s="101"/>
      <c r="EU102" s="101"/>
      <c r="EV102" s="101"/>
      <c r="EW102" s="101"/>
      <c r="EX102" s="101"/>
      <c r="EY102" s="101"/>
      <c r="EZ102" s="101"/>
      <c r="FA102" s="101"/>
      <c r="FB102" s="101"/>
      <c r="FC102" s="101"/>
      <c r="FD102" s="101"/>
      <c r="FE102" s="101"/>
      <c r="FF102" s="101"/>
      <c r="FG102" s="101"/>
      <c r="FH102" s="101"/>
      <c r="FI102" s="101"/>
      <c r="FJ102" s="101"/>
      <c r="FK102" s="101"/>
      <c r="FL102" s="101"/>
      <c r="FM102" s="101"/>
      <c r="FN102" s="101"/>
      <c r="FO102" s="101"/>
      <c r="FP102" s="101"/>
      <c r="FQ102" s="101"/>
      <c r="FR102" s="101"/>
      <c r="FS102" s="101"/>
      <c r="FT102" s="101"/>
      <c r="FU102" s="101"/>
      <c r="FV102" s="101"/>
      <c r="FW102" s="101"/>
      <c r="FX102" s="101"/>
      <c r="FY102" s="101"/>
      <c r="FZ102" s="101"/>
      <c r="GA102" s="101"/>
      <c r="GB102" s="101"/>
      <c r="GC102" s="101"/>
      <c r="GD102" s="101"/>
      <c r="GE102" s="101"/>
      <c r="GF102" s="101"/>
      <c r="GG102" s="101"/>
      <c r="GH102" s="101"/>
      <c r="GI102" s="101"/>
      <c r="GJ102" s="101"/>
      <c r="GK102" s="101"/>
      <c r="GL102" s="101"/>
      <c r="GM102" s="101"/>
      <c r="GN102" s="101"/>
      <c r="GO102" s="101"/>
      <c r="GP102" s="101"/>
      <c r="GQ102" s="101"/>
      <c r="GR102" s="101"/>
      <c r="GS102" s="101"/>
      <c r="GT102" s="101"/>
      <c r="GU102" s="101"/>
      <c r="GV102" s="101"/>
      <c r="GW102" s="101"/>
      <c r="GX102" s="101"/>
      <c r="GY102" s="101"/>
      <c r="GZ102" s="101"/>
      <c r="HA102" s="101"/>
      <c r="HB102" s="101"/>
      <c r="HC102" s="101"/>
      <c r="HD102" s="101"/>
      <c r="HE102" s="101"/>
      <c r="HF102" s="101"/>
      <c r="HG102" s="101"/>
      <c r="HH102" s="101"/>
      <c r="HI102" s="101"/>
      <c r="HJ102" s="101"/>
      <c r="HK102" s="101"/>
      <c r="HL102" s="101"/>
      <c r="HM102" s="101"/>
      <c r="HN102" s="101"/>
      <c r="HO102" s="101"/>
      <c r="HP102" s="101"/>
      <c r="HQ102" s="101"/>
      <c r="HR102" s="101"/>
      <c r="HS102" s="101"/>
      <c r="HT102" s="101"/>
      <c r="HU102" s="101"/>
      <c r="HV102" s="101"/>
      <c r="HW102" s="101"/>
      <c r="HX102" s="101"/>
      <c r="HY102" s="101"/>
      <c r="HZ102" s="101"/>
      <c r="IA102" s="101"/>
      <c r="IB102" s="101"/>
      <c r="IC102" s="101"/>
      <c r="ID102" s="101"/>
      <c r="IE102" s="101"/>
      <c r="IF102" s="101"/>
      <c r="IG102" s="101"/>
      <c r="IH102" s="101"/>
      <c r="II102" s="101"/>
      <c r="IJ102" s="101"/>
      <c r="IK102" s="101"/>
      <c r="IL102" s="101"/>
      <c r="IM102" s="101"/>
      <c r="IN102" s="101"/>
      <c r="IO102" s="101"/>
      <c r="IP102" s="101"/>
      <c r="IQ102" s="101"/>
      <c r="IR102" s="101"/>
      <c r="IS102" s="101"/>
      <c r="IT102" s="101"/>
    </row>
    <row r="103" spans="1:254">
      <c r="A103" s="101"/>
      <c r="B103" s="101"/>
      <c r="C103" s="101"/>
      <c r="D103" s="101"/>
      <c r="F103" s="7"/>
      <c r="G103" s="7"/>
      <c r="H103" s="7"/>
      <c r="I103" s="7"/>
      <c r="J103" s="7"/>
      <c r="K103" s="7"/>
      <c r="L103" s="7"/>
      <c r="M103" s="52"/>
      <c r="N103" s="52"/>
      <c r="O103" s="7"/>
      <c r="P103" s="52"/>
      <c r="Q103" s="52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1"/>
      <c r="BD103" s="101"/>
      <c r="BE103" s="101"/>
      <c r="BF103" s="101"/>
      <c r="BG103" s="101"/>
      <c r="BH103" s="101"/>
      <c r="BI103" s="101"/>
      <c r="BJ103" s="101"/>
      <c r="BK103" s="101"/>
      <c r="BL103" s="101"/>
      <c r="BM103" s="101"/>
      <c r="BN103" s="101"/>
      <c r="BO103" s="101"/>
      <c r="BP103" s="101"/>
      <c r="BQ103" s="101"/>
      <c r="BR103" s="101"/>
      <c r="BS103" s="101"/>
      <c r="BT103" s="101"/>
      <c r="BU103" s="101"/>
      <c r="BV103" s="101"/>
      <c r="BW103" s="101"/>
      <c r="BX103" s="101"/>
      <c r="BY103" s="101"/>
      <c r="BZ103" s="101"/>
      <c r="CA103" s="101"/>
      <c r="CB103" s="101"/>
      <c r="CC103" s="101"/>
      <c r="CD103" s="101"/>
      <c r="CE103" s="101"/>
      <c r="CF103" s="101"/>
      <c r="CG103" s="101"/>
      <c r="CH103" s="101"/>
      <c r="CI103" s="101"/>
      <c r="CJ103" s="101"/>
      <c r="CK103" s="101"/>
      <c r="CL103" s="101"/>
      <c r="CM103" s="101"/>
      <c r="CN103" s="101"/>
      <c r="CO103" s="101"/>
      <c r="CP103" s="101"/>
      <c r="CQ103" s="101"/>
      <c r="CR103" s="101"/>
      <c r="CS103" s="101"/>
      <c r="CT103" s="101"/>
      <c r="CU103" s="101"/>
      <c r="CV103" s="101"/>
      <c r="CW103" s="101"/>
      <c r="CX103" s="101"/>
      <c r="CY103" s="101"/>
      <c r="CZ103" s="101"/>
      <c r="DA103" s="101"/>
      <c r="DB103" s="101"/>
      <c r="DC103" s="101"/>
      <c r="DD103" s="101"/>
      <c r="DE103" s="101"/>
      <c r="DF103" s="101"/>
      <c r="DG103" s="101"/>
      <c r="DH103" s="101"/>
      <c r="DI103" s="101"/>
      <c r="DJ103" s="101"/>
      <c r="DK103" s="101"/>
      <c r="DL103" s="101"/>
      <c r="DM103" s="101"/>
      <c r="DN103" s="101"/>
      <c r="DO103" s="101"/>
      <c r="DP103" s="101"/>
      <c r="DQ103" s="101"/>
      <c r="DR103" s="101"/>
      <c r="DS103" s="101"/>
      <c r="DT103" s="101"/>
      <c r="DU103" s="101"/>
      <c r="DV103" s="101"/>
      <c r="DW103" s="101"/>
      <c r="DX103" s="101"/>
      <c r="DY103" s="101"/>
      <c r="DZ103" s="101"/>
      <c r="EA103" s="101"/>
      <c r="EB103" s="101"/>
      <c r="EC103" s="101"/>
      <c r="ED103" s="101"/>
      <c r="EE103" s="101"/>
      <c r="EF103" s="101"/>
      <c r="EG103" s="101"/>
      <c r="EH103" s="101"/>
      <c r="EI103" s="101"/>
      <c r="EJ103" s="101"/>
      <c r="EK103" s="101"/>
      <c r="EL103" s="101"/>
      <c r="EM103" s="101"/>
      <c r="EN103" s="101"/>
      <c r="EO103" s="101"/>
      <c r="EP103" s="101"/>
      <c r="EQ103" s="101"/>
      <c r="ER103" s="101"/>
      <c r="ES103" s="101"/>
      <c r="ET103" s="101"/>
      <c r="EU103" s="101"/>
      <c r="EV103" s="101"/>
      <c r="EW103" s="101"/>
      <c r="EX103" s="101"/>
      <c r="EY103" s="101"/>
      <c r="EZ103" s="101"/>
      <c r="FA103" s="101"/>
      <c r="FB103" s="101"/>
      <c r="FC103" s="101"/>
      <c r="FD103" s="101"/>
      <c r="FE103" s="101"/>
      <c r="FF103" s="101"/>
      <c r="FG103" s="101"/>
      <c r="FH103" s="101"/>
      <c r="FI103" s="101"/>
      <c r="FJ103" s="101"/>
      <c r="FK103" s="101"/>
      <c r="FL103" s="101"/>
      <c r="FM103" s="101"/>
      <c r="FN103" s="101"/>
      <c r="FO103" s="101"/>
      <c r="FP103" s="101"/>
      <c r="FQ103" s="101"/>
      <c r="FR103" s="101"/>
      <c r="FS103" s="101"/>
      <c r="FT103" s="101"/>
      <c r="FU103" s="101"/>
      <c r="FV103" s="101"/>
      <c r="FW103" s="101"/>
      <c r="FX103" s="101"/>
      <c r="FY103" s="101"/>
      <c r="FZ103" s="101"/>
      <c r="GA103" s="101"/>
      <c r="GB103" s="101"/>
      <c r="GC103" s="101"/>
      <c r="GD103" s="101"/>
      <c r="GE103" s="101"/>
      <c r="GF103" s="101"/>
      <c r="GG103" s="101"/>
      <c r="GH103" s="101"/>
      <c r="GI103" s="101"/>
      <c r="GJ103" s="101"/>
      <c r="GK103" s="101"/>
      <c r="GL103" s="101"/>
      <c r="GM103" s="101"/>
      <c r="GN103" s="101"/>
      <c r="GO103" s="101"/>
      <c r="GP103" s="101"/>
      <c r="GQ103" s="101"/>
      <c r="GR103" s="101"/>
      <c r="GS103" s="101"/>
      <c r="GT103" s="101"/>
      <c r="GU103" s="101"/>
      <c r="GV103" s="101"/>
      <c r="GW103" s="101"/>
      <c r="GX103" s="101"/>
      <c r="GY103" s="101"/>
      <c r="GZ103" s="101"/>
      <c r="HA103" s="101"/>
      <c r="HB103" s="101"/>
      <c r="HC103" s="101"/>
      <c r="HD103" s="101"/>
      <c r="HE103" s="101"/>
      <c r="HF103" s="101"/>
      <c r="HG103" s="101"/>
      <c r="HH103" s="101"/>
      <c r="HI103" s="101"/>
      <c r="HJ103" s="101"/>
      <c r="HK103" s="101"/>
      <c r="HL103" s="101"/>
      <c r="HM103" s="101"/>
      <c r="HN103" s="101"/>
      <c r="HO103" s="101"/>
      <c r="HP103" s="101"/>
      <c r="HQ103" s="101"/>
      <c r="HR103" s="101"/>
      <c r="HS103" s="101"/>
      <c r="HT103" s="101"/>
      <c r="HU103" s="101"/>
      <c r="HV103" s="101"/>
      <c r="HW103" s="101"/>
      <c r="HX103" s="101"/>
      <c r="HY103" s="101"/>
      <c r="HZ103" s="101"/>
      <c r="IA103" s="101"/>
      <c r="IB103" s="101"/>
      <c r="IC103" s="101"/>
      <c r="ID103" s="101"/>
      <c r="IE103" s="101"/>
      <c r="IF103" s="101"/>
      <c r="IG103" s="101"/>
      <c r="IH103" s="101"/>
      <c r="II103" s="101"/>
      <c r="IJ103" s="101"/>
      <c r="IK103" s="101"/>
      <c r="IL103" s="101"/>
      <c r="IM103" s="101"/>
      <c r="IN103" s="101"/>
      <c r="IO103" s="101"/>
      <c r="IP103" s="101"/>
      <c r="IQ103" s="101"/>
      <c r="IR103" s="101"/>
      <c r="IS103" s="101"/>
      <c r="IT103" s="101"/>
    </row>
    <row r="104" spans="1:254">
      <c r="A104" s="101"/>
      <c r="B104" s="101"/>
      <c r="C104" s="101"/>
      <c r="D104" s="101"/>
      <c r="F104" s="7"/>
      <c r="G104" s="7"/>
      <c r="H104" s="7"/>
      <c r="I104" s="7"/>
      <c r="J104" s="7"/>
      <c r="K104" s="7"/>
      <c r="L104" s="7"/>
      <c r="M104" s="52"/>
      <c r="N104" s="52"/>
      <c r="O104" s="7"/>
      <c r="P104" s="52"/>
      <c r="Q104" s="52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1"/>
      <c r="BD104" s="101"/>
      <c r="BE104" s="101"/>
      <c r="BF104" s="101"/>
      <c r="BG104" s="101"/>
      <c r="BH104" s="101"/>
      <c r="BI104" s="101"/>
      <c r="BJ104" s="101"/>
      <c r="BK104" s="101"/>
      <c r="BL104" s="101"/>
      <c r="BM104" s="101"/>
      <c r="BN104" s="101"/>
      <c r="BO104" s="101"/>
      <c r="BP104" s="101"/>
      <c r="BQ104" s="101"/>
      <c r="BR104" s="101"/>
      <c r="BS104" s="101"/>
      <c r="BT104" s="101"/>
      <c r="BU104" s="101"/>
      <c r="BV104" s="101"/>
      <c r="BW104" s="101"/>
      <c r="BX104" s="101"/>
      <c r="BY104" s="101"/>
      <c r="BZ104" s="101"/>
      <c r="CA104" s="101"/>
      <c r="CB104" s="101"/>
      <c r="CC104" s="101"/>
      <c r="CD104" s="101"/>
      <c r="CE104" s="101"/>
      <c r="CF104" s="101"/>
      <c r="CG104" s="101"/>
      <c r="CH104" s="101"/>
      <c r="CI104" s="101"/>
      <c r="CJ104" s="101"/>
      <c r="CK104" s="101"/>
      <c r="CL104" s="101"/>
      <c r="CM104" s="101"/>
      <c r="CN104" s="101"/>
      <c r="CO104" s="101"/>
      <c r="CP104" s="101"/>
      <c r="CQ104" s="101"/>
      <c r="CR104" s="101"/>
      <c r="CS104" s="101"/>
      <c r="CT104" s="101"/>
      <c r="CU104" s="101"/>
      <c r="CV104" s="101"/>
      <c r="CW104" s="101"/>
      <c r="CX104" s="101"/>
      <c r="CY104" s="101"/>
      <c r="CZ104" s="101"/>
      <c r="DA104" s="101"/>
      <c r="DB104" s="101"/>
      <c r="DC104" s="101"/>
      <c r="DD104" s="101"/>
      <c r="DE104" s="101"/>
      <c r="DF104" s="101"/>
      <c r="DG104" s="101"/>
      <c r="DH104" s="101"/>
      <c r="DI104" s="101"/>
      <c r="DJ104" s="101"/>
      <c r="DK104" s="101"/>
      <c r="DL104" s="101"/>
      <c r="DM104" s="101"/>
      <c r="DN104" s="101"/>
      <c r="DO104" s="101"/>
      <c r="DP104" s="101"/>
      <c r="DQ104" s="101"/>
      <c r="DR104" s="101"/>
      <c r="DS104" s="101"/>
      <c r="DT104" s="101"/>
      <c r="DU104" s="101"/>
      <c r="DV104" s="101"/>
      <c r="DW104" s="101"/>
      <c r="DX104" s="101"/>
      <c r="DY104" s="101"/>
      <c r="DZ104" s="101"/>
      <c r="EA104" s="101"/>
      <c r="EB104" s="101"/>
      <c r="EC104" s="101"/>
      <c r="ED104" s="101"/>
      <c r="EE104" s="101"/>
      <c r="EF104" s="101"/>
      <c r="EG104" s="101"/>
      <c r="EH104" s="101"/>
      <c r="EI104" s="101"/>
      <c r="EJ104" s="101"/>
      <c r="EK104" s="101"/>
      <c r="EL104" s="101"/>
      <c r="EM104" s="101"/>
      <c r="EN104" s="101"/>
      <c r="EO104" s="101"/>
      <c r="EP104" s="101"/>
      <c r="EQ104" s="101"/>
      <c r="ER104" s="101"/>
      <c r="ES104" s="101"/>
      <c r="ET104" s="101"/>
      <c r="EU104" s="101"/>
      <c r="EV104" s="101"/>
      <c r="EW104" s="101"/>
      <c r="EX104" s="101"/>
      <c r="EY104" s="101"/>
      <c r="EZ104" s="101"/>
      <c r="FA104" s="101"/>
      <c r="FB104" s="101"/>
      <c r="FC104" s="101"/>
      <c r="FD104" s="101"/>
      <c r="FE104" s="101"/>
      <c r="FF104" s="101"/>
      <c r="FG104" s="101"/>
      <c r="FH104" s="101"/>
      <c r="FI104" s="101"/>
      <c r="FJ104" s="101"/>
      <c r="FK104" s="101"/>
      <c r="FL104" s="101"/>
      <c r="FM104" s="101"/>
      <c r="FN104" s="101"/>
      <c r="FO104" s="101"/>
      <c r="FP104" s="101"/>
      <c r="FQ104" s="101"/>
      <c r="FR104" s="101"/>
      <c r="FS104" s="101"/>
      <c r="FT104" s="101"/>
      <c r="FU104" s="101"/>
      <c r="FV104" s="101"/>
      <c r="FW104" s="101"/>
      <c r="FX104" s="101"/>
      <c r="FY104" s="101"/>
      <c r="FZ104" s="101"/>
      <c r="GA104" s="101"/>
      <c r="GB104" s="101"/>
      <c r="GC104" s="101"/>
      <c r="GD104" s="101"/>
      <c r="GE104" s="101"/>
      <c r="GF104" s="101"/>
      <c r="GG104" s="101"/>
      <c r="GH104" s="101"/>
      <c r="GI104" s="101"/>
      <c r="GJ104" s="101"/>
      <c r="GK104" s="101"/>
      <c r="GL104" s="101"/>
      <c r="GM104" s="101"/>
      <c r="GN104" s="101"/>
      <c r="GO104" s="101"/>
      <c r="GP104" s="101"/>
      <c r="GQ104" s="101"/>
      <c r="GR104" s="101"/>
      <c r="GS104" s="101"/>
      <c r="GT104" s="101"/>
      <c r="GU104" s="101"/>
      <c r="GV104" s="101"/>
      <c r="GW104" s="101"/>
      <c r="GX104" s="101"/>
      <c r="GY104" s="101"/>
      <c r="GZ104" s="101"/>
      <c r="HA104" s="101"/>
      <c r="HB104" s="101"/>
      <c r="HC104" s="101"/>
      <c r="HD104" s="101"/>
      <c r="HE104" s="101"/>
      <c r="HF104" s="101"/>
      <c r="HG104" s="101"/>
      <c r="HH104" s="101"/>
      <c r="HI104" s="101"/>
      <c r="HJ104" s="101"/>
      <c r="HK104" s="101"/>
      <c r="HL104" s="101"/>
      <c r="HM104" s="101"/>
      <c r="HN104" s="101"/>
      <c r="HO104" s="101"/>
      <c r="HP104" s="101"/>
      <c r="HQ104" s="101"/>
      <c r="HR104" s="101"/>
      <c r="HS104" s="101"/>
      <c r="HT104" s="101"/>
      <c r="HU104" s="101"/>
      <c r="HV104" s="101"/>
      <c r="HW104" s="101"/>
      <c r="HX104" s="101"/>
      <c r="HY104" s="101"/>
      <c r="HZ104" s="101"/>
      <c r="IA104" s="101"/>
      <c r="IB104" s="101"/>
      <c r="IC104" s="101"/>
      <c r="ID104" s="101"/>
      <c r="IE104" s="101"/>
      <c r="IF104" s="101"/>
      <c r="IG104" s="101"/>
      <c r="IH104" s="101"/>
      <c r="II104" s="101"/>
      <c r="IJ104" s="101"/>
      <c r="IK104" s="101"/>
      <c r="IL104" s="101"/>
      <c r="IM104" s="101"/>
      <c r="IN104" s="101"/>
      <c r="IO104" s="101"/>
      <c r="IP104" s="101"/>
      <c r="IQ104" s="101"/>
      <c r="IR104" s="101"/>
      <c r="IS104" s="101"/>
      <c r="IT104" s="101"/>
    </row>
    <row r="105" spans="1:254">
      <c r="A105" s="101"/>
      <c r="B105" s="101"/>
      <c r="C105" s="101"/>
      <c r="D105" s="101"/>
      <c r="F105" s="7"/>
      <c r="G105" s="7"/>
      <c r="H105" s="7"/>
      <c r="I105" s="7"/>
      <c r="J105" s="7"/>
      <c r="K105" s="7"/>
      <c r="L105" s="7"/>
      <c r="M105" s="52"/>
      <c r="N105" s="52"/>
      <c r="O105" s="7"/>
      <c r="P105" s="52"/>
      <c r="Q105" s="52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1"/>
      <c r="BD105" s="101"/>
      <c r="BE105" s="101"/>
      <c r="BF105" s="101"/>
      <c r="BG105" s="101"/>
      <c r="BH105" s="101"/>
      <c r="BI105" s="101"/>
      <c r="BJ105" s="101"/>
      <c r="BK105" s="101"/>
      <c r="BL105" s="101"/>
      <c r="BM105" s="101"/>
      <c r="BN105" s="101"/>
      <c r="BO105" s="101"/>
      <c r="BP105" s="101"/>
      <c r="BQ105" s="101"/>
      <c r="BR105" s="101"/>
      <c r="BS105" s="101"/>
      <c r="BT105" s="101"/>
      <c r="BU105" s="101"/>
      <c r="BV105" s="101"/>
      <c r="BW105" s="101"/>
      <c r="BX105" s="101"/>
      <c r="BY105" s="101"/>
      <c r="BZ105" s="101"/>
      <c r="CA105" s="101"/>
      <c r="CB105" s="101"/>
      <c r="CC105" s="101"/>
      <c r="CD105" s="101"/>
      <c r="CE105" s="101"/>
      <c r="CF105" s="101"/>
      <c r="CG105" s="101"/>
      <c r="CH105" s="101"/>
      <c r="CI105" s="101"/>
      <c r="CJ105" s="101"/>
      <c r="CK105" s="101"/>
      <c r="CL105" s="101"/>
      <c r="CM105" s="101"/>
      <c r="CN105" s="101"/>
      <c r="CO105" s="101"/>
      <c r="CP105" s="101"/>
      <c r="CQ105" s="101"/>
      <c r="CR105" s="101"/>
      <c r="CS105" s="101"/>
      <c r="CT105" s="101"/>
      <c r="CU105" s="101"/>
      <c r="CV105" s="101"/>
      <c r="CW105" s="101"/>
      <c r="CX105" s="101"/>
      <c r="CY105" s="101"/>
      <c r="CZ105" s="101"/>
      <c r="DA105" s="101"/>
      <c r="DB105" s="101"/>
      <c r="DC105" s="101"/>
      <c r="DD105" s="101"/>
      <c r="DE105" s="101"/>
      <c r="DF105" s="101"/>
      <c r="DG105" s="101"/>
      <c r="DH105" s="101"/>
      <c r="DI105" s="101"/>
      <c r="DJ105" s="101"/>
      <c r="DK105" s="101"/>
      <c r="DL105" s="101"/>
      <c r="DM105" s="101"/>
      <c r="DN105" s="101"/>
      <c r="DO105" s="101"/>
      <c r="DP105" s="101"/>
      <c r="DQ105" s="101"/>
      <c r="DR105" s="101"/>
      <c r="DS105" s="101"/>
      <c r="DT105" s="101"/>
      <c r="DU105" s="101"/>
      <c r="DV105" s="101"/>
      <c r="DW105" s="101"/>
      <c r="DX105" s="101"/>
      <c r="DY105" s="101"/>
      <c r="DZ105" s="101"/>
      <c r="EA105" s="101"/>
      <c r="EB105" s="101"/>
      <c r="EC105" s="101"/>
      <c r="ED105" s="101"/>
      <c r="EE105" s="101"/>
      <c r="EF105" s="101"/>
      <c r="EG105" s="101"/>
      <c r="EH105" s="101"/>
      <c r="EI105" s="101"/>
      <c r="EJ105" s="101"/>
      <c r="EK105" s="101"/>
      <c r="EL105" s="101"/>
      <c r="EM105" s="101"/>
      <c r="EN105" s="101"/>
      <c r="EO105" s="101"/>
      <c r="EP105" s="101"/>
      <c r="EQ105" s="101"/>
      <c r="ER105" s="101"/>
      <c r="ES105" s="101"/>
      <c r="ET105" s="101"/>
      <c r="EU105" s="101"/>
      <c r="EV105" s="101"/>
      <c r="EW105" s="101"/>
      <c r="EX105" s="101"/>
      <c r="EY105" s="101"/>
      <c r="EZ105" s="101"/>
      <c r="FA105" s="101"/>
      <c r="FB105" s="101"/>
      <c r="FC105" s="101"/>
      <c r="FD105" s="101"/>
      <c r="FE105" s="101"/>
      <c r="FF105" s="101"/>
      <c r="FG105" s="101"/>
      <c r="FH105" s="101"/>
      <c r="FI105" s="101"/>
      <c r="FJ105" s="101"/>
      <c r="FK105" s="101"/>
      <c r="FL105" s="101"/>
      <c r="FM105" s="101"/>
      <c r="FN105" s="101"/>
      <c r="FO105" s="101"/>
      <c r="FP105" s="101"/>
      <c r="FQ105" s="101"/>
      <c r="FR105" s="101"/>
      <c r="FS105" s="101"/>
      <c r="FT105" s="101"/>
      <c r="FU105" s="101"/>
      <c r="FV105" s="101"/>
      <c r="FW105" s="101"/>
      <c r="FX105" s="101"/>
      <c r="FY105" s="101"/>
      <c r="FZ105" s="101"/>
      <c r="GA105" s="101"/>
      <c r="GB105" s="101"/>
      <c r="GC105" s="101"/>
      <c r="GD105" s="101"/>
      <c r="GE105" s="101"/>
      <c r="GF105" s="101"/>
      <c r="GG105" s="101"/>
      <c r="GH105" s="101"/>
      <c r="GI105" s="101"/>
      <c r="GJ105" s="101"/>
      <c r="GK105" s="101"/>
      <c r="GL105" s="101"/>
      <c r="GM105" s="101"/>
      <c r="GN105" s="101"/>
      <c r="GO105" s="101"/>
      <c r="GP105" s="101"/>
      <c r="GQ105" s="101"/>
      <c r="GR105" s="101"/>
      <c r="GS105" s="101"/>
      <c r="GT105" s="101"/>
      <c r="GU105" s="101"/>
      <c r="GV105" s="101"/>
      <c r="GW105" s="101"/>
      <c r="GX105" s="101"/>
      <c r="GY105" s="101"/>
      <c r="GZ105" s="101"/>
      <c r="HA105" s="101"/>
      <c r="HB105" s="101"/>
      <c r="HC105" s="101"/>
      <c r="HD105" s="101"/>
      <c r="HE105" s="101"/>
      <c r="HF105" s="101"/>
      <c r="HG105" s="101"/>
      <c r="HH105" s="101"/>
      <c r="HI105" s="101"/>
      <c r="HJ105" s="101"/>
      <c r="HK105" s="101"/>
      <c r="HL105" s="101"/>
      <c r="HM105" s="101"/>
      <c r="HN105" s="101"/>
      <c r="HO105" s="101"/>
      <c r="HP105" s="101"/>
      <c r="HQ105" s="101"/>
      <c r="HR105" s="101"/>
      <c r="HS105" s="101"/>
      <c r="HT105" s="101"/>
      <c r="HU105" s="101"/>
      <c r="HV105" s="101"/>
      <c r="HW105" s="101"/>
      <c r="HX105" s="101"/>
      <c r="HY105" s="101"/>
      <c r="HZ105" s="101"/>
      <c r="IA105" s="101"/>
      <c r="IB105" s="101"/>
      <c r="IC105" s="101"/>
      <c r="ID105" s="101"/>
      <c r="IE105" s="101"/>
      <c r="IF105" s="101"/>
      <c r="IG105" s="101"/>
      <c r="IH105" s="101"/>
      <c r="II105" s="101"/>
      <c r="IJ105" s="101"/>
      <c r="IK105" s="101"/>
      <c r="IL105" s="101"/>
      <c r="IM105" s="101"/>
      <c r="IN105" s="101"/>
      <c r="IO105" s="101"/>
      <c r="IP105" s="101"/>
      <c r="IQ105" s="101"/>
      <c r="IR105" s="101"/>
      <c r="IS105" s="101"/>
      <c r="IT105" s="101"/>
    </row>
    <row r="106" spans="1:254">
      <c r="A106" s="101"/>
      <c r="B106" s="101"/>
      <c r="C106" s="101"/>
      <c r="D106" s="101"/>
      <c r="F106" s="7"/>
      <c r="G106" s="7"/>
      <c r="H106" s="7"/>
      <c r="I106" s="7"/>
      <c r="J106" s="7"/>
      <c r="K106" s="7"/>
      <c r="L106" s="7"/>
      <c r="M106" s="52"/>
      <c r="N106" s="52"/>
      <c r="O106" s="7"/>
      <c r="P106" s="52"/>
      <c r="Q106" s="52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/>
      <c r="BF106" s="101"/>
      <c r="BG106" s="101"/>
      <c r="BH106" s="101"/>
      <c r="BI106" s="101"/>
      <c r="BJ106" s="101"/>
      <c r="BK106" s="101"/>
      <c r="BL106" s="101"/>
      <c r="BM106" s="101"/>
      <c r="BN106" s="101"/>
      <c r="BO106" s="101"/>
      <c r="BP106" s="101"/>
      <c r="BQ106" s="101"/>
      <c r="BR106" s="101"/>
      <c r="BS106" s="101"/>
      <c r="BT106" s="101"/>
      <c r="BU106" s="101"/>
      <c r="BV106" s="101"/>
      <c r="BW106" s="101"/>
      <c r="BX106" s="101"/>
      <c r="BY106" s="101"/>
      <c r="BZ106" s="101"/>
      <c r="CA106" s="101"/>
      <c r="CB106" s="101"/>
      <c r="CC106" s="101"/>
      <c r="CD106" s="101"/>
      <c r="CE106" s="101"/>
      <c r="CF106" s="101"/>
      <c r="CG106" s="101"/>
      <c r="CH106" s="101"/>
      <c r="CI106" s="101"/>
      <c r="CJ106" s="101"/>
      <c r="CK106" s="101"/>
      <c r="CL106" s="101"/>
      <c r="CM106" s="101"/>
      <c r="CN106" s="101"/>
      <c r="CO106" s="101"/>
      <c r="CP106" s="101"/>
      <c r="CQ106" s="101"/>
      <c r="CR106" s="101"/>
      <c r="CS106" s="101"/>
      <c r="CT106" s="101"/>
      <c r="CU106" s="101"/>
      <c r="CV106" s="101"/>
      <c r="CW106" s="101"/>
      <c r="CX106" s="101"/>
      <c r="CY106" s="101"/>
      <c r="CZ106" s="101"/>
      <c r="DA106" s="101"/>
      <c r="DB106" s="101"/>
      <c r="DC106" s="101"/>
      <c r="DD106" s="101"/>
      <c r="DE106" s="101"/>
      <c r="DF106" s="101"/>
      <c r="DG106" s="101"/>
      <c r="DH106" s="101"/>
      <c r="DI106" s="101"/>
      <c r="DJ106" s="101"/>
      <c r="DK106" s="101"/>
      <c r="DL106" s="101"/>
      <c r="DM106" s="101"/>
      <c r="DN106" s="101"/>
      <c r="DO106" s="101"/>
      <c r="DP106" s="101"/>
      <c r="DQ106" s="101"/>
      <c r="DR106" s="101"/>
      <c r="DS106" s="101"/>
      <c r="DT106" s="101"/>
      <c r="DU106" s="101"/>
      <c r="DV106" s="101"/>
      <c r="DW106" s="101"/>
      <c r="DX106" s="101"/>
      <c r="DY106" s="101"/>
      <c r="DZ106" s="101"/>
      <c r="EA106" s="101"/>
      <c r="EB106" s="101"/>
      <c r="EC106" s="101"/>
      <c r="ED106" s="101"/>
      <c r="EE106" s="101"/>
      <c r="EF106" s="101"/>
      <c r="EG106" s="101"/>
      <c r="EH106" s="101"/>
      <c r="EI106" s="101"/>
      <c r="EJ106" s="101"/>
      <c r="EK106" s="101"/>
      <c r="EL106" s="101"/>
      <c r="EM106" s="101"/>
      <c r="EN106" s="101"/>
      <c r="EO106" s="101"/>
      <c r="EP106" s="101"/>
      <c r="EQ106" s="101"/>
      <c r="ER106" s="101"/>
      <c r="ES106" s="101"/>
      <c r="ET106" s="101"/>
      <c r="EU106" s="101"/>
      <c r="EV106" s="101"/>
      <c r="EW106" s="101"/>
      <c r="EX106" s="101"/>
      <c r="EY106" s="101"/>
      <c r="EZ106" s="101"/>
      <c r="FA106" s="101"/>
      <c r="FB106" s="101"/>
      <c r="FC106" s="101"/>
      <c r="FD106" s="101"/>
      <c r="FE106" s="101"/>
      <c r="FF106" s="101"/>
      <c r="FG106" s="101"/>
      <c r="FH106" s="101"/>
      <c r="FI106" s="101"/>
      <c r="FJ106" s="101"/>
      <c r="FK106" s="101"/>
      <c r="FL106" s="101"/>
      <c r="FM106" s="101"/>
      <c r="FN106" s="101"/>
      <c r="FO106" s="101"/>
      <c r="FP106" s="101"/>
      <c r="FQ106" s="101"/>
      <c r="FR106" s="101"/>
      <c r="FS106" s="101"/>
      <c r="FT106" s="101"/>
      <c r="FU106" s="101"/>
      <c r="FV106" s="101"/>
      <c r="FW106" s="101"/>
      <c r="FX106" s="101"/>
      <c r="FY106" s="101"/>
      <c r="FZ106" s="101"/>
      <c r="GA106" s="101"/>
      <c r="GB106" s="101"/>
      <c r="GC106" s="101"/>
      <c r="GD106" s="101"/>
      <c r="GE106" s="101"/>
      <c r="GF106" s="101"/>
      <c r="GG106" s="101"/>
      <c r="GH106" s="101"/>
      <c r="GI106" s="101"/>
      <c r="GJ106" s="101"/>
      <c r="GK106" s="101"/>
      <c r="GL106" s="101"/>
      <c r="GM106" s="101"/>
      <c r="GN106" s="101"/>
      <c r="GO106" s="101"/>
      <c r="GP106" s="101"/>
      <c r="GQ106" s="101"/>
      <c r="GR106" s="101"/>
      <c r="GS106" s="101"/>
      <c r="GT106" s="101"/>
      <c r="GU106" s="101"/>
      <c r="GV106" s="101"/>
      <c r="GW106" s="101"/>
      <c r="GX106" s="101"/>
      <c r="GY106" s="101"/>
      <c r="GZ106" s="101"/>
      <c r="HA106" s="101"/>
      <c r="HB106" s="101"/>
      <c r="HC106" s="101"/>
      <c r="HD106" s="101"/>
      <c r="HE106" s="101"/>
      <c r="HF106" s="101"/>
      <c r="HG106" s="101"/>
      <c r="HH106" s="101"/>
      <c r="HI106" s="101"/>
      <c r="HJ106" s="101"/>
      <c r="HK106" s="101"/>
      <c r="HL106" s="101"/>
      <c r="HM106" s="101"/>
      <c r="HN106" s="101"/>
      <c r="HO106" s="101"/>
      <c r="HP106" s="101"/>
      <c r="HQ106" s="101"/>
      <c r="HR106" s="101"/>
      <c r="HS106" s="101"/>
      <c r="HT106" s="101"/>
      <c r="HU106" s="101"/>
      <c r="HV106" s="101"/>
      <c r="HW106" s="101"/>
      <c r="HX106" s="101"/>
      <c r="HY106" s="101"/>
      <c r="HZ106" s="101"/>
      <c r="IA106" s="101"/>
      <c r="IB106" s="101"/>
      <c r="IC106" s="101"/>
      <c r="ID106" s="101"/>
      <c r="IE106" s="101"/>
      <c r="IF106" s="101"/>
      <c r="IG106" s="101"/>
      <c r="IH106" s="101"/>
      <c r="II106" s="101"/>
      <c r="IJ106" s="101"/>
      <c r="IK106" s="101"/>
      <c r="IL106" s="101"/>
      <c r="IM106" s="101"/>
      <c r="IN106" s="101"/>
      <c r="IO106" s="101"/>
      <c r="IP106" s="101"/>
      <c r="IQ106" s="101"/>
      <c r="IR106" s="101"/>
      <c r="IS106" s="101"/>
      <c r="IT106" s="101"/>
    </row>
    <row r="107" spans="1:254">
      <c r="A107" s="101"/>
      <c r="B107" s="101"/>
      <c r="C107" s="101"/>
      <c r="D107" s="101"/>
      <c r="F107" s="7"/>
      <c r="G107" s="7"/>
      <c r="H107" s="7"/>
      <c r="I107" s="7"/>
      <c r="J107" s="7"/>
      <c r="K107" s="7"/>
      <c r="L107" s="7"/>
      <c r="M107" s="52"/>
      <c r="N107" s="52"/>
      <c r="O107" s="7"/>
      <c r="P107" s="52"/>
      <c r="Q107" s="52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/>
      <c r="BG107" s="101"/>
      <c r="BH107" s="101"/>
      <c r="BI107" s="101"/>
      <c r="BJ107" s="101"/>
      <c r="BK107" s="101"/>
      <c r="BL107" s="101"/>
      <c r="BM107" s="101"/>
      <c r="BN107" s="101"/>
      <c r="BO107" s="101"/>
      <c r="BP107" s="101"/>
      <c r="BQ107" s="101"/>
      <c r="BR107" s="101"/>
      <c r="BS107" s="101"/>
      <c r="BT107" s="101"/>
      <c r="BU107" s="101"/>
      <c r="BV107" s="101"/>
      <c r="BW107" s="101"/>
      <c r="BX107" s="101"/>
      <c r="BY107" s="101"/>
      <c r="BZ107" s="101"/>
      <c r="CA107" s="101"/>
      <c r="CB107" s="101"/>
      <c r="CC107" s="101"/>
      <c r="CD107" s="101"/>
      <c r="CE107" s="101"/>
      <c r="CF107" s="101"/>
      <c r="CG107" s="101"/>
      <c r="CH107" s="101"/>
      <c r="CI107" s="101"/>
      <c r="CJ107" s="101"/>
      <c r="CK107" s="101"/>
      <c r="CL107" s="101"/>
      <c r="CM107" s="101"/>
      <c r="CN107" s="101"/>
      <c r="CO107" s="101"/>
      <c r="CP107" s="101"/>
      <c r="CQ107" s="101"/>
      <c r="CR107" s="101"/>
      <c r="CS107" s="101"/>
      <c r="CT107" s="101"/>
      <c r="CU107" s="101"/>
      <c r="CV107" s="101"/>
      <c r="CW107" s="101"/>
      <c r="CX107" s="101"/>
      <c r="CY107" s="101"/>
      <c r="CZ107" s="101"/>
      <c r="DA107" s="101"/>
      <c r="DB107" s="101"/>
      <c r="DC107" s="101"/>
      <c r="DD107" s="101"/>
      <c r="DE107" s="101"/>
      <c r="DF107" s="101"/>
      <c r="DG107" s="101"/>
      <c r="DH107" s="101"/>
      <c r="DI107" s="101"/>
      <c r="DJ107" s="101"/>
      <c r="DK107" s="101"/>
      <c r="DL107" s="101"/>
      <c r="DM107" s="101"/>
      <c r="DN107" s="101"/>
      <c r="DO107" s="101"/>
      <c r="DP107" s="101"/>
      <c r="DQ107" s="101"/>
      <c r="DR107" s="101"/>
      <c r="DS107" s="101"/>
      <c r="DT107" s="101"/>
      <c r="DU107" s="101"/>
      <c r="DV107" s="101"/>
      <c r="DW107" s="101"/>
      <c r="DX107" s="101"/>
      <c r="DY107" s="101"/>
      <c r="DZ107" s="101"/>
      <c r="EA107" s="101"/>
      <c r="EB107" s="101"/>
      <c r="EC107" s="101"/>
      <c r="ED107" s="101"/>
      <c r="EE107" s="101"/>
      <c r="EF107" s="101"/>
      <c r="EG107" s="101"/>
      <c r="EH107" s="101"/>
      <c r="EI107" s="101"/>
      <c r="EJ107" s="101"/>
      <c r="EK107" s="101"/>
      <c r="EL107" s="101"/>
      <c r="EM107" s="101"/>
      <c r="EN107" s="101"/>
      <c r="EO107" s="101"/>
      <c r="EP107" s="101"/>
      <c r="EQ107" s="101"/>
      <c r="ER107" s="101"/>
      <c r="ES107" s="101"/>
      <c r="ET107" s="101"/>
      <c r="EU107" s="101"/>
      <c r="EV107" s="101"/>
      <c r="EW107" s="101"/>
      <c r="EX107" s="101"/>
      <c r="EY107" s="101"/>
      <c r="EZ107" s="101"/>
      <c r="FA107" s="101"/>
      <c r="FB107" s="101"/>
      <c r="FC107" s="101"/>
      <c r="FD107" s="101"/>
      <c r="FE107" s="101"/>
      <c r="FF107" s="101"/>
      <c r="FG107" s="101"/>
      <c r="FH107" s="101"/>
      <c r="FI107" s="101"/>
      <c r="FJ107" s="101"/>
      <c r="FK107" s="101"/>
      <c r="FL107" s="101"/>
      <c r="FM107" s="101"/>
      <c r="FN107" s="101"/>
      <c r="FO107" s="101"/>
      <c r="FP107" s="101"/>
      <c r="FQ107" s="101"/>
      <c r="FR107" s="101"/>
      <c r="FS107" s="101"/>
      <c r="FT107" s="101"/>
      <c r="FU107" s="101"/>
      <c r="FV107" s="101"/>
      <c r="FW107" s="101"/>
      <c r="FX107" s="101"/>
      <c r="FY107" s="101"/>
      <c r="FZ107" s="101"/>
      <c r="GA107" s="101"/>
      <c r="GB107" s="101"/>
      <c r="GC107" s="101"/>
      <c r="GD107" s="101"/>
      <c r="GE107" s="101"/>
      <c r="GF107" s="101"/>
      <c r="GG107" s="101"/>
      <c r="GH107" s="101"/>
      <c r="GI107" s="101"/>
      <c r="GJ107" s="101"/>
      <c r="GK107" s="101"/>
      <c r="GL107" s="101"/>
      <c r="GM107" s="101"/>
      <c r="GN107" s="101"/>
      <c r="GO107" s="101"/>
      <c r="GP107" s="101"/>
      <c r="GQ107" s="101"/>
      <c r="GR107" s="101"/>
      <c r="GS107" s="101"/>
      <c r="GT107" s="101"/>
      <c r="GU107" s="101"/>
      <c r="GV107" s="101"/>
      <c r="GW107" s="101"/>
      <c r="GX107" s="101"/>
      <c r="GY107" s="101"/>
      <c r="GZ107" s="101"/>
      <c r="HA107" s="101"/>
      <c r="HB107" s="101"/>
      <c r="HC107" s="101"/>
      <c r="HD107" s="101"/>
      <c r="HE107" s="101"/>
      <c r="HF107" s="101"/>
      <c r="HG107" s="101"/>
      <c r="HH107" s="101"/>
      <c r="HI107" s="101"/>
      <c r="HJ107" s="101"/>
      <c r="HK107" s="101"/>
      <c r="HL107" s="101"/>
      <c r="HM107" s="101"/>
      <c r="HN107" s="101"/>
      <c r="HO107" s="101"/>
      <c r="HP107" s="101"/>
      <c r="HQ107" s="101"/>
      <c r="HR107" s="101"/>
      <c r="HS107" s="101"/>
      <c r="HT107" s="101"/>
      <c r="HU107" s="101"/>
      <c r="HV107" s="101"/>
      <c r="HW107" s="101"/>
      <c r="HX107" s="101"/>
      <c r="HY107" s="101"/>
      <c r="HZ107" s="101"/>
      <c r="IA107" s="101"/>
      <c r="IB107" s="101"/>
      <c r="IC107" s="101"/>
      <c r="ID107" s="101"/>
      <c r="IE107" s="101"/>
      <c r="IF107" s="101"/>
      <c r="IG107" s="101"/>
      <c r="IH107" s="101"/>
      <c r="II107" s="101"/>
      <c r="IJ107" s="101"/>
      <c r="IK107" s="101"/>
      <c r="IL107" s="101"/>
      <c r="IM107" s="101"/>
      <c r="IN107" s="101"/>
      <c r="IO107" s="101"/>
      <c r="IP107" s="101"/>
      <c r="IQ107" s="101"/>
      <c r="IR107" s="101"/>
      <c r="IS107" s="101"/>
      <c r="IT107" s="101"/>
    </row>
    <row r="108" spans="1:254">
      <c r="A108" s="101"/>
      <c r="B108" s="101"/>
      <c r="C108" s="101"/>
      <c r="D108" s="101"/>
      <c r="F108" s="7"/>
      <c r="G108" s="7"/>
      <c r="H108" s="7"/>
      <c r="I108" s="7"/>
      <c r="J108" s="7"/>
      <c r="K108" s="7"/>
      <c r="L108" s="7"/>
      <c r="M108" s="52"/>
      <c r="N108" s="52"/>
      <c r="O108" s="7"/>
      <c r="P108" s="52"/>
      <c r="Q108" s="52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/>
      <c r="BH108" s="101"/>
      <c r="BI108" s="101"/>
      <c r="BJ108" s="101"/>
      <c r="BK108" s="101"/>
      <c r="BL108" s="101"/>
      <c r="BM108" s="101"/>
      <c r="BN108" s="101"/>
      <c r="BO108" s="101"/>
      <c r="BP108" s="101"/>
      <c r="BQ108" s="101"/>
      <c r="BR108" s="101"/>
      <c r="BS108" s="101"/>
      <c r="BT108" s="101"/>
      <c r="BU108" s="101"/>
      <c r="BV108" s="101"/>
      <c r="BW108" s="101"/>
      <c r="BX108" s="101"/>
      <c r="BY108" s="101"/>
      <c r="BZ108" s="101"/>
      <c r="CA108" s="101"/>
      <c r="CB108" s="101"/>
      <c r="CC108" s="101"/>
      <c r="CD108" s="101"/>
      <c r="CE108" s="101"/>
      <c r="CF108" s="101"/>
      <c r="CG108" s="101"/>
      <c r="CH108" s="101"/>
      <c r="CI108" s="101"/>
      <c r="CJ108" s="101"/>
      <c r="CK108" s="101"/>
      <c r="CL108" s="101"/>
      <c r="CM108" s="101"/>
      <c r="CN108" s="101"/>
      <c r="CO108" s="101"/>
      <c r="CP108" s="101"/>
      <c r="CQ108" s="101"/>
      <c r="CR108" s="101"/>
      <c r="CS108" s="101"/>
      <c r="CT108" s="101"/>
      <c r="CU108" s="101"/>
      <c r="CV108" s="101"/>
      <c r="CW108" s="101"/>
      <c r="CX108" s="101"/>
      <c r="CY108" s="101"/>
      <c r="CZ108" s="101"/>
      <c r="DA108" s="101"/>
      <c r="DB108" s="101"/>
      <c r="DC108" s="101"/>
      <c r="DD108" s="101"/>
      <c r="DE108" s="101"/>
      <c r="DF108" s="101"/>
      <c r="DG108" s="101"/>
      <c r="DH108" s="101"/>
      <c r="DI108" s="101"/>
      <c r="DJ108" s="101"/>
      <c r="DK108" s="101"/>
      <c r="DL108" s="101"/>
      <c r="DM108" s="101"/>
      <c r="DN108" s="101"/>
      <c r="DO108" s="101"/>
      <c r="DP108" s="101"/>
      <c r="DQ108" s="101"/>
      <c r="DR108" s="101"/>
      <c r="DS108" s="101"/>
      <c r="DT108" s="101"/>
      <c r="DU108" s="101"/>
      <c r="DV108" s="101"/>
      <c r="DW108" s="101"/>
      <c r="DX108" s="101"/>
      <c r="DY108" s="101"/>
      <c r="DZ108" s="101"/>
      <c r="EA108" s="101"/>
      <c r="EB108" s="101"/>
      <c r="EC108" s="101"/>
      <c r="ED108" s="101"/>
      <c r="EE108" s="101"/>
      <c r="EF108" s="101"/>
      <c r="EG108" s="101"/>
      <c r="EH108" s="101"/>
      <c r="EI108" s="101"/>
      <c r="EJ108" s="101"/>
      <c r="EK108" s="101"/>
      <c r="EL108" s="101"/>
      <c r="EM108" s="101"/>
      <c r="EN108" s="101"/>
      <c r="EO108" s="101"/>
      <c r="EP108" s="101"/>
      <c r="EQ108" s="101"/>
      <c r="ER108" s="101"/>
      <c r="ES108" s="101"/>
      <c r="ET108" s="101"/>
      <c r="EU108" s="101"/>
      <c r="EV108" s="101"/>
      <c r="EW108" s="101"/>
      <c r="EX108" s="101"/>
      <c r="EY108" s="101"/>
      <c r="EZ108" s="101"/>
      <c r="FA108" s="101"/>
      <c r="FB108" s="101"/>
      <c r="FC108" s="101"/>
      <c r="FD108" s="101"/>
      <c r="FE108" s="101"/>
      <c r="FF108" s="101"/>
      <c r="FG108" s="101"/>
      <c r="FH108" s="101"/>
      <c r="FI108" s="101"/>
      <c r="FJ108" s="101"/>
      <c r="FK108" s="101"/>
      <c r="FL108" s="101"/>
      <c r="FM108" s="101"/>
      <c r="FN108" s="101"/>
      <c r="FO108" s="101"/>
      <c r="FP108" s="101"/>
      <c r="FQ108" s="101"/>
      <c r="FR108" s="101"/>
      <c r="FS108" s="101"/>
      <c r="FT108" s="101"/>
      <c r="FU108" s="101"/>
      <c r="FV108" s="101"/>
      <c r="FW108" s="101"/>
      <c r="FX108" s="101"/>
      <c r="FY108" s="101"/>
      <c r="FZ108" s="101"/>
      <c r="GA108" s="101"/>
      <c r="GB108" s="101"/>
      <c r="GC108" s="101"/>
      <c r="GD108" s="101"/>
      <c r="GE108" s="101"/>
      <c r="GF108" s="101"/>
      <c r="GG108" s="101"/>
      <c r="GH108" s="101"/>
      <c r="GI108" s="101"/>
      <c r="GJ108" s="101"/>
      <c r="GK108" s="101"/>
      <c r="GL108" s="101"/>
      <c r="GM108" s="101"/>
      <c r="GN108" s="101"/>
      <c r="GO108" s="101"/>
      <c r="GP108" s="101"/>
      <c r="GQ108" s="101"/>
      <c r="GR108" s="101"/>
      <c r="GS108" s="101"/>
      <c r="GT108" s="101"/>
      <c r="GU108" s="101"/>
      <c r="GV108" s="101"/>
      <c r="GW108" s="101"/>
      <c r="GX108" s="101"/>
      <c r="GY108" s="101"/>
      <c r="GZ108" s="101"/>
      <c r="HA108" s="101"/>
      <c r="HB108" s="101"/>
      <c r="HC108" s="101"/>
      <c r="HD108" s="101"/>
      <c r="HE108" s="101"/>
      <c r="HF108" s="101"/>
      <c r="HG108" s="101"/>
      <c r="HH108" s="101"/>
      <c r="HI108" s="101"/>
      <c r="HJ108" s="101"/>
      <c r="HK108" s="101"/>
      <c r="HL108" s="101"/>
      <c r="HM108" s="101"/>
      <c r="HN108" s="101"/>
      <c r="HO108" s="101"/>
      <c r="HP108" s="101"/>
      <c r="HQ108" s="101"/>
      <c r="HR108" s="101"/>
      <c r="HS108" s="101"/>
      <c r="HT108" s="101"/>
      <c r="HU108" s="101"/>
      <c r="HV108" s="101"/>
      <c r="HW108" s="101"/>
      <c r="HX108" s="101"/>
      <c r="HY108" s="101"/>
      <c r="HZ108" s="101"/>
      <c r="IA108" s="101"/>
      <c r="IB108" s="101"/>
      <c r="IC108" s="101"/>
      <c r="ID108" s="101"/>
      <c r="IE108" s="101"/>
      <c r="IF108" s="101"/>
      <c r="IG108" s="101"/>
      <c r="IH108" s="101"/>
      <c r="II108" s="101"/>
      <c r="IJ108" s="101"/>
      <c r="IK108" s="101"/>
      <c r="IL108" s="101"/>
      <c r="IM108" s="101"/>
      <c r="IN108" s="101"/>
      <c r="IO108" s="101"/>
      <c r="IP108" s="101"/>
      <c r="IQ108" s="101"/>
      <c r="IR108" s="101"/>
      <c r="IS108" s="101"/>
      <c r="IT108" s="101"/>
    </row>
    <row r="109" spans="1:254">
      <c r="A109" s="101"/>
      <c r="B109" s="101"/>
      <c r="C109" s="101"/>
      <c r="D109" s="101"/>
      <c r="F109" s="7"/>
      <c r="G109" s="7"/>
      <c r="H109" s="7"/>
      <c r="I109" s="7"/>
      <c r="J109" s="7"/>
      <c r="K109" s="7"/>
      <c r="L109" s="7"/>
      <c r="M109" s="52"/>
      <c r="N109" s="52"/>
      <c r="O109" s="7"/>
      <c r="P109" s="52"/>
      <c r="Q109" s="52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  <c r="BH109" s="101"/>
      <c r="BI109" s="101"/>
      <c r="BJ109" s="101"/>
      <c r="BK109" s="101"/>
      <c r="BL109" s="101"/>
      <c r="BM109" s="101"/>
      <c r="BN109" s="101"/>
      <c r="BO109" s="101"/>
      <c r="BP109" s="101"/>
      <c r="BQ109" s="101"/>
      <c r="BR109" s="101"/>
      <c r="BS109" s="101"/>
      <c r="BT109" s="101"/>
      <c r="BU109" s="101"/>
      <c r="BV109" s="101"/>
      <c r="BW109" s="101"/>
      <c r="BX109" s="101"/>
      <c r="BY109" s="101"/>
      <c r="BZ109" s="101"/>
      <c r="CA109" s="101"/>
      <c r="CB109" s="101"/>
      <c r="CC109" s="101"/>
      <c r="CD109" s="101"/>
      <c r="CE109" s="101"/>
      <c r="CF109" s="101"/>
      <c r="CG109" s="101"/>
      <c r="CH109" s="101"/>
      <c r="CI109" s="101"/>
      <c r="CJ109" s="101"/>
      <c r="CK109" s="101"/>
      <c r="CL109" s="101"/>
      <c r="CM109" s="101"/>
      <c r="CN109" s="101"/>
      <c r="CO109" s="101"/>
      <c r="CP109" s="101"/>
      <c r="CQ109" s="101"/>
      <c r="CR109" s="101"/>
      <c r="CS109" s="101"/>
      <c r="CT109" s="101"/>
      <c r="CU109" s="101"/>
      <c r="CV109" s="101"/>
      <c r="CW109" s="101"/>
      <c r="CX109" s="101"/>
      <c r="CY109" s="101"/>
      <c r="CZ109" s="101"/>
      <c r="DA109" s="101"/>
      <c r="DB109" s="101"/>
      <c r="DC109" s="101"/>
      <c r="DD109" s="101"/>
      <c r="DE109" s="101"/>
      <c r="DF109" s="101"/>
      <c r="DG109" s="101"/>
      <c r="DH109" s="101"/>
      <c r="DI109" s="101"/>
      <c r="DJ109" s="101"/>
      <c r="DK109" s="101"/>
      <c r="DL109" s="101"/>
      <c r="DM109" s="101"/>
      <c r="DN109" s="101"/>
      <c r="DO109" s="101"/>
      <c r="DP109" s="101"/>
      <c r="DQ109" s="101"/>
      <c r="DR109" s="101"/>
      <c r="DS109" s="101"/>
      <c r="DT109" s="101"/>
      <c r="DU109" s="101"/>
      <c r="DV109" s="101"/>
      <c r="DW109" s="101"/>
      <c r="DX109" s="101"/>
      <c r="DY109" s="101"/>
      <c r="DZ109" s="101"/>
      <c r="EA109" s="101"/>
      <c r="EB109" s="101"/>
      <c r="EC109" s="101"/>
      <c r="ED109" s="101"/>
      <c r="EE109" s="101"/>
      <c r="EF109" s="101"/>
      <c r="EG109" s="101"/>
      <c r="EH109" s="101"/>
      <c r="EI109" s="101"/>
      <c r="EJ109" s="101"/>
      <c r="EK109" s="101"/>
      <c r="EL109" s="101"/>
      <c r="EM109" s="101"/>
      <c r="EN109" s="101"/>
      <c r="EO109" s="101"/>
      <c r="EP109" s="101"/>
      <c r="EQ109" s="101"/>
      <c r="ER109" s="101"/>
      <c r="ES109" s="101"/>
      <c r="ET109" s="101"/>
      <c r="EU109" s="101"/>
      <c r="EV109" s="101"/>
      <c r="EW109" s="101"/>
      <c r="EX109" s="101"/>
      <c r="EY109" s="101"/>
      <c r="EZ109" s="101"/>
      <c r="FA109" s="101"/>
      <c r="FB109" s="101"/>
      <c r="FC109" s="101"/>
      <c r="FD109" s="101"/>
      <c r="FE109" s="101"/>
      <c r="FF109" s="101"/>
      <c r="FG109" s="101"/>
      <c r="FH109" s="101"/>
      <c r="FI109" s="101"/>
      <c r="FJ109" s="101"/>
      <c r="FK109" s="101"/>
      <c r="FL109" s="101"/>
      <c r="FM109" s="101"/>
      <c r="FN109" s="101"/>
      <c r="FO109" s="101"/>
      <c r="FP109" s="101"/>
      <c r="FQ109" s="101"/>
      <c r="FR109" s="101"/>
      <c r="FS109" s="101"/>
      <c r="FT109" s="101"/>
      <c r="FU109" s="101"/>
      <c r="FV109" s="101"/>
      <c r="FW109" s="101"/>
      <c r="FX109" s="101"/>
      <c r="FY109" s="101"/>
      <c r="FZ109" s="101"/>
      <c r="GA109" s="101"/>
      <c r="GB109" s="101"/>
      <c r="GC109" s="101"/>
      <c r="GD109" s="101"/>
      <c r="GE109" s="101"/>
      <c r="GF109" s="101"/>
      <c r="GG109" s="101"/>
      <c r="GH109" s="101"/>
      <c r="GI109" s="101"/>
      <c r="GJ109" s="101"/>
      <c r="GK109" s="101"/>
      <c r="GL109" s="101"/>
      <c r="GM109" s="101"/>
      <c r="GN109" s="101"/>
      <c r="GO109" s="101"/>
      <c r="GP109" s="101"/>
      <c r="GQ109" s="101"/>
      <c r="GR109" s="101"/>
      <c r="GS109" s="101"/>
      <c r="GT109" s="101"/>
      <c r="GU109" s="101"/>
      <c r="GV109" s="101"/>
      <c r="GW109" s="101"/>
      <c r="GX109" s="101"/>
      <c r="GY109" s="101"/>
      <c r="GZ109" s="101"/>
      <c r="HA109" s="101"/>
      <c r="HB109" s="101"/>
      <c r="HC109" s="101"/>
      <c r="HD109" s="101"/>
      <c r="HE109" s="101"/>
      <c r="HF109" s="101"/>
      <c r="HG109" s="101"/>
      <c r="HH109" s="101"/>
      <c r="HI109" s="101"/>
      <c r="HJ109" s="101"/>
      <c r="HK109" s="101"/>
      <c r="HL109" s="101"/>
      <c r="HM109" s="101"/>
      <c r="HN109" s="101"/>
      <c r="HO109" s="101"/>
      <c r="HP109" s="101"/>
      <c r="HQ109" s="101"/>
      <c r="HR109" s="101"/>
      <c r="HS109" s="101"/>
      <c r="HT109" s="101"/>
      <c r="HU109" s="101"/>
      <c r="HV109" s="101"/>
      <c r="HW109" s="101"/>
      <c r="HX109" s="101"/>
      <c r="HY109" s="101"/>
      <c r="HZ109" s="101"/>
      <c r="IA109" s="101"/>
      <c r="IB109" s="101"/>
      <c r="IC109" s="101"/>
      <c r="ID109" s="101"/>
      <c r="IE109" s="101"/>
      <c r="IF109" s="101"/>
      <c r="IG109" s="101"/>
      <c r="IH109" s="101"/>
      <c r="II109" s="101"/>
      <c r="IJ109" s="101"/>
      <c r="IK109" s="101"/>
      <c r="IL109" s="101"/>
      <c r="IM109" s="101"/>
      <c r="IN109" s="101"/>
      <c r="IO109" s="101"/>
      <c r="IP109" s="101"/>
      <c r="IQ109" s="101"/>
      <c r="IR109" s="101"/>
      <c r="IS109" s="101"/>
      <c r="IT109" s="101"/>
    </row>
    <row r="110" spans="1:254">
      <c r="A110" s="101"/>
      <c r="B110" s="101"/>
      <c r="C110" s="101"/>
      <c r="D110" s="101"/>
      <c r="F110" s="7"/>
      <c r="G110" s="7"/>
      <c r="H110" s="7"/>
      <c r="I110" s="7"/>
      <c r="J110" s="7"/>
      <c r="K110" s="7"/>
      <c r="L110" s="7"/>
      <c r="M110" s="52"/>
      <c r="N110" s="52"/>
      <c r="O110" s="7"/>
      <c r="P110" s="52"/>
      <c r="Q110" s="52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01"/>
      <c r="BI110" s="101"/>
      <c r="BJ110" s="101"/>
      <c r="BK110" s="101"/>
      <c r="BL110" s="101"/>
      <c r="BM110" s="101"/>
      <c r="BN110" s="101"/>
      <c r="BO110" s="101"/>
      <c r="BP110" s="101"/>
      <c r="BQ110" s="101"/>
      <c r="BR110" s="101"/>
      <c r="BS110" s="101"/>
      <c r="BT110" s="101"/>
      <c r="BU110" s="101"/>
      <c r="BV110" s="101"/>
      <c r="BW110" s="101"/>
      <c r="BX110" s="101"/>
      <c r="BY110" s="101"/>
      <c r="BZ110" s="101"/>
      <c r="CA110" s="101"/>
      <c r="CB110" s="101"/>
      <c r="CC110" s="101"/>
      <c r="CD110" s="101"/>
      <c r="CE110" s="101"/>
      <c r="CF110" s="101"/>
      <c r="CG110" s="101"/>
      <c r="CH110" s="101"/>
      <c r="CI110" s="101"/>
      <c r="CJ110" s="101"/>
      <c r="CK110" s="101"/>
      <c r="CL110" s="101"/>
      <c r="CM110" s="101"/>
      <c r="CN110" s="101"/>
      <c r="CO110" s="101"/>
      <c r="CP110" s="101"/>
      <c r="CQ110" s="101"/>
      <c r="CR110" s="101"/>
      <c r="CS110" s="101"/>
      <c r="CT110" s="101"/>
      <c r="CU110" s="101"/>
      <c r="CV110" s="101"/>
      <c r="CW110" s="101"/>
      <c r="CX110" s="101"/>
      <c r="CY110" s="101"/>
      <c r="CZ110" s="101"/>
      <c r="DA110" s="101"/>
      <c r="DB110" s="101"/>
      <c r="DC110" s="101"/>
      <c r="DD110" s="101"/>
      <c r="DE110" s="101"/>
      <c r="DF110" s="101"/>
      <c r="DG110" s="101"/>
      <c r="DH110" s="101"/>
      <c r="DI110" s="101"/>
      <c r="DJ110" s="101"/>
      <c r="DK110" s="101"/>
      <c r="DL110" s="101"/>
      <c r="DM110" s="101"/>
      <c r="DN110" s="101"/>
      <c r="DO110" s="101"/>
      <c r="DP110" s="101"/>
      <c r="DQ110" s="101"/>
      <c r="DR110" s="101"/>
      <c r="DS110" s="101"/>
      <c r="DT110" s="101"/>
      <c r="DU110" s="101"/>
      <c r="DV110" s="101"/>
      <c r="DW110" s="101"/>
      <c r="DX110" s="101"/>
      <c r="DY110" s="101"/>
      <c r="DZ110" s="101"/>
      <c r="EA110" s="101"/>
      <c r="EB110" s="101"/>
      <c r="EC110" s="101"/>
      <c r="ED110" s="101"/>
      <c r="EE110" s="101"/>
      <c r="EF110" s="101"/>
      <c r="EG110" s="101"/>
      <c r="EH110" s="101"/>
      <c r="EI110" s="101"/>
      <c r="EJ110" s="101"/>
      <c r="EK110" s="101"/>
      <c r="EL110" s="101"/>
      <c r="EM110" s="101"/>
      <c r="EN110" s="101"/>
      <c r="EO110" s="101"/>
      <c r="EP110" s="101"/>
      <c r="EQ110" s="101"/>
      <c r="ER110" s="101"/>
      <c r="ES110" s="101"/>
      <c r="ET110" s="101"/>
      <c r="EU110" s="101"/>
      <c r="EV110" s="101"/>
      <c r="EW110" s="101"/>
      <c r="EX110" s="101"/>
      <c r="EY110" s="101"/>
      <c r="EZ110" s="101"/>
      <c r="FA110" s="101"/>
      <c r="FB110" s="101"/>
      <c r="FC110" s="101"/>
      <c r="FD110" s="101"/>
      <c r="FE110" s="101"/>
      <c r="FF110" s="101"/>
      <c r="FG110" s="101"/>
      <c r="FH110" s="101"/>
      <c r="FI110" s="101"/>
      <c r="FJ110" s="101"/>
      <c r="FK110" s="101"/>
      <c r="FL110" s="101"/>
      <c r="FM110" s="101"/>
      <c r="FN110" s="101"/>
      <c r="FO110" s="101"/>
      <c r="FP110" s="101"/>
      <c r="FQ110" s="101"/>
      <c r="FR110" s="101"/>
      <c r="FS110" s="101"/>
      <c r="FT110" s="101"/>
      <c r="FU110" s="101"/>
      <c r="FV110" s="101"/>
      <c r="FW110" s="101"/>
      <c r="FX110" s="101"/>
      <c r="FY110" s="101"/>
      <c r="FZ110" s="101"/>
      <c r="GA110" s="101"/>
      <c r="GB110" s="101"/>
      <c r="GC110" s="101"/>
      <c r="GD110" s="101"/>
      <c r="GE110" s="101"/>
      <c r="GF110" s="101"/>
      <c r="GG110" s="101"/>
      <c r="GH110" s="101"/>
      <c r="GI110" s="101"/>
      <c r="GJ110" s="101"/>
      <c r="GK110" s="101"/>
      <c r="GL110" s="101"/>
      <c r="GM110" s="101"/>
      <c r="GN110" s="101"/>
      <c r="GO110" s="101"/>
      <c r="GP110" s="101"/>
      <c r="GQ110" s="101"/>
      <c r="GR110" s="101"/>
      <c r="GS110" s="101"/>
      <c r="GT110" s="101"/>
      <c r="GU110" s="101"/>
      <c r="GV110" s="101"/>
      <c r="GW110" s="101"/>
      <c r="GX110" s="101"/>
      <c r="GY110" s="101"/>
      <c r="GZ110" s="101"/>
      <c r="HA110" s="101"/>
      <c r="HB110" s="101"/>
      <c r="HC110" s="101"/>
      <c r="HD110" s="101"/>
      <c r="HE110" s="101"/>
      <c r="HF110" s="101"/>
      <c r="HG110" s="101"/>
      <c r="HH110" s="101"/>
      <c r="HI110" s="101"/>
      <c r="HJ110" s="101"/>
      <c r="HK110" s="101"/>
      <c r="HL110" s="101"/>
      <c r="HM110" s="101"/>
      <c r="HN110" s="101"/>
      <c r="HO110" s="101"/>
      <c r="HP110" s="101"/>
      <c r="HQ110" s="101"/>
      <c r="HR110" s="101"/>
      <c r="HS110" s="101"/>
      <c r="HT110" s="101"/>
      <c r="HU110" s="101"/>
      <c r="HV110" s="101"/>
      <c r="HW110" s="101"/>
      <c r="HX110" s="101"/>
      <c r="HY110" s="101"/>
      <c r="HZ110" s="101"/>
      <c r="IA110" s="101"/>
      <c r="IB110" s="101"/>
      <c r="IC110" s="101"/>
      <c r="ID110" s="101"/>
      <c r="IE110" s="101"/>
      <c r="IF110" s="101"/>
      <c r="IG110" s="101"/>
      <c r="IH110" s="101"/>
      <c r="II110" s="101"/>
      <c r="IJ110" s="101"/>
      <c r="IK110" s="101"/>
      <c r="IL110" s="101"/>
      <c r="IM110" s="101"/>
      <c r="IN110" s="101"/>
      <c r="IO110" s="101"/>
      <c r="IP110" s="101"/>
      <c r="IQ110" s="101"/>
      <c r="IR110" s="101"/>
      <c r="IS110" s="101"/>
      <c r="IT110" s="101"/>
    </row>
    <row r="111" spans="1:254">
      <c r="A111" s="101"/>
      <c r="B111" s="101"/>
      <c r="C111" s="101"/>
      <c r="D111" s="101"/>
      <c r="F111" s="7"/>
      <c r="G111" s="7"/>
      <c r="H111" s="7"/>
      <c r="I111" s="7"/>
      <c r="J111" s="7"/>
      <c r="K111" s="7"/>
      <c r="L111" s="7"/>
      <c r="M111" s="52"/>
      <c r="N111" s="52"/>
      <c r="O111" s="7"/>
      <c r="P111" s="52"/>
      <c r="Q111" s="52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1"/>
      <c r="BD111" s="101"/>
      <c r="BE111" s="101"/>
      <c r="BF111" s="101"/>
      <c r="BG111" s="101"/>
      <c r="BH111" s="101"/>
      <c r="BI111" s="101"/>
      <c r="BJ111" s="101"/>
      <c r="BK111" s="101"/>
      <c r="BL111" s="101"/>
      <c r="BM111" s="101"/>
      <c r="BN111" s="101"/>
      <c r="BO111" s="101"/>
      <c r="BP111" s="101"/>
      <c r="BQ111" s="101"/>
      <c r="BR111" s="101"/>
      <c r="BS111" s="101"/>
      <c r="BT111" s="101"/>
      <c r="BU111" s="101"/>
      <c r="BV111" s="101"/>
      <c r="BW111" s="101"/>
      <c r="BX111" s="101"/>
      <c r="BY111" s="101"/>
      <c r="BZ111" s="101"/>
      <c r="CA111" s="101"/>
      <c r="CB111" s="101"/>
      <c r="CC111" s="101"/>
      <c r="CD111" s="101"/>
      <c r="CE111" s="101"/>
      <c r="CF111" s="101"/>
      <c r="CG111" s="101"/>
      <c r="CH111" s="101"/>
      <c r="CI111" s="101"/>
      <c r="CJ111" s="101"/>
      <c r="CK111" s="101"/>
      <c r="CL111" s="101"/>
      <c r="CM111" s="101"/>
      <c r="CN111" s="101"/>
      <c r="CO111" s="101"/>
      <c r="CP111" s="101"/>
      <c r="CQ111" s="101"/>
      <c r="CR111" s="101"/>
      <c r="CS111" s="101"/>
      <c r="CT111" s="101"/>
      <c r="CU111" s="101"/>
      <c r="CV111" s="101"/>
      <c r="CW111" s="101"/>
      <c r="CX111" s="101"/>
      <c r="CY111" s="101"/>
      <c r="CZ111" s="101"/>
      <c r="DA111" s="101"/>
      <c r="DB111" s="101"/>
      <c r="DC111" s="101"/>
      <c r="DD111" s="101"/>
      <c r="DE111" s="101"/>
      <c r="DF111" s="101"/>
      <c r="DG111" s="101"/>
      <c r="DH111" s="101"/>
      <c r="DI111" s="101"/>
      <c r="DJ111" s="101"/>
      <c r="DK111" s="101"/>
      <c r="DL111" s="101"/>
      <c r="DM111" s="101"/>
      <c r="DN111" s="101"/>
      <c r="DO111" s="101"/>
      <c r="DP111" s="101"/>
      <c r="DQ111" s="101"/>
      <c r="DR111" s="101"/>
      <c r="DS111" s="101"/>
      <c r="DT111" s="101"/>
      <c r="DU111" s="101"/>
      <c r="DV111" s="101"/>
      <c r="DW111" s="101"/>
      <c r="DX111" s="101"/>
      <c r="DY111" s="101"/>
      <c r="DZ111" s="101"/>
      <c r="EA111" s="101"/>
      <c r="EB111" s="101"/>
      <c r="EC111" s="101"/>
      <c r="ED111" s="101"/>
      <c r="EE111" s="101"/>
      <c r="EF111" s="101"/>
      <c r="EG111" s="101"/>
      <c r="EH111" s="101"/>
      <c r="EI111" s="101"/>
      <c r="EJ111" s="101"/>
      <c r="EK111" s="101"/>
      <c r="EL111" s="101"/>
      <c r="EM111" s="101"/>
      <c r="EN111" s="101"/>
      <c r="EO111" s="101"/>
      <c r="EP111" s="101"/>
      <c r="EQ111" s="101"/>
      <c r="ER111" s="101"/>
      <c r="ES111" s="101"/>
      <c r="ET111" s="101"/>
      <c r="EU111" s="101"/>
      <c r="EV111" s="101"/>
      <c r="EW111" s="101"/>
      <c r="EX111" s="101"/>
      <c r="EY111" s="101"/>
      <c r="EZ111" s="101"/>
      <c r="FA111" s="101"/>
      <c r="FB111" s="101"/>
      <c r="FC111" s="101"/>
      <c r="FD111" s="101"/>
      <c r="FE111" s="101"/>
      <c r="FF111" s="101"/>
      <c r="FG111" s="101"/>
      <c r="FH111" s="101"/>
      <c r="FI111" s="101"/>
      <c r="FJ111" s="101"/>
      <c r="FK111" s="101"/>
      <c r="FL111" s="101"/>
      <c r="FM111" s="101"/>
      <c r="FN111" s="101"/>
      <c r="FO111" s="101"/>
      <c r="FP111" s="101"/>
      <c r="FQ111" s="101"/>
      <c r="FR111" s="101"/>
      <c r="FS111" s="101"/>
      <c r="FT111" s="101"/>
      <c r="FU111" s="101"/>
      <c r="FV111" s="101"/>
      <c r="FW111" s="101"/>
      <c r="FX111" s="101"/>
      <c r="FY111" s="101"/>
      <c r="FZ111" s="101"/>
      <c r="GA111" s="101"/>
      <c r="GB111" s="101"/>
      <c r="GC111" s="101"/>
      <c r="GD111" s="101"/>
      <c r="GE111" s="101"/>
      <c r="GF111" s="101"/>
      <c r="GG111" s="101"/>
      <c r="GH111" s="101"/>
      <c r="GI111" s="101"/>
      <c r="GJ111" s="101"/>
      <c r="GK111" s="101"/>
      <c r="GL111" s="101"/>
      <c r="GM111" s="101"/>
      <c r="GN111" s="101"/>
      <c r="GO111" s="101"/>
      <c r="GP111" s="101"/>
      <c r="GQ111" s="101"/>
      <c r="GR111" s="101"/>
      <c r="GS111" s="101"/>
      <c r="GT111" s="101"/>
      <c r="GU111" s="101"/>
      <c r="GV111" s="101"/>
      <c r="GW111" s="101"/>
      <c r="GX111" s="101"/>
      <c r="GY111" s="101"/>
      <c r="GZ111" s="101"/>
      <c r="HA111" s="101"/>
      <c r="HB111" s="101"/>
      <c r="HC111" s="101"/>
      <c r="HD111" s="101"/>
      <c r="HE111" s="101"/>
      <c r="HF111" s="101"/>
      <c r="HG111" s="101"/>
      <c r="HH111" s="101"/>
      <c r="HI111" s="101"/>
      <c r="HJ111" s="101"/>
      <c r="HK111" s="101"/>
      <c r="HL111" s="101"/>
      <c r="HM111" s="101"/>
      <c r="HN111" s="101"/>
      <c r="HO111" s="101"/>
      <c r="HP111" s="101"/>
      <c r="HQ111" s="101"/>
      <c r="HR111" s="101"/>
      <c r="HS111" s="101"/>
      <c r="HT111" s="101"/>
      <c r="HU111" s="101"/>
      <c r="HV111" s="101"/>
      <c r="HW111" s="101"/>
      <c r="HX111" s="101"/>
      <c r="HY111" s="101"/>
      <c r="HZ111" s="101"/>
      <c r="IA111" s="101"/>
      <c r="IB111" s="101"/>
      <c r="IC111" s="101"/>
      <c r="ID111" s="101"/>
      <c r="IE111" s="101"/>
      <c r="IF111" s="101"/>
      <c r="IG111" s="101"/>
      <c r="IH111" s="101"/>
      <c r="II111" s="101"/>
      <c r="IJ111" s="101"/>
      <c r="IK111" s="101"/>
      <c r="IL111" s="101"/>
      <c r="IM111" s="101"/>
      <c r="IN111" s="101"/>
      <c r="IO111" s="101"/>
      <c r="IP111" s="101"/>
      <c r="IQ111" s="101"/>
      <c r="IR111" s="101"/>
      <c r="IS111" s="101"/>
      <c r="IT111" s="101"/>
    </row>
    <row r="112" spans="1:254">
      <c r="A112" s="101"/>
      <c r="B112" s="101"/>
      <c r="C112" s="101"/>
      <c r="D112" s="101"/>
      <c r="F112" s="7"/>
      <c r="G112" s="7"/>
      <c r="H112" s="7"/>
      <c r="I112" s="7"/>
      <c r="J112" s="7"/>
      <c r="K112" s="7"/>
      <c r="L112" s="7"/>
      <c r="M112" s="52"/>
      <c r="N112" s="52"/>
      <c r="O112" s="7"/>
      <c r="P112" s="52"/>
      <c r="Q112" s="52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1"/>
      <c r="BD112" s="101"/>
      <c r="BE112" s="101"/>
      <c r="BF112" s="101"/>
      <c r="BG112" s="101"/>
      <c r="BH112" s="101"/>
      <c r="BI112" s="101"/>
      <c r="BJ112" s="101"/>
      <c r="BK112" s="101"/>
      <c r="BL112" s="101"/>
      <c r="BM112" s="101"/>
      <c r="BN112" s="101"/>
      <c r="BO112" s="101"/>
      <c r="BP112" s="101"/>
      <c r="BQ112" s="101"/>
      <c r="BR112" s="101"/>
      <c r="BS112" s="101"/>
      <c r="BT112" s="101"/>
      <c r="BU112" s="101"/>
      <c r="BV112" s="101"/>
      <c r="BW112" s="101"/>
      <c r="BX112" s="101"/>
      <c r="BY112" s="101"/>
      <c r="BZ112" s="101"/>
      <c r="CA112" s="101"/>
      <c r="CB112" s="101"/>
      <c r="CC112" s="101"/>
      <c r="CD112" s="101"/>
      <c r="CE112" s="101"/>
      <c r="CF112" s="101"/>
      <c r="CG112" s="101"/>
      <c r="CH112" s="101"/>
      <c r="CI112" s="101"/>
      <c r="CJ112" s="101"/>
      <c r="CK112" s="101"/>
      <c r="CL112" s="101"/>
      <c r="CM112" s="101"/>
      <c r="CN112" s="101"/>
      <c r="CO112" s="101"/>
      <c r="CP112" s="101"/>
      <c r="CQ112" s="101"/>
      <c r="CR112" s="101"/>
      <c r="CS112" s="101"/>
      <c r="CT112" s="101"/>
      <c r="CU112" s="101"/>
      <c r="CV112" s="101"/>
      <c r="CW112" s="101"/>
      <c r="CX112" s="101"/>
      <c r="CY112" s="101"/>
      <c r="CZ112" s="101"/>
      <c r="DA112" s="101"/>
      <c r="DB112" s="101"/>
      <c r="DC112" s="101"/>
      <c r="DD112" s="101"/>
      <c r="DE112" s="101"/>
      <c r="DF112" s="101"/>
      <c r="DG112" s="101"/>
      <c r="DH112" s="101"/>
      <c r="DI112" s="101"/>
      <c r="DJ112" s="101"/>
      <c r="DK112" s="101"/>
      <c r="DL112" s="101"/>
      <c r="DM112" s="101"/>
      <c r="DN112" s="101"/>
      <c r="DO112" s="101"/>
      <c r="DP112" s="101"/>
      <c r="DQ112" s="101"/>
      <c r="DR112" s="101"/>
      <c r="DS112" s="101"/>
      <c r="DT112" s="101"/>
      <c r="DU112" s="101"/>
      <c r="DV112" s="101"/>
      <c r="DW112" s="101"/>
      <c r="DX112" s="101"/>
      <c r="DY112" s="101"/>
      <c r="DZ112" s="101"/>
      <c r="EA112" s="101"/>
      <c r="EB112" s="101"/>
      <c r="EC112" s="101"/>
      <c r="ED112" s="101"/>
      <c r="EE112" s="101"/>
      <c r="EF112" s="101"/>
      <c r="EG112" s="101"/>
      <c r="EH112" s="101"/>
      <c r="EI112" s="101"/>
      <c r="EJ112" s="101"/>
      <c r="EK112" s="101"/>
      <c r="EL112" s="101"/>
      <c r="EM112" s="101"/>
      <c r="EN112" s="101"/>
      <c r="EO112" s="101"/>
      <c r="EP112" s="101"/>
      <c r="EQ112" s="101"/>
      <c r="ER112" s="101"/>
      <c r="ES112" s="101"/>
      <c r="ET112" s="101"/>
      <c r="EU112" s="101"/>
      <c r="EV112" s="101"/>
      <c r="EW112" s="101"/>
      <c r="EX112" s="101"/>
      <c r="EY112" s="101"/>
      <c r="EZ112" s="101"/>
      <c r="FA112" s="101"/>
      <c r="FB112" s="101"/>
      <c r="FC112" s="101"/>
      <c r="FD112" s="101"/>
      <c r="FE112" s="101"/>
      <c r="FF112" s="101"/>
      <c r="FG112" s="101"/>
      <c r="FH112" s="101"/>
      <c r="FI112" s="101"/>
      <c r="FJ112" s="101"/>
      <c r="FK112" s="101"/>
      <c r="FL112" s="101"/>
      <c r="FM112" s="101"/>
      <c r="FN112" s="101"/>
      <c r="FO112" s="101"/>
      <c r="FP112" s="101"/>
      <c r="FQ112" s="101"/>
      <c r="FR112" s="101"/>
      <c r="FS112" s="101"/>
      <c r="FT112" s="101"/>
      <c r="FU112" s="101"/>
      <c r="FV112" s="101"/>
      <c r="FW112" s="101"/>
      <c r="FX112" s="101"/>
      <c r="FY112" s="101"/>
      <c r="FZ112" s="101"/>
      <c r="GA112" s="101"/>
      <c r="GB112" s="101"/>
      <c r="GC112" s="101"/>
      <c r="GD112" s="101"/>
      <c r="GE112" s="101"/>
      <c r="GF112" s="101"/>
      <c r="GG112" s="101"/>
      <c r="GH112" s="101"/>
      <c r="GI112" s="101"/>
      <c r="GJ112" s="101"/>
      <c r="GK112" s="101"/>
      <c r="GL112" s="101"/>
      <c r="GM112" s="101"/>
      <c r="GN112" s="101"/>
      <c r="GO112" s="101"/>
      <c r="GP112" s="101"/>
      <c r="GQ112" s="101"/>
      <c r="GR112" s="101"/>
      <c r="GS112" s="101"/>
      <c r="GT112" s="101"/>
      <c r="GU112" s="101"/>
      <c r="GV112" s="101"/>
      <c r="GW112" s="101"/>
      <c r="GX112" s="101"/>
      <c r="GY112" s="101"/>
      <c r="GZ112" s="101"/>
      <c r="HA112" s="101"/>
      <c r="HB112" s="101"/>
      <c r="HC112" s="101"/>
      <c r="HD112" s="101"/>
      <c r="HE112" s="101"/>
      <c r="HF112" s="101"/>
      <c r="HG112" s="101"/>
      <c r="HH112" s="101"/>
      <c r="HI112" s="101"/>
      <c r="HJ112" s="101"/>
      <c r="HK112" s="101"/>
      <c r="HL112" s="101"/>
      <c r="HM112" s="101"/>
      <c r="HN112" s="101"/>
      <c r="HO112" s="101"/>
      <c r="HP112" s="101"/>
      <c r="HQ112" s="101"/>
      <c r="HR112" s="101"/>
      <c r="HS112" s="101"/>
      <c r="HT112" s="101"/>
      <c r="HU112" s="101"/>
      <c r="HV112" s="101"/>
      <c r="HW112" s="101"/>
      <c r="HX112" s="101"/>
      <c r="HY112" s="101"/>
      <c r="HZ112" s="101"/>
      <c r="IA112" s="101"/>
      <c r="IB112" s="101"/>
      <c r="IC112" s="101"/>
      <c r="ID112" s="101"/>
      <c r="IE112" s="101"/>
      <c r="IF112" s="101"/>
      <c r="IG112" s="101"/>
      <c r="IH112" s="101"/>
      <c r="II112" s="101"/>
      <c r="IJ112" s="101"/>
      <c r="IK112" s="101"/>
      <c r="IL112" s="101"/>
      <c r="IM112" s="101"/>
      <c r="IN112" s="101"/>
      <c r="IO112" s="101"/>
      <c r="IP112" s="101"/>
      <c r="IQ112" s="101"/>
      <c r="IR112" s="101"/>
      <c r="IS112" s="101"/>
      <c r="IT112" s="101"/>
    </row>
    <row r="113" spans="1:254">
      <c r="A113" s="101"/>
      <c r="B113" s="101"/>
      <c r="C113" s="101"/>
      <c r="D113" s="101"/>
      <c r="F113" s="7"/>
      <c r="G113" s="7"/>
      <c r="H113" s="7"/>
      <c r="I113" s="7"/>
      <c r="J113" s="7"/>
      <c r="K113" s="7"/>
      <c r="L113" s="7"/>
      <c r="M113" s="52"/>
      <c r="N113" s="52"/>
      <c r="O113" s="7"/>
      <c r="P113" s="52"/>
      <c r="Q113" s="52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1"/>
      <c r="BD113" s="101"/>
      <c r="BE113" s="101"/>
      <c r="BF113" s="101"/>
      <c r="BG113" s="101"/>
      <c r="BH113" s="101"/>
      <c r="BI113" s="101"/>
      <c r="BJ113" s="101"/>
      <c r="BK113" s="101"/>
      <c r="BL113" s="101"/>
      <c r="BM113" s="101"/>
      <c r="BN113" s="101"/>
      <c r="BO113" s="101"/>
      <c r="BP113" s="101"/>
      <c r="BQ113" s="101"/>
      <c r="BR113" s="101"/>
      <c r="BS113" s="101"/>
      <c r="BT113" s="101"/>
      <c r="BU113" s="101"/>
      <c r="BV113" s="101"/>
      <c r="BW113" s="101"/>
      <c r="BX113" s="101"/>
      <c r="BY113" s="101"/>
      <c r="BZ113" s="101"/>
      <c r="CA113" s="101"/>
      <c r="CB113" s="101"/>
      <c r="CC113" s="101"/>
      <c r="CD113" s="101"/>
      <c r="CE113" s="101"/>
      <c r="CF113" s="101"/>
      <c r="CG113" s="101"/>
      <c r="CH113" s="101"/>
      <c r="CI113" s="101"/>
      <c r="CJ113" s="101"/>
      <c r="CK113" s="101"/>
      <c r="CL113" s="101"/>
      <c r="CM113" s="101"/>
      <c r="CN113" s="101"/>
      <c r="CO113" s="101"/>
      <c r="CP113" s="101"/>
      <c r="CQ113" s="101"/>
      <c r="CR113" s="101"/>
      <c r="CS113" s="101"/>
      <c r="CT113" s="101"/>
      <c r="CU113" s="101"/>
      <c r="CV113" s="101"/>
      <c r="CW113" s="101"/>
      <c r="CX113" s="101"/>
      <c r="CY113" s="101"/>
      <c r="CZ113" s="101"/>
      <c r="DA113" s="101"/>
      <c r="DB113" s="101"/>
      <c r="DC113" s="101"/>
      <c r="DD113" s="101"/>
      <c r="DE113" s="101"/>
      <c r="DF113" s="101"/>
      <c r="DG113" s="101"/>
      <c r="DH113" s="101"/>
      <c r="DI113" s="101"/>
      <c r="DJ113" s="101"/>
      <c r="DK113" s="101"/>
      <c r="DL113" s="101"/>
      <c r="DM113" s="101"/>
      <c r="DN113" s="101"/>
      <c r="DO113" s="101"/>
      <c r="DP113" s="101"/>
      <c r="DQ113" s="101"/>
      <c r="DR113" s="101"/>
      <c r="DS113" s="101"/>
      <c r="DT113" s="101"/>
      <c r="DU113" s="101"/>
      <c r="DV113" s="101"/>
      <c r="DW113" s="101"/>
      <c r="DX113" s="101"/>
      <c r="DY113" s="101"/>
      <c r="DZ113" s="101"/>
      <c r="EA113" s="101"/>
      <c r="EB113" s="101"/>
      <c r="EC113" s="101"/>
      <c r="ED113" s="101"/>
      <c r="EE113" s="101"/>
      <c r="EF113" s="101"/>
      <c r="EG113" s="101"/>
      <c r="EH113" s="101"/>
      <c r="EI113" s="101"/>
      <c r="EJ113" s="101"/>
      <c r="EK113" s="101"/>
      <c r="EL113" s="101"/>
      <c r="EM113" s="101"/>
      <c r="EN113" s="101"/>
      <c r="EO113" s="101"/>
      <c r="EP113" s="101"/>
      <c r="EQ113" s="101"/>
      <c r="ER113" s="101"/>
      <c r="ES113" s="101"/>
      <c r="ET113" s="101"/>
      <c r="EU113" s="101"/>
      <c r="EV113" s="101"/>
      <c r="EW113" s="101"/>
      <c r="EX113" s="101"/>
      <c r="EY113" s="101"/>
      <c r="EZ113" s="101"/>
      <c r="FA113" s="101"/>
      <c r="FB113" s="101"/>
      <c r="FC113" s="101"/>
      <c r="FD113" s="101"/>
      <c r="FE113" s="101"/>
      <c r="FF113" s="101"/>
      <c r="FG113" s="101"/>
      <c r="FH113" s="101"/>
      <c r="FI113" s="101"/>
      <c r="FJ113" s="101"/>
      <c r="FK113" s="101"/>
      <c r="FL113" s="101"/>
      <c r="FM113" s="101"/>
      <c r="FN113" s="101"/>
      <c r="FO113" s="101"/>
      <c r="FP113" s="101"/>
      <c r="FQ113" s="101"/>
      <c r="FR113" s="101"/>
      <c r="FS113" s="101"/>
      <c r="FT113" s="101"/>
      <c r="FU113" s="101"/>
      <c r="FV113" s="101"/>
      <c r="FW113" s="101"/>
      <c r="FX113" s="101"/>
      <c r="FY113" s="101"/>
      <c r="FZ113" s="101"/>
      <c r="GA113" s="101"/>
      <c r="GB113" s="101"/>
      <c r="GC113" s="101"/>
      <c r="GD113" s="101"/>
      <c r="GE113" s="101"/>
      <c r="GF113" s="101"/>
      <c r="GG113" s="101"/>
      <c r="GH113" s="101"/>
      <c r="GI113" s="101"/>
      <c r="GJ113" s="101"/>
      <c r="GK113" s="101"/>
      <c r="GL113" s="101"/>
      <c r="GM113" s="101"/>
      <c r="GN113" s="101"/>
      <c r="GO113" s="101"/>
      <c r="GP113" s="101"/>
      <c r="GQ113" s="101"/>
      <c r="GR113" s="101"/>
      <c r="GS113" s="101"/>
      <c r="GT113" s="101"/>
      <c r="GU113" s="101"/>
      <c r="GV113" s="101"/>
      <c r="GW113" s="101"/>
      <c r="GX113" s="101"/>
      <c r="GY113" s="101"/>
      <c r="GZ113" s="101"/>
      <c r="HA113" s="101"/>
      <c r="HB113" s="101"/>
      <c r="HC113" s="101"/>
      <c r="HD113" s="101"/>
      <c r="HE113" s="101"/>
      <c r="HF113" s="101"/>
      <c r="HG113" s="101"/>
      <c r="HH113" s="101"/>
      <c r="HI113" s="101"/>
      <c r="HJ113" s="101"/>
      <c r="HK113" s="101"/>
      <c r="HL113" s="101"/>
      <c r="HM113" s="101"/>
      <c r="HN113" s="101"/>
      <c r="HO113" s="101"/>
      <c r="HP113" s="101"/>
      <c r="HQ113" s="101"/>
      <c r="HR113" s="101"/>
      <c r="HS113" s="101"/>
      <c r="HT113" s="101"/>
      <c r="HU113" s="101"/>
      <c r="HV113" s="101"/>
      <c r="HW113" s="101"/>
      <c r="HX113" s="101"/>
      <c r="HY113" s="101"/>
      <c r="HZ113" s="101"/>
      <c r="IA113" s="101"/>
      <c r="IB113" s="101"/>
      <c r="IC113" s="101"/>
      <c r="ID113" s="101"/>
      <c r="IE113" s="101"/>
      <c r="IF113" s="101"/>
      <c r="IG113" s="101"/>
      <c r="IH113" s="101"/>
      <c r="II113" s="101"/>
      <c r="IJ113" s="101"/>
      <c r="IK113" s="101"/>
      <c r="IL113" s="101"/>
      <c r="IM113" s="101"/>
      <c r="IN113" s="101"/>
      <c r="IO113" s="101"/>
      <c r="IP113" s="101"/>
      <c r="IQ113" s="101"/>
      <c r="IR113" s="101"/>
      <c r="IS113" s="101"/>
      <c r="IT113" s="101"/>
    </row>
    <row r="114" spans="1:254">
      <c r="A114" s="101"/>
      <c r="B114" s="101"/>
      <c r="C114" s="101"/>
      <c r="D114" s="101"/>
      <c r="F114" s="7"/>
      <c r="G114" s="7"/>
      <c r="H114" s="7"/>
      <c r="I114" s="7"/>
      <c r="J114" s="7"/>
      <c r="K114" s="7"/>
      <c r="L114" s="7"/>
      <c r="M114" s="52"/>
      <c r="N114" s="52"/>
      <c r="O114" s="7"/>
      <c r="P114" s="52"/>
      <c r="Q114" s="52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1"/>
      <c r="BD114" s="101"/>
      <c r="BE114" s="101"/>
      <c r="BF114" s="101"/>
      <c r="BG114" s="101"/>
      <c r="BH114" s="101"/>
      <c r="BI114" s="101"/>
      <c r="BJ114" s="101"/>
      <c r="BK114" s="101"/>
      <c r="BL114" s="101"/>
      <c r="BM114" s="101"/>
      <c r="BN114" s="101"/>
      <c r="BO114" s="101"/>
      <c r="BP114" s="101"/>
      <c r="BQ114" s="101"/>
      <c r="BR114" s="101"/>
      <c r="BS114" s="101"/>
      <c r="BT114" s="101"/>
      <c r="BU114" s="101"/>
      <c r="BV114" s="101"/>
      <c r="BW114" s="101"/>
      <c r="BX114" s="101"/>
      <c r="BY114" s="101"/>
      <c r="BZ114" s="101"/>
      <c r="CA114" s="101"/>
      <c r="CB114" s="101"/>
      <c r="CC114" s="101"/>
      <c r="CD114" s="101"/>
      <c r="CE114" s="101"/>
      <c r="CF114" s="101"/>
      <c r="CG114" s="101"/>
      <c r="CH114" s="101"/>
      <c r="CI114" s="101"/>
      <c r="CJ114" s="101"/>
      <c r="CK114" s="101"/>
      <c r="CL114" s="101"/>
      <c r="CM114" s="101"/>
      <c r="CN114" s="101"/>
      <c r="CO114" s="101"/>
      <c r="CP114" s="101"/>
      <c r="CQ114" s="101"/>
      <c r="CR114" s="101"/>
      <c r="CS114" s="101"/>
      <c r="CT114" s="101"/>
      <c r="CU114" s="101"/>
      <c r="CV114" s="101"/>
      <c r="CW114" s="101"/>
      <c r="CX114" s="101"/>
      <c r="CY114" s="101"/>
      <c r="CZ114" s="101"/>
      <c r="DA114" s="101"/>
      <c r="DB114" s="101"/>
      <c r="DC114" s="101"/>
      <c r="DD114" s="101"/>
      <c r="DE114" s="101"/>
      <c r="DF114" s="101"/>
      <c r="DG114" s="101"/>
      <c r="DH114" s="101"/>
      <c r="DI114" s="101"/>
      <c r="DJ114" s="101"/>
      <c r="DK114" s="101"/>
      <c r="DL114" s="101"/>
      <c r="DM114" s="101"/>
      <c r="DN114" s="101"/>
      <c r="DO114" s="101"/>
      <c r="DP114" s="101"/>
      <c r="DQ114" s="101"/>
      <c r="DR114" s="101"/>
      <c r="DS114" s="101"/>
      <c r="DT114" s="101"/>
      <c r="DU114" s="101"/>
      <c r="DV114" s="101"/>
      <c r="DW114" s="101"/>
      <c r="DX114" s="101"/>
      <c r="DY114" s="101"/>
      <c r="DZ114" s="101"/>
      <c r="EA114" s="101"/>
      <c r="EB114" s="101"/>
      <c r="EC114" s="101"/>
      <c r="ED114" s="101"/>
      <c r="EE114" s="101"/>
      <c r="EF114" s="101"/>
      <c r="EG114" s="101"/>
      <c r="EH114" s="101"/>
      <c r="EI114" s="101"/>
      <c r="EJ114" s="101"/>
      <c r="EK114" s="101"/>
      <c r="EL114" s="101"/>
      <c r="EM114" s="101"/>
      <c r="EN114" s="101"/>
      <c r="EO114" s="101"/>
      <c r="EP114" s="101"/>
      <c r="EQ114" s="101"/>
      <c r="ER114" s="101"/>
      <c r="ES114" s="101"/>
      <c r="ET114" s="101"/>
      <c r="EU114" s="101"/>
      <c r="EV114" s="101"/>
      <c r="EW114" s="101"/>
      <c r="EX114" s="101"/>
      <c r="EY114" s="101"/>
      <c r="EZ114" s="101"/>
      <c r="FA114" s="101"/>
      <c r="FB114" s="101"/>
      <c r="FC114" s="101"/>
      <c r="FD114" s="101"/>
      <c r="FE114" s="101"/>
      <c r="FF114" s="101"/>
      <c r="FG114" s="101"/>
      <c r="FH114" s="101"/>
      <c r="FI114" s="101"/>
      <c r="FJ114" s="101"/>
      <c r="FK114" s="101"/>
      <c r="FL114" s="101"/>
      <c r="FM114" s="101"/>
      <c r="FN114" s="101"/>
      <c r="FO114" s="101"/>
      <c r="FP114" s="101"/>
      <c r="FQ114" s="101"/>
      <c r="FR114" s="101"/>
      <c r="FS114" s="101"/>
      <c r="FT114" s="101"/>
      <c r="FU114" s="101"/>
      <c r="FV114" s="101"/>
      <c r="FW114" s="101"/>
      <c r="FX114" s="101"/>
      <c r="FY114" s="101"/>
      <c r="FZ114" s="101"/>
      <c r="GA114" s="101"/>
      <c r="GB114" s="101"/>
      <c r="GC114" s="101"/>
      <c r="GD114" s="101"/>
      <c r="GE114" s="101"/>
      <c r="GF114" s="101"/>
      <c r="GG114" s="101"/>
      <c r="GH114" s="101"/>
      <c r="GI114" s="101"/>
      <c r="GJ114" s="101"/>
      <c r="GK114" s="101"/>
      <c r="GL114" s="101"/>
      <c r="GM114" s="101"/>
      <c r="GN114" s="101"/>
      <c r="GO114" s="101"/>
      <c r="GP114" s="101"/>
      <c r="GQ114" s="101"/>
      <c r="GR114" s="101"/>
      <c r="GS114" s="101"/>
      <c r="GT114" s="101"/>
      <c r="GU114" s="101"/>
      <c r="GV114" s="101"/>
      <c r="GW114" s="101"/>
      <c r="GX114" s="101"/>
      <c r="GY114" s="101"/>
      <c r="GZ114" s="101"/>
      <c r="HA114" s="101"/>
      <c r="HB114" s="101"/>
      <c r="HC114" s="101"/>
      <c r="HD114" s="101"/>
      <c r="HE114" s="101"/>
      <c r="HF114" s="101"/>
      <c r="HG114" s="101"/>
      <c r="HH114" s="101"/>
      <c r="HI114" s="101"/>
      <c r="HJ114" s="101"/>
      <c r="HK114" s="101"/>
      <c r="HL114" s="101"/>
      <c r="HM114" s="101"/>
      <c r="HN114" s="101"/>
      <c r="HO114" s="101"/>
      <c r="HP114" s="101"/>
      <c r="HQ114" s="101"/>
      <c r="HR114" s="101"/>
      <c r="HS114" s="101"/>
      <c r="HT114" s="101"/>
      <c r="HU114" s="101"/>
      <c r="HV114" s="101"/>
      <c r="HW114" s="101"/>
      <c r="HX114" s="101"/>
      <c r="HY114" s="101"/>
      <c r="HZ114" s="101"/>
      <c r="IA114" s="101"/>
      <c r="IB114" s="101"/>
      <c r="IC114" s="101"/>
      <c r="ID114" s="101"/>
      <c r="IE114" s="101"/>
      <c r="IF114" s="101"/>
      <c r="IG114" s="101"/>
      <c r="IH114" s="101"/>
      <c r="II114" s="101"/>
      <c r="IJ114" s="101"/>
      <c r="IK114" s="101"/>
      <c r="IL114" s="101"/>
      <c r="IM114" s="101"/>
      <c r="IN114" s="101"/>
      <c r="IO114" s="101"/>
      <c r="IP114" s="101"/>
      <c r="IQ114" s="101"/>
      <c r="IR114" s="101"/>
      <c r="IS114" s="101"/>
      <c r="IT114" s="101"/>
    </row>
    <row r="115" spans="1:254">
      <c r="A115" s="101"/>
      <c r="B115" s="101"/>
      <c r="C115" s="101"/>
      <c r="D115" s="101"/>
      <c r="F115" s="7"/>
      <c r="G115" s="7"/>
      <c r="H115" s="7"/>
      <c r="I115" s="7"/>
      <c r="J115" s="7"/>
      <c r="K115" s="7"/>
      <c r="L115" s="7"/>
      <c r="M115" s="52"/>
      <c r="N115" s="52"/>
      <c r="O115" s="7"/>
      <c r="P115" s="52"/>
      <c r="Q115" s="52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/>
      <c r="BD115" s="101"/>
      <c r="BE115" s="101"/>
      <c r="BF115" s="101"/>
      <c r="BG115" s="101"/>
      <c r="BH115" s="101"/>
      <c r="BI115" s="101"/>
      <c r="BJ115" s="101"/>
      <c r="BK115" s="101"/>
      <c r="BL115" s="101"/>
      <c r="BM115" s="101"/>
      <c r="BN115" s="101"/>
      <c r="BO115" s="101"/>
      <c r="BP115" s="101"/>
      <c r="BQ115" s="101"/>
      <c r="BR115" s="101"/>
      <c r="BS115" s="101"/>
      <c r="BT115" s="101"/>
      <c r="BU115" s="101"/>
      <c r="BV115" s="101"/>
      <c r="BW115" s="101"/>
      <c r="BX115" s="101"/>
      <c r="BY115" s="101"/>
      <c r="BZ115" s="101"/>
      <c r="CA115" s="101"/>
      <c r="CB115" s="101"/>
      <c r="CC115" s="101"/>
      <c r="CD115" s="101"/>
      <c r="CE115" s="101"/>
      <c r="CF115" s="101"/>
      <c r="CG115" s="101"/>
      <c r="CH115" s="101"/>
      <c r="CI115" s="101"/>
      <c r="CJ115" s="101"/>
      <c r="CK115" s="101"/>
      <c r="CL115" s="101"/>
      <c r="CM115" s="101"/>
      <c r="CN115" s="101"/>
      <c r="CO115" s="101"/>
      <c r="CP115" s="101"/>
      <c r="CQ115" s="101"/>
      <c r="CR115" s="101"/>
      <c r="CS115" s="101"/>
      <c r="CT115" s="101"/>
      <c r="CU115" s="101"/>
      <c r="CV115" s="101"/>
      <c r="CW115" s="101"/>
      <c r="CX115" s="101"/>
      <c r="CY115" s="101"/>
      <c r="CZ115" s="101"/>
      <c r="DA115" s="101"/>
      <c r="DB115" s="101"/>
      <c r="DC115" s="101"/>
      <c r="DD115" s="101"/>
      <c r="DE115" s="101"/>
      <c r="DF115" s="101"/>
      <c r="DG115" s="101"/>
      <c r="DH115" s="101"/>
      <c r="DI115" s="101"/>
      <c r="DJ115" s="101"/>
      <c r="DK115" s="101"/>
      <c r="DL115" s="101"/>
      <c r="DM115" s="101"/>
      <c r="DN115" s="101"/>
      <c r="DO115" s="101"/>
      <c r="DP115" s="101"/>
      <c r="DQ115" s="101"/>
      <c r="DR115" s="101"/>
      <c r="DS115" s="101"/>
      <c r="DT115" s="101"/>
      <c r="DU115" s="101"/>
      <c r="DV115" s="101"/>
      <c r="DW115" s="101"/>
      <c r="DX115" s="101"/>
      <c r="DY115" s="101"/>
      <c r="DZ115" s="101"/>
      <c r="EA115" s="101"/>
      <c r="EB115" s="101"/>
      <c r="EC115" s="101"/>
      <c r="ED115" s="101"/>
      <c r="EE115" s="101"/>
      <c r="EF115" s="101"/>
      <c r="EG115" s="101"/>
      <c r="EH115" s="101"/>
      <c r="EI115" s="101"/>
      <c r="EJ115" s="101"/>
      <c r="EK115" s="101"/>
      <c r="EL115" s="101"/>
      <c r="EM115" s="101"/>
      <c r="EN115" s="101"/>
      <c r="EO115" s="101"/>
      <c r="EP115" s="101"/>
      <c r="EQ115" s="101"/>
      <c r="ER115" s="101"/>
      <c r="ES115" s="101"/>
      <c r="ET115" s="101"/>
      <c r="EU115" s="101"/>
      <c r="EV115" s="101"/>
      <c r="EW115" s="101"/>
      <c r="EX115" s="101"/>
      <c r="EY115" s="101"/>
      <c r="EZ115" s="101"/>
      <c r="FA115" s="101"/>
      <c r="FB115" s="101"/>
      <c r="FC115" s="101"/>
      <c r="FD115" s="101"/>
      <c r="FE115" s="101"/>
      <c r="FF115" s="101"/>
      <c r="FG115" s="101"/>
      <c r="FH115" s="101"/>
      <c r="FI115" s="101"/>
      <c r="FJ115" s="101"/>
      <c r="FK115" s="101"/>
      <c r="FL115" s="101"/>
      <c r="FM115" s="101"/>
      <c r="FN115" s="101"/>
      <c r="FO115" s="101"/>
      <c r="FP115" s="101"/>
      <c r="FQ115" s="101"/>
      <c r="FR115" s="101"/>
      <c r="FS115" s="101"/>
      <c r="FT115" s="101"/>
      <c r="FU115" s="101"/>
      <c r="FV115" s="101"/>
      <c r="FW115" s="101"/>
      <c r="FX115" s="101"/>
      <c r="FY115" s="101"/>
      <c r="FZ115" s="101"/>
      <c r="GA115" s="101"/>
      <c r="GB115" s="101"/>
      <c r="GC115" s="101"/>
      <c r="GD115" s="101"/>
      <c r="GE115" s="101"/>
      <c r="GF115" s="101"/>
      <c r="GG115" s="101"/>
      <c r="GH115" s="101"/>
      <c r="GI115" s="101"/>
      <c r="GJ115" s="101"/>
      <c r="GK115" s="101"/>
      <c r="GL115" s="101"/>
      <c r="GM115" s="101"/>
      <c r="GN115" s="101"/>
      <c r="GO115" s="101"/>
      <c r="GP115" s="101"/>
      <c r="GQ115" s="101"/>
      <c r="GR115" s="101"/>
      <c r="GS115" s="101"/>
      <c r="GT115" s="101"/>
      <c r="GU115" s="101"/>
      <c r="GV115" s="101"/>
      <c r="GW115" s="101"/>
      <c r="GX115" s="101"/>
      <c r="GY115" s="101"/>
      <c r="GZ115" s="101"/>
      <c r="HA115" s="101"/>
      <c r="HB115" s="101"/>
      <c r="HC115" s="101"/>
      <c r="HD115" s="101"/>
      <c r="HE115" s="101"/>
      <c r="HF115" s="101"/>
      <c r="HG115" s="101"/>
      <c r="HH115" s="101"/>
      <c r="HI115" s="101"/>
      <c r="HJ115" s="101"/>
      <c r="HK115" s="101"/>
      <c r="HL115" s="101"/>
      <c r="HM115" s="101"/>
      <c r="HN115" s="101"/>
      <c r="HO115" s="101"/>
      <c r="HP115" s="101"/>
      <c r="HQ115" s="101"/>
      <c r="HR115" s="101"/>
      <c r="HS115" s="101"/>
      <c r="HT115" s="101"/>
      <c r="HU115" s="101"/>
      <c r="HV115" s="101"/>
      <c r="HW115" s="101"/>
      <c r="HX115" s="101"/>
      <c r="HY115" s="101"/>
      <c r="HZ115" s="101"/>
      <c r="IA115" s="101"/>
      <c r="IB115" s="101"/>
      <c r="IC115" s="101"/>
      <c r="ID115" s="101"/>
      <c r="IE115" s="101"/>
      <c r="IF115" s="101"/>
      <c r="IG115" s="101"/>
      <c r="IH115" s="101"/>
      <c r="II115" s="101"/>
      <c r="IJ115" s="101"/>
      <c r="IK115" s="101"/>
      <c r="IL115" s="101"/>
      <c r="IM115" s="101"/>
      <c r="IN115" s="101"/>
      <c r="IO115" s="101"/>
      <c r="IP115" s="101"/>
      <c r="IQ115" s="101"/>
      <c r="IR115" s="101"/>
      <c r="IS115" s="101"/>
      <c r="IT115" s="101"/>
    </row>
    <row r="116" spans="1:254">
      <c r="A116" s="101"/>
      <c r="B116" s="101"/>
      <c r="C116" s="101"/>
      <c r="D116" s="101"/>
      <c r="F116" s="7"/>
      <c r="G116" s="7"/>
      <c r="H116" s="7"/>
      <c r="I116" s="7"/>
      <c r="J116" s="7"/>
      <c r="K116" s="7"/>
      <c r="L116" s="7"/>
      <c r="M116" s="52"/>
      <c r="N116" s="52"/>
      <c r="O116" s="7"/>
      <c r="P116" s="52"/>
      <c r="Q116" s="52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/>
      <c r="BE116" s="101"/>
      <c r="BF116" s="101"/>
      <c r="BG116" s="101"/>
      <c r="BH116" s="101"/>
      <c r="BI116" s="101"/>
      <c r="BJ116" s="101"/>
      <c r="BK116" s="101"/>
      <c r="BL116" s="101"/>
      <c r="BM116" s="101"/>
      <c r="BN116" s="101"/>
      <c r="BO116" s="101"/>
      <c r="BP116" s="101"/>
      <c r="BQ116" s="101"/>
      <c r="BR116" s="101"/>
      <c r="BS116" s="101"/>
      <c r="BT116" s="101"/>
      <c r="BU116" s="101"/>
      <c r="BV116" s="101"/>
      <c r="BW116" s="101"/>
      <c r="BX116" s="101"/>
      <c r="BY116" s="101"/>
      <c r="BZ116" s="101"/>
      <c r="CA116" s="101"/>
      <c r="CB116" s="101"/>
      <c r="CC116" s="101"/>
      <c r="CD116" s="101"/>
      <c r="CE116" s="101"/>
      <c r="CF116" s="101"/>
      <c r="CG116" s="101"/>
      <c r="CH116" s="101"/>
      <c r="CI116" s="101"/>
      <c r="CJ116" s="101"/>
      <c r="CK116" s="101"/>
      <c r="CL116" s="101"/>
      <c r="CM116" s="101"/>
      <c r="CN116" s="101"/>
      <c r="CO116" s="101"/>
      <c r="CP116" s="101"/>
      <c r="CQ116" s="101"/>
      <c r="CR116" s="101"/>
      <c r="CS116" s="101"/>
      <c r="CT116" s="101"/>
      <c r="CU116" s="101"/>
      <c r="CV116" s="101"/>
      <c r="CW116" s="101"/>
      <c r="CX116" s="101"/>
      <c r="CY116" s="101"/>
      <c r="CZ116" s="101"/>
      <c r="DA116" s="101"/>
      <c r="DB116" s="101"/>
      <c r="DC116" s="101"/>
      <c r="DD116" s="101"/>
      <c r="DE116" s="101"/>
      <c r="DF116" s="101"/>
      <c r="DG116" s="101"/>
      <c r="DH116" s="101"/>
      <c r="DI116" s="101"/>
      <c r="DJ116" s="101"/>
      <c r="DK116" s="101"/>
      <c r="DL116" s="101"/>
      <c r="DM116" s="101"/>
      <c r="DN116" s="101"/>
      <c r="DO116" s="101"/>
      <c r="DP116" s="101"/>
      <c r="DQ116" s="101"/>
      <c r="DR116" s="101"/>
      <c r="DS116" s="101"/>
      <c r="DT116" s="101"/>
      <c r="DU116" s="101"/>
      <c r="DV116" s="101"/>
      <c r="DW116" s="101"/>
      <c r="DX116" s="101"/>
      <c r="DY116" s="101"/>
      <c r="DZ116" s="101"/>
      <c r="EA116" s="101"/>
      <c r="EB116" s="101"/>
      <c r="EC116" s="101"/>
      <c r="ED116" s="101"/>
      <c r="EE116" s="101"/>
      <c r="EF116" s="101"/>
      <c r="EG116" s="101"/>
      <c r="EH116" s="101"/>
      <c r="EI116" s="101"/>
      <c r="EJ116" s="101"/>
      <c r="EK116" s="101"/>
      <c r="EL116" s="101"/>
      <c r="EM116" s="101"/>
      <c r="EN116" s="101"/>
      <c r="EO116" s="101"/>
      <c r="EP116" s="101"/>
      <c r="EQ116" s="101"/>
      <c r="ER116" s="101"/>
      <c r="ES116" s="101"/>
      <c r="ET116" s="101"/>
      <c r="EU116" s="101"/>
      <c r="EV116" s="101"/>
      <c r="EW116" s="101"/>
      <c r="EX116" s="101"/>
      <c r="EY116" s="101"/>
      <c r="EZ116" s="101"/>
      <c r="FA116" s="101"/>
      <c r="FB116" s="101"/>
      <c r="FC116" s="101"/>
      <c r="FD116" s="101"/>
      <c r="FE116" s="101"/>
      <c r="FF116" s="101"/>
      <c r="FG116" s="101"/>
      <c r="FH116" s="101"/>
      <c r="FI116" s="101"/>
      <c r="FJ116" s="101"/>
      <c r="FK116" s="101"/>
      <c r="FL116" s="101"/>
      <c r="FM116" s="101"/>
      <c r="FN116" s="101"/>
      <c r="FO116" s="101"/>
      <c r="FP116" s="101"/>
      <c r="FQ116" s="101"/>
      <c r="FR116" s="101"/>
      <c r="FS116" s="101"/>
      <c r="FT116" s="101"/>
      <c r="FU116" s="101"/>
      <c r="FV116" s="101"/>
      <c r="FW116" s="101"/>
      <c r="FX116" s="101"/>
      <c r="FY116" s="101"/>
      <c r="FZ116" s="101"/>
      <c r="GA116" s="101"/>
      <c r="GB116" s="101"/>
      <c r="GC116" s="101"/>
      <c r="GD116" s="101"/>
      <c r="GE116" s="101"/>
      <c r="GF116" s="101"/>
      <c r="GG116" s="101"/>
      <c r="GH116" s="101"/>
      <c r="GI116" s="101"/>
      <c r="GJ116" s="101"/>
      <c r="GK116" s="101"/>
      <c r="GL116" s="101"/>
      <c r="GM116" s="101"/>
      <c r="GN116" s="101"/>
      <c r="GO116" s="101"/>
      <c r="GP116" s="101"/>
      <c r="GQ116" s="101"/>
      <c r="GR116" s="101"/>
      <c r="GS116" s="101"/>
      <c r="GT116" s="101"/>
      <c r="GU116" s="101"/>
      <c r="GV116" s="101"/>
      <c r="GW116" s="101"/>
      <c r="GX116" s="101"/>
      <c r="GY116" s="101"/>
      <c r="GZ116" s="101"/>
      <c r="HA116" s="101"/>
      <c r="HB116" s="101"/>
      <c r="HC116" s="101"/>
      <c r="HD116" s="101"/>
      <c r="HE116" s="101"/>
      <c r="HF116" s="101"/>
      <c r="HG116" s="101"/>
      <c r="HH116" s="101"/>
      <c r="HI116" s="101"/>
      <c r="HJ116" s="101"/>
      <c r="HK116" s="101"/>
      <c r="HL116" s="101"/>
      <c r="HM116" s="101"/>
      <c r="HN116" s="101"/>
      <c r="HO116" s="101"/>
      <c r="HP116" s="101"/>
      <c r="HQ116" s="101"/>
      <c r="HR116" s="101"/>
      <c r="HS116" s="101"/>
      <c r="HT116" s="101"/>
      <c r="HU116" s="101"/>
      <c r="HV116" s="101"/>
      <c r="HW116" s="101"/>
      <c r="HX116" s="101"/>
      <c r="HY116" s="101"/>
      <c r="HZ116" s="101"/>
      <c r="IA116" s="101"/>
      <c r="IB116" s="101"/>
      <c r="IC116" s="101"/>
      <c r="ID116" s="101"/>
      <c r="IE116" s="101"/>
      <c r="IF116" s="101"/>
      <c r="IG116" s="101"/>
      <c r="IH116" s="101"/>
      <c r="II116" s="101"/>
      <c r="IJ116" s="101"/>
      <c r="IK116" s="101"/>
      <c r="IL116" s="101"/>
      <c r="IM116" s="101"/>
      <c r="IN116" s="101"/>
      <c r="IO116" s="101"/>
      <c r="IP116" s="101"/>
      <c r="IQ116" s="101"/>
      <c r="IR116" s="101"/>
      <c r="IS116" s="101"/>
      <c r="IT116" s="101"/>
    </row>
    <row r="117" spans="1:254">
      <c r="A117" s="101"/>
      <c r="B117" s="101"/>
      <c r="C117" s="101"/>
      <c r="D117" s="101"/>
      <c r="F117" s="7"/>
      <c r="G117" s="7"/>
      <c r="H117" s="7"/>
      <c r="I117" s="7"/>
      <c r="J117" s="7"/>
      <c r="K117" s="7"/>
      <c r="L117" s="7"/>
      <c r="M117" s="52"/>
      <c r="N117" s="52"/>
      <c r="O117" s="7"/>
      <c r="P117" s="52"/>
      <c r="Q117" s="52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101"/>
      <c r="BF117" s="101"/>
      <c r="BG117" s="101"/>
      <c r="BH117" s="101"/>
      <c r="BI117" s="101"/>
      <c r="BJ117" s="101"/>
      <c r="BK117" s="101"/>
      <c r="BL117" s="101"/>
      <c r="BM117" s="101"/>
      <c r="BN117" s="101"/>
      <c r="BO117" s="101"/>
      <c r="BP117" s="101"/>
      <c r="BQ117" s="101"/>
      <c r="BR117" s="101"/>
      <c r="BS117" s="101"/>
      <c r="BT117" s="101"/>
      <c r="BU117" s="101"/>
      <c r="BV117" s="101"/>
      <c r="BW117" s="101"/>
      <c r="BX117" s="101"/>
      <c r="BY117" s="101"/>
      <c r="BZ117" s="101"/>
      <c r="CA117" s="101"/>
      <c r="CB117" s="101"/>
      <c r="CC117" s="101"/>
      <c r="CD117" s="101"/>
      <c r="CE117" s="101"/>
      <c r="CF117" s="101"/>
      <c r="CG117" s="101"/>
      <c r="CH117" s="101"/>
      <c r="CI117" s="101"/>
      <c r="CJ117" s="101"/>
      <c r="CK117" s="101"/>
      <c r="CL117" s="101"/>
      <c r="CM117" s="101"/>
      <c r="CN117" s="101"/>
      <c r="CO117" s="101"/>
      <c r="CP117" s="101"/>
      <c r="CQ117" s="101"/>
      <c r="CR117" s="101"/>
      <c r="CS117" s="101"/>
      <c r="CT117" s="101"/>
      <c r="CU117" s="101"/>
      <c r="CV117" s="101"/>
      <c r="CW117" s="101"/>
      <c r="CX117" s="101"/>
      <c r="CY117" s="101"/>
      <c r="CZ117" s="101"/>
      <c r="DA117" s="101"/>
      <c r="DB117" s="101"/>
      <c r="DC117" s="101"/>
      <c r="DD117" s="101"/>
      <c r="DE117" s="101"/>
      <c r="DF117" s="101"/>
      <c r="DG117" s="101"/>
      <c r="DH117" s="101"/>
      <c r="DI117" s="101"/>
      <c r="DJ117" s="101"/>
      <c r="DK117" s="101"/>
      <c r="DL117" s="101"/>
      <c r="DM117" s="101"/>
      <c r="DN117" s="101"/>
      <c r="DO117" s="101"/>
      <c r="DP117" s="101"/>
      <c r="DQ117" s="101"/>
      <c r="DR117" s="101"/>
      <c r="DS117" s="101"/>
      <c r="DT117" s="101"/>
      <c r="DU117" s="101"/>
      <c r="DV117" s="101"/>
      <c r="DW117" s="101"/>
      <c r="DX117" s="101"/>
      <c r="DY117" s="101"/>
      <c r="DZ117" s="101"/>
      <c r="EA117" s="101"/>
      <c r="EB117" s="101"/>
      <c r="EC117" s="101"/>
      <c r="ED117" s="101"/>
      <c r="EE117" s="101"/>
      <c r="EF117" s="101"/>
      <c r="EG117" s="101"/>
      <c r="EH117" s="101"/>
      <c r="EI117" s="101"/>
      <c r="EJ117" s="101"/>
      <c r="EK117" s="101"/>
      <c r="EL117" s="101"/>
      <c r="EM117" s="101"/>
      <c r="EN117" s="101"/>
      <c r="EO117" s="101"/>
      <c r="EP117" s="101"/>
      <c r="EQ117" s="101"/>
      <c r="ER117" s="101"/>
      <c r="ES117" s="101"/>
      <c r="ET117" s="101"/>
      <c r="EU117" s="101"/>
      <c r="EV117" s="101"/>
      <c r="EW117" s="101"/>
      <c r="EX117" s="101"/>
      <c r="EY117" s="101"/>
      <c r="EZ117" s="101"/>
      <c r="FA117" s="101"/>
      <c r="FB117" s="101"/>
      <c r="FC117" s="101"/>
      <c r="FD117" s="101"/>
      <c r="FE117" s="101"/>
      <c r="FF117" s="101"/>
      <c r="FG117" s="101"/>
      <c r="FH117" s="101"/>
      <c r="FI117" s="101"/>
      <c r="FJ117" s="101"/>
      <c r="FK117" s="101"/>
      <c r="FL117" s="101"/>
      <c r="FM117" s="101"/>
      <c r="FN117" s="101"/>
      <c r="FO117" s="101"/>
      <c r="FP117" s="101"/>
      <c r="FQ117" s="101"/>
      <c r="FR117" s="101"/>
      <c r="FS117" s="101"/>
      <c r="FT117" s="101"/>
      <c r="FU117" s="101"/>
      <c r="FV117" s="101"/>
      <c r="FW117" s="101"/>
      <c r="FX117" s="101"/>
      <c r="FY117" s="101"/>
      <c r="FZ117" s="101"/>
      <c r="GA117" s="101"/>
      <c r="GB117" s="101"/>
      <c r="GC117" s="101"/>
      <c r="GD117" s="101"/>
      <c r="GE117" s="101"/>
      <c r="GF117" s="101"/>
      <c r="GG117" s="101"/>
      <c r="GH117" s="101"/>
      <c r="GI117" s="101"/>
      <c r="GJ117" s="101"/>
      <c r="GK117" s="101"/>
      <c r="GL117" s="101"/>
      <c r="GM117" s="101"/>
      <c r="GN117" s="101"/>
      <c r="GO117" s="101"/>
      <c r="GP117" s="101"/>
      <c r="GQ117" s="101"/>
      <c r="GR117" s="101"/>
      <c r="GS117" s="101"/>
      <c r="GT117" s="101"/>
      <c r="GU117" s="101"/>
      <c r="GV117" s="101"/>
      <c r="GW117" s="101"/>
      <c r="GX117" s="101"/>
      <c r="GY117" s="101"/>
      <c r="GZ117" s="101"/>
      <c r="HA117" s="101"/>
      <c r="HB117" s="101"/>
      <c r="HC117" s="101"/>
      <c r="HD117" s="101"/>
      <c r="HE117" s="101"/>
      <c r="HF117" s="101"/>
      <c r="HG117" s="101"/>
      <c r="HH117" s="101"/>
      <c r="HI117" s="101"/>
      <c r="HJ117" s="101"/>
      <c r="HK117" s="101"/>
      <c r="HL117" s="101"/>
      <c r="HM117" s="101"/>
      <c r="HN117" s="101"/>
      <c r="HO117" s="101"/>
      <c r="HP117" s="101"/>
      <c r="HQ117" s="101"/>
      <c r="HR117" s="101"/>
      <c r="HS117" s="101"/>
      <c r="HT117" s="101"/>
      <c r="HU117" s="101"/>
      <c r="HV117" s="101"/>
      <c r="HW117" s="101"/>
      <c r="HX117" s="101"/>
      <c r="HY117" s="101"/>
      <c r="HZ117" s="101"/>
      <c r="IA117" s="101"/>
      <c r="IB117" s="101"/>
      <c r="IC117" s="101"/>
      <c r="ID117" s="101"/>
      <c r="IE117" s="101"/>
      <c r="IF117" s="101"/>
      <c r="IG117" s="101"/>
      <c r="IH117" s="101"/>
      <c r="II117" s="101"/>
      <c r="IJ117" s="101"/>
      <c r="IK117" s="101"/>
      <c r="IL117" s="101"/>
      <c r="IM117" s="101"/>
      <c r="IN117" s="101"/>
      <c r="IO117" s="101"/>
      <c r="IP117" s="101"/>
      <c r="IQ117" s="101"/>
      <c r="IR117" s="101"/>
      <c r="IS117" s="101"/>
      <c r="IT117" s="101"/>
    </row>
    <row r="118" spans="1:254">
      <c r="A118" s="101"/>
      <c r="B118" s="101"/>
      <c r="C118" s="101"/>
      <c r="D118" s="101"/>
      <c r="F118" s="7"/>
      <c r="G118" s="7"/>
      <c r="H118" s="7"/>
      <c r="I118" s="7"/>
      <c r="J118" s="7"/>
      <c r="K118" s="7"/>
      <c r="L118" s="7"/>
      <c r="M118" s="52"/>
      <c r="N118" s="52"/>
      <c r="O118" s="7"/>
      <c r="P118" s="52"/>
      <c r="Q118" s="52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/>
      <c r="BF118" s="101"/>
      <c r="BG118" s="101"/>
      <c r="BH118" s="101"/>
      <c r="BI118" s="101"/>
      <c r="BJ118" s="101"/>
      <c r="BK118" s="101"/>
      <c r="BL118" s="101"/>
      <c r="BM118" s="101"/>
      <c r="BN118" s="101"/>
      <c r="BO118" s="101"/>
      <c r="BP118" s="101"/>
      <c r="BQ118" s="101"/>
      <c r="BR118" s="101"/>
      <c r="BS118" s="101"/>
      <c r="BT118" s="101"/>
      <c r="BU118" s="101"/>
      <c r="BV118" s="101"/>
      <c r="BW118" s="101"/>
      <c r="BX118" s="101"/>
      <c r="BY118" s="101"/>
      <c r="BZ118" s="101"/>
      <c r="CA118" s="101"/>
      <c r="CB118" s="101"/>
      <c r="CC118" s="101"/>
      <c r="CD118" s="101"/>
      <c r="CE118" s="101"/>
      <c r="CF118" s="101"/>
      <c r="CG118" s="101"/>
      <c r="CH118" s="101"/>
      <c r="CI118" s="101"/>
      <c r="CJ118" s="101"/>
      <c r="CK118" s="101"/>
      <c r="CL118" s="101"/>
      <c r="CM118" s="101"/>
      <c r="CN118" s="101"/>
      <c r="CO118" s="101"/>
      <c r="CP118" s="101"/>
      <c r="CQ118" s="101"/>
      <c r="CR118" s="101"/>
      <c r="CS118" s="101"/>
      <c r="CT118" s="101"/>
      <c r="CU118" s="101"/>
      <c r="CV118" s="101"/>
      <c r="CW118" s="101"/>
      <c r="CX118" s="101"/>
      <c r="CY118" s="101"/>
      <c r="CZ118" s="101"/>
      <c r="DA118" s="101"/>
      <c r="DB118" s="101"/>
      <c r="DC118" s="101"/>
      <c r="DD118" s="101"/>
      <c r="DE118" s="101"/>
      <c r="DF118" s="101"/>
      <c r="DG118" s="101"/>
      <c r="DH118" s="101"/>
      <c r="DI118" s="101"/>
      <c r="DJ118" s="101"/>
      <c r="DK118" s="101"/>
      <c r="DL118" s="101"/>
      <c r="DM118" s="101"/>
      <c r="DN118" s="101"/>
      <c r="DO118" s="101"/>
      <c r="DP118" s="101"/>
      <c r="DQ118" s="101"/>
      <c r="DR118" s="101"/>
      <c r="DS118" s="101"/>
      <c r="DT118" s="101"/>
      <c r="DU118" s="101"/>
      <c r="DV118" s="101"/>
      <c r="DW118" s="101"/>
      <c r="DX118" s="101"/>
      <c r="DY118" s="101"/>
      <c r="DZ118" s="101"/>
      <c r="EA118" s="101"/>
      <c r="EB118" s="101"/>
      <c r="EC118" s="101"/>
      <c r="ED118" s="101"/>
      <c r="EE118" s="101"/>
      <c r="EF118" s="101"/>
      <c r="EG118" s="101"/>
      <c r="EH118" s="101"/>
      <c r="EI118" s="101"/>
      <c r="EJ118" s="101"/>
      <c r="EK118" s="101"/>
      <c r="EL118" s="101"/>
      <c r="EM118" s="101"/>
      <c r="EN118" s="101"/>
      <c r="EO118" s="101"/>
      <c r="EP118" s="101"/>
      <c r="EQ118" s="101"/>
      <c r="ER118" s="101"/>
      <c r="ES118" s="101"/>
      <c r="ET118" s="101"/>
      <c r="EU118" s="101"/>
      <c r="EV118" s="101"/>
      <c r="EW118" s="101"/>
      <c r="EX118" s="101"/>
      <c r="EY118" s="101"/>
      <c r="EZ118" s="101"/>
      <c r="FA118" s="101"/>
      <c r="FB118" s="101"/>
      <c r="FC118" s="101"/>
      <c r="FD118" s="101"/>
      <c r="FE118" s="101"/>
      <c r="FF118" s="101"/>
      <c r="FG118" s="101"/>
      <c r="FH118" s="101"/>
      <c r="FI118" s="101"/>
      <c r="FJ118" s="101"/>
      <c r="FK118" s="101"/>
      <c r="FL118" s="101"/>
      <c r="FM118" s="101"/>
      <c r="FN118" s="101"/>
      <c r="FO118" s="101"/>
      <c r="FP118" s="101"/>
      <c r="FQ118" s="101"/>
      <c r="FR118" s="101"/>
      <c r="FS118" s="101"/>
      <c r="FT118" s="101"/>
      <c r="FU118" s="101"/>
      <c r="FV118" s="101"/>
      <c r="FW118" s="101"/>
      <c r="FX118" s="101"/>
      <c r="FY118" s="101"/>
      <c r="FZ118" s="101"/>
      <c r="GA118" s="101"/>
      <c r="GB118" s="101"/>
      <c r="GC118" s="101"/>
      <c r="GD118" s="101"/>
      <c r="GE118" s="101"/>
      <c r="GF118" s="101"/>
      <c r="GG118" s="101"/>
      <c r="GH118" s="101"/>
      <c r="GI118" s="101"/>
      <c r="GJ118" s="101"/>
      <c r="GK118" s="101"/>
      <c r="GL118" s="101"/>
      <c r="GM118" s="101"/>
      <c r="GN118" s="101"/>
      <c r="GO118" s="101"/>
      <c r="GP118" s="101"/>
      <c r="GQ118" s="101"/>
      <c r="GR118" s="101"/>
      <c r="GS118" s="101"/>
      <c r="GT118" s="101"/>
      <c r="GU118" s="101"/>
      <c r="GV118" s="101"/>
      <c r="GW118" s="101"/>
      <c r="GX118" s="101"/>
      <c r="GY118" s="101"/>
      <c r="GZ118" s="101"/>
      <c r="HA118" s="101"/>
      <c r="HB118" s="101"/>
      <c r="HC118" s="101"/>
      <c r="HD118" s="101"/>
      <c r="HE118" s="101"/>
      <c r="HF118" s="101"/>
      <c r="HG118" s="101"/>
      <c r="HH118" s="101"/>
      <c r="HI118" s="101"/>
      <c r="HJ118" s="101"/>
      <c r="HK118" s="101"/>
      <c r="HL118" s="101"/>
      <c r="HM118" s="101"/>
      <c r="HN118" s="101"/>
      <c r="HO118" s="101"/>
      <c r="HP118" s="101"/>
      <c r="HQ118" s="101"/>
      <c r="HR118" s="101"/>
      <c r="HS118" s="101"/>
      <c r="HT118" s="101"/>
      <c r="HU118" s="101"/>
      <c r="HV118" s="101"/>
      <c r="HW118" s="101"/>
      <c r="HX118" s="101"/>
      <c r="HY118" s="101"/>
      <c r="HZ118" s="101"/>
      <c r="IA118" s="101"/>
      <c r="IB118" s="101"/>
      <c r="IC118" s="101"/>
      <c r="ID118" s="101"/>
      <c r="IE118" s="101"/>
      <c r="IF118" s="101"/>
      <c r="IG118" s="101"/>
      <c r="IH118" s="101"/>
      <c r="II118" s="101"/>
      <c r="IJ118" s="101"/>
      <c r="IK118" s="101"/>
      <c r="IL118" s="101"/>
      <c r="IM118" s="101"/>
      <c r="IN118" s="101"/>
      <c r="IO118" s="101"/>
      <c r="IP118" s="101"/>
      <c r="IQ118" s="101"/>
      <c r="IR118" s="101"/>
      <c r="IS118" s="101"/>
      <c r="IT118" s="101"/>
    </row>
    <row r="119" spans="1:254">
      <c r="A119" s="101"/>
      <c r="B119" s="101"/>
      <c r="C119" s="101"/>
      <c r="D119" s="101"/>
      <c r="F119" s="7"/>
      <c r="G119" s="7"/>
      <c r="H119" s="7"/>
      <c r="I119" s="7"/>
      <c r="J119" s="7"/>
      <c r="K119" s="7"/>
      <c r="L119" s="7"/>
      <c r="M119" s="52"/>
      <c r="N119" s="52"/>
      <c r="O119" s="7"/>
      <c r="P119" s="52"/>
      <c r="Q119" s="52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/>
      <c r="BG119" s="101"/>
      <c r="BH119" s="101"/>
      <c r="BI119" s="101"/>
      <c r="BJ119" s="101"/>
      <c r="BK119" s="101"/>
      <c r="BL119" s="101"/>
      <c r="BM119" s="101"/>
      <c r="BN119" s="101"/>
      <c r="BO119" s="101"/>
      <c r="BP119" s="101"/>
      <c r="BQ119" s="101"/>
      <c r="BR119" s="101"/>
      <c r="BS119" s="101"/>
      <c r="BT119" s="101"/>
      <c r="BU119" s="101"/>
      <c r="BV119" s="101"/>
      <c r="BW119" s="101"/>
      <c r="BX119" s="101"/>
      <c r="BY119" s="101"/>
      <c r="BZ119" s="101"/>
      <c r="CA119" s="101"/>
      <c r="CB119" s="101"/>
      <c r="CC119" s="101"/>
      <c r="CD119" s="101"/>
      <c r="CE119" s="101"/>
      <c r="CF119" s="101"/>
      <c r="CG119" s="101"/>
      <c r="CH119" s="101"/>
      <c r="CI119" s="101"/>
      <c r="CJ119" s="101"/>
      <c r="CK119" s="101"/>
      <c r="CL119" s="101"/>
      <c r="CM119" s="101"/>
      <c r="CN119" s="101"/>
      <c r="CO119" s="101"/>
      <c r="CP119" s="101"/>
      <c r="CQ119" s="101"/>
      <c r="CR119" s="101"/>
      <c r="CS119" s="101"/>
      <c r="CT119" s="101"/>
      <c r="CU119" s="101"/>
      <c r="CV119" s="101"/>
      <c r="CW119" s="101"/>
      <c r="CX119" s="101"/>
      <c r="CY119" s="101"/>
      <c r="CZ119" s="101"/>
      <c r="DA119" s="101"/>
      <c r="DB119" s="101"/>
      <c r="DC119" s="101"/>
      <c r="DD119" s="101"/>
      <c r="DE119" s="101"/>
      <c r="DF119" s="101"/>
      <c r="DG119" s="101"/>
      <c r="DH119" s="101"/>
      <c r="DI119" s="101"/>
      <c r="DJ119" s="101"/>
      <c r="DK119" s="101"/>
      <c r="DL119" s="101"/>
      <c r="DM119" s="101"/>
      <c r="DN119" s="101"/>
      <c r="DO119" s="101"/>
      <c r="DP119" s="101"/>
      <c r="DQ119" s="101"/>
      <c r="DR119" s="101"/>
      <c r="DS119" s="101"/>
      <c r="DT119" s="101"/>
      <c r="DU119" s="101"/>
      <c r="DV119" s="101"/>
      <c r="DW119" s="101"/>
      <c r="DX119" s="101"/>
      <c r="DY119" s="101"/>
      <c r="DZ119" s="101"/>
      <c r="EA119" s="101"/>
      <c r="EB119" s="101"/>
      <c r="EC119" s="101"/>
      <c r="ED119" s="101"/>
      <c r="EE119" s="101"/>
      <c r="EF119" s="101"/>
      <c r="EG119" s="101"/>
      <c r="EH119" s="101"/>
      <c r="EI119" s="101"/>
      <c r="EJ119" s="101"/>
      <c r="EK119" s="101"/>
      <c r="EL119" s="101"/>
      <c r="EM119" s="101"/>
      <c r="EN119" s="101"/>
      <c r="EO119" s="101"/>
      <c r="EP119" s="101"/>
      <c r="EQ119" s="101"/>
      <c r="ER119" s="101"/>
      <c r="ES119" s="101"/>
      <c r="ET119" s="101"/>
      <c r="EU119" s="101"/>
      <c r="EV119" s="101"/>
      <c r="EW119" s="101"/>
      <c r="EX119" s="101"/>
      <c r="EY119" s="101"/>
      <c r="EZ119" s="101"/>
      <c r="FA119" s="101"/>
      <c r="FB119" s="101"/>
      <c r="FC119" s="101"/>
      <c r="FD119" s="101"/>
      <c r="FE119" s="101"/>
      <c r="FF119" s="101"/>
      <c r="FG119" s="101"/>
      <c r="FH119" s="101"/>
      <c r="FI119" s="101"/>
      <c r="FJ119" s="101"/>
      <c r="FK119" s="101"/>
      <c r="FL119" s="101"/>
      <c r="FM119" s="101"/>
      <c r="FN119" s="101"/>
      <c r="FO119" s="101"/>
      <c r="FP119" s="101"/>
      <c r="FQ119" s="101"/>
      <c r="FR119" s="101"/>
      <c r="FS119" s="101"/>
      <c r="FT119" s="101"/>
      <c r="FU119" s="101"/>
      <c r="FV119" s="101"/>
      <c r="FW119" s="101"/>
      <c r="FX119" s="101"/>
      <c r="FY119" s="101"/>
      <c r="FZ119" s="101"/>
      <c r="GA119" s="101"/>
      <c r="GB119" s="101"/>
      <c r="GC119" s="101"/>
      <c r="GD119" s="101"/>
      <c r="GE119" s="101"/>
      <c r="GF119" s="101"/>
      <c r="GG119" s="101"/>
      <c r="GH119" s="101"/>
      <c r="GI119" s="101"/>
      <c r="GJ119" s="101"/>
      <c r="GK119" s="101"/>
      <c r="GL119" s="101"/>
      <c r="GM119" s="101"/>
      <c r="GN119" s="101"/>
      <c r="GO119" s="101"/>
      <c r="GP119" s="101"/>
      <c r="GQ119" s="101"/>
      <c r="GR119" s="101"/>
      <c r="GS119" s="101"/>
      <c r="GT119" s="101"/>
      <c r="GU119" s="101"/>
      <c r="GV119" s="101"/>
      <c r="GW119" s="101"/>
      <c r="GX119" s="101"/>
      <c r="GY119" s="101"/>
      <c r="GZ119" s="101"/>
      <c r="HA119" s="101"/>
      <c r="HB119" s="101"/>
      <c r="HC119" s="101"/>
      <c r="HD119" s="101"/>
      <c r="HE119" s="101"/>
      <c r="HF119" s="101"/>
      <c r="HG119" s="101"/>
      <c r="HH119" s="101"/>
      <c r="HI119" s="101"/>
      <c r="HJ119" s="101"/>
      <c r="HK119" s="101"/>
      <c r="HL119" s="101"/>
      <c r="HM119" s="101"/>
      <c r="HN119" s="101"/>
      <c r="HO119" s="101"/>
      <c r="HP119" s="101"/>
      <c r="HQ119" s="101"/>
      <c r="HR119" s="101"/>
      <c r="HS119" s="101"/>
      <c r="HT119" s="101"/>
      <c r="HU119" s="101"/>
      <c r="HV119" s="101"/>
      <c r="HW119" s="101"/>
      <c r="HX119" s="101"/>
      <c r="HY119" s="101"/>
      <c r="HZ119" s="101"/>
      <c r="IA119" s="101"/>
      <c r="IB119" s="101"/>
      <c r="IC119" s="101"/>
      <c r="ID119" s="101"/>
      <c r="IE119" s="101"/>
      <c r="IF119" s="101"/>
      <c r="IG119" s="101"/>
      <c r="IH119" s="101"/>
      <c r="II119" s="101"/>
      <c r="IJ119" s="101"/>
      <c r="IK119" s="101"/>
      <c r="IL119" s="101"/>
      <c r="IM119" s="101"/>
      <c r="IN119" s="101"/>
      <c r="IO119" s="101"/>
      <c r="IP119" s="101"/>
      <c r="IQ119" s="101"/>
      <c r="IR119" s="101"/>
      <c r="IS119" s="101"/>
      <c r="IT119" s="101"/>
    </row>
    <row r="120" spans="1:254">
      <c r="A120" s="101"/>
      <c r="B120" s="101"/>
      <c r="C120" s="101"/>
      <c r="D120" s="101"/>
      <c r="F120" s="7"/>
      <c r="G120" s="7"/>
      <c r="H120" s="7"/>
      <c r="I120" s="7"/>
      <c r="J120" s="7"/>
      <c r="K120" s="7"/>
      <c r="L120" s="7"/>
      <c r="M120" s="52"/>
      <c r="N120" s="52"/>
      <c r="O120" s="7"/>
      <c r="P120" s="52"/>
      <c r="Q120" s="52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/>
      <c r="BH120" s="101"/>
      <c r="BI120" s="101"/>
      <c r="BJ120" s="101"/>
      <c r="BK120" s="101"/>
      <c r="BL120" s="101"/>
      <c r="BM120" s="101"/>
      <c r="BN120" s="101"/>
      <c r="BO120" s="101"/>
      <c r="BP120" s="101"/>
      <c r="BQ120" s="101"/>
      <c r="BR120" s="101"/>
      <c r="BS120" s="101"/>
      <c r="BT120" s="101"/>
      <c r="BU120" s="101"/>
      <c r="BV120" s="101"/>
      <c r="BW120" s="101"/>
      <c r="BX120" s="101"/>
      <c r="BY120" s="101"/>
      <c r="BZ120" s="101"/>
      <c r="CA120" s="101"/>
      <c r="CB120" s="101"/>
      <c r="CC120" s="101"/>
      <c r="CD120" s="101"/>
      <c r="CE120" s="101"/>
      <c r="CF120" s="101"/>
      <c r="CG120" s="101"/>
      <c r="CH120" s="101"/>
      <c r="CI120" s="101"/>
      <c r="CJ120" s="101"/>
      <c r="CK120" s="101"/>
      <c r="CL120" s="101"/>
      <c r="CM120" s="101"/>
      <c r="CN120" s="101"/>
      <c r="CO120" s="101"/>
      <c r="CP120" s="101"/>
      <c r="CQ120" s="101"/>
      <c r="CR120" s="101"/>
      <c r="CS120" s="101"/>
      <c r="CT120" s="101"/>
      <c r="CU120" s="101"/>
      <c r="CV120" s="101"/>
      <c r="CW120" s="101"/>
      <c r="CX120" s="101"/>
      <c r="CY120" s="101"/>
      <c r="CZ120" s="101"/>
      <c r="DA120" s="101"/>
      <c r="DB120" s="101"/>
      <c r="DC120" s="101"/>
      <c r="DD120" s="101"/>
      <c r="DE120" s="101"/>
      <c r="DF120" s="101"/>
      <c r="DG120" s="101"/>
      <c r="DH120" s="101"/>
      <c r="DI120" s="101"/>
      <c r="DJ120" s="101"/>
      <c r="DK120" s="101"/>
      <c r="DL120" s="101"/>
      <c r="DM120" s="101"/>
      <c r="DN120" s="101"/>
      <c r="DO120" s="101"/>
      <c r="DP120" s="101"/>
      <c r="DQ120" s="101"/>
      <c r="DR120" s="101"/>
      <c r="DS120" s="101"/>
      <c r="DT120" s="101"/>
      <c r="DU120" s="101"/>
      <c r="DV120" s="101"/>
      <c r="DW120" s="101"/>
      <c r="DX120" s="101"/>
      <c r="DY120" s="101"/>
      <c r="DZ120" s="101"/>
      <c r="EA120" s="101"/>
      <c r="EB120" s="101"/>
      <c r="EC120" s="101"/>
      <c r="ED120" s="101"/>
      <c r="EE120" s="101"/>
      <c r="EF120" s="101"/>
      <c r="EG120" s="101"/>
      <c r="EH120" s="101"/>
      <c r="EI120" s="101"/>
      <c r="EJ120" s="101"/>
      <c r="EK120" s="101"/>
      <c r="EL120" s="101"/>
      <c r="EM120" s="101"/>
      <c r="EN120" s="101"/>
      <c r="EO120" s="101"/>
      <c r="EP120" s="101"/>
      <c r="EQ120" s="101"/>
      <c r="ER120" s="101"/>
      <c r="ES120" s="101"/>
      <c r="ET120" s="101"/>
      <c r="EU120" s="101"/>
      <c r="EV120" s="101"/>
      <c r="EW120" s="101"/>
      <c r="EX120" s="101"/>
      <c r="EY120" s="101"/>
      <c r="EZ120" s="101"/>
      <c r="FA120" s="101"/>
      <c r="FB120" s="101"/>
      <c r="FC120" s="101"/>
      <c r="FD120" s="101"/>
      <c r="FE120" s="101"/>
      <c r="FF120" s="101"/>
      <c r="FG120" s="101"/>
      <c r="FH120" s="101"/>
      <c r="FI120" s="101"/>
      <c r="FJ120" s="101"/>
      <c r="FK120" s="101"/>
      <c r="FL120" s="101"/>
      <c r="FM120" s="101"/>
      <c r="FN120" s="101"/>
      <c r="FO120" s="101"/>
      <c r="FP120" s="101"/>
      <c r="FQ120" s="101"/>
      <c r="FR120" s="101"/>
      <c r="FS120" s="101"/>
      <c r="FT120" s="101"/>
      <c r="FU120" s="101"/>
      <c r="FV120" s="101"/>
      <c r="FW120" s="101"/>
      <c r="FX120" s="101"/>
      <c r="FY120" s="101"/>
      <c r="FZ120" s="101"/>
      <c r="GA120" s="101"/>
      <c r="GB120" s="101"/>
      <c r="GC120" s="101"/>
      <c r="GD120" s="101"/>
      <c r="GE120" s="101"/>
      <c r="GF120" s="101"/>
      <c r="GG120" s="101"/>
      <c r="GH120" s="101"/>
      <c r="GI120" s="101"/>
      <c r="GJ120" s="101"/>
      <c r="GK120" s="101"/>
      <c r="GL120" s="101"/>
      <c r="GM120" s="101"/>
      <c r="GN120" s="101"/>
      <c r="GO120" s="101"/>
      <c r="GP120" s="101"/>
      <c r="GQ120" s="101"/>
      <c r="GR120" s="101"/>
      <c r="GS120" s="101"/>
      <c r="GT120" s="101"/>
      <c r="GU120" s="101"/>
      <c r="GV120" s="101"/>
      <c r="GW120" s="101"/>
      <c r="GX120" s="101"/>
      <c r="GY120" s="101"/>
      <c r="GZ120" s="101"/>
      <c r="HA120" s="101"/>
      <c r="HB120" s="101"/>
      <c r="HC120" s="101"/>
      <c r="HD120" s="101"/>
      <c r="HE120" s="101"/>
      <c r="HF120" s="101"/>
      <c r="HG120" s="101"/>
      <c r="HH120" s="101"/>
      <c r="HI120" s="101"/>
      <c r="HJ120" s="101"/>
      <c r="HK120" s="101"/>
      <c r="HL120" s="101"/>
      <c r="HM120" s="101"/>
      <c r="HN120" s="101"/>
      <c r="HO120" s="101"/>
      <c r="HP120" s="101"/>
      <c r="HQ120" s="101"/>
      <c r="HR120" s="101"/>
      <c r="HS120" s="101"/>
      <c r="HT120" s="101"/>
      <c r="HU120" s="101"/>
      <c r="HV120" s="101"/>
      <c r="HW120" s="101"/>
      <c r="HX120" s="101"/>
      <c r="HY120" s="101"/>
      <c r="HZ120" s="101"/>
      <c r="IA120" s="101"/>
      <c r="IB120" s="101"/>
      <c r="IC120" s="101"/>
      <c r="ID120" s="101"/>
      <c r="IE120" s="101"/>
      <c r="IF120" s="101"/>
      <c r="IG120" s="101"/>
      <c r="IH120" s="101"/>
      <c r="II120" s="101"/>
      <c r="IJ120" s="101"/>
      <c r="IK120" s="101"/>
      <c r="IL120" s="101"/>
      <c r="IM120" s="101"/>
      <c r="IN120" s="101"/>
      <c r="IO120" s="101"/>
      <c r="IP120" s="101"/>
      <c r="IQ120" s="101"/>
      <c r="IR120" s="101"/>
      <c r="IS120" s="101"/>
      <c r="IT120" s="101"/>
    </row>
    <row r="121" spans="1:254">
      <c r="A121" s="101"/>
      <c r="B121" s="101"/>
      <c r="C121" s="101"/>
      <c r="D121" s="101"/>
      <c r="F121" s="7"/>
      <c r="G121" s="7"/>
      <c r="H121" s="7"/>
      <c r="I121" s="7"/>
      <c r="J121" s="7"/>
      <c r="K121" s="7"/>
      <c r="L121" s="7"/>
      <c r="M121" s="52"/>
      <c r="N121" s="52"/>
      <c r="O121" s="7"/>
      <c r="P121" s="52"/>
      <c r="Q121" s="52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  <c r="BH121" s="101"/>
      <c r="BI121" s="101"/>
      <c r="BJ121" s="101"/>
      <c r="BK121" s="101"/>
      <c r="BL121" s="101"/>
      <c r="BM121" s="101"/>
      <c r="BN121" s="101"/>
      <c r="BO121" s="101"/>
      <c r="BP121" s="101"/>
      <c r="BQ121" s="101"/>
      <c r="BR121" s="101"/>
      <c r="BS121" s="101"/>
      <c r="BT121" s="101"/>
      <c r="BU121" s="101"/>
      <c r="BV121" s="101"/>
      <c r="BW121" s="101"/>
      <c r="BX121" s="101"/>
      <c r="BY121" s="101"/>
      <c r="BZ121" s="101"/>
      <c r="CA121" s="101"/>
      <c r="CB121" s="101"/>
      <c r="CC121" s="101"/>
      <c r="CD121" s="101"/>
      <c r="CE121" s="101"/>
      <c r="CF121" s="101"/>
      <c r="CG121" s="101"/>
      <c r="CH121" s="101"/>
      <c r="CI121" s="101"/>
      <c r="CJ121" s="101"/>
      <c r="CK121" s="101"/>
      <c r="CL121" s="101"/>
      <c r="CM121" s="101"/>
      <c r="CN121" s="101"/>
      <c r="CO121" s="101"/>
      <c r="CP121" s="101"/>
      <c r="CQ121" s="101"/>
      <c r="CR121" s="101"/>
      <c r="CS121" s="101"/>
      <c r="CT121" s="101"/>
      <c r="CU121" s="101"/>
      <c r="CV121" s="101"/>
      <c r="CW121" s="101"/>
      <c r="CX121" s="101"/>
      <c r="CY121" s="101"/>
      <c r="CZ121" s="101"/>
      <c r="DA121" s="101"/>
      <c r="DB121" s="101"/>
      <c r="DC121" s="101"/>
      <c r="DD121" s="101"/>
      <c r="DE121" s="101"/>
      <c r="DF121" s="101"/>
      <c r="DG121" s="101"/>
      <c r="DH121" s="101"/>
      <c r="DI121" s="101"/>
      <c r="DJ121" s="101"/>
      <c r="DK121" s="101"/>
      <c r="DL121" s="101"/>
      <c r="DM121" s="101"/>
      <c r="DN121" s="101"/>
      <c r="DO121" s="101"/>
      <c r="DP121" s="101"/>
      <c r="DQ121" s="101"/>
      <c r="DR121" s="101"/>
      <c r="DS121" s="101"/>
      <c r="DT121" s="101"/>
      <c r="DU121" s="101"/>
      <c r="DV121" s="101"/>
      <c r="DW121" s="101"/>
      <c r="DX121" s="101"/>
      <c r="DY121" s="101"/>
      <c r="DZ121" s="101"/>
      <c r="EA121" s="101"/>
      <c r="EB121" s="101"/>
      <c r="EC121" s="101"/>
      <c r="ED121" s="101"/>
      <c r="EE121" s="101"/>
      <c r="EF121" s="101"/>
      <c r="EG121" s="101"/>
      <c r="EH121" s="101"/>
      <c r="EI121" s="101"/>
      <c r="EJ121" s="101"/>
      <c r="EK121" s="101"/>
      <c r="EL121" s="101"/>
      <c r="EM121" s="101"/>
      <c r="EN121" s="101"/>
      <c r="EO121" s="101"/>
      <c r="EP121" s="101"/>
      <c r="EQ121" s="101"/>
      <c r="ER121" s="101"/>
      <c r="ES121" s="101"/>
      <c r="ET121" s="101"/>
      <c r="EU121" s="101"/>
      <c r="EV121" s="101"/>
      <c r="EW121" s="101"/>
      <c r="EX121" s="101"/>
      <c r="EY121" s="101"/>
      <c r="EZ121" s="101"/>
      <c r="FA121" s="101"/>
      <c r="FB121" s="101"/>
      <c r="FC121" s="101"/>
      <c r="FD121" s="101"/>
      <c r="FE121" s="101"/>
      <c r="FF121" s="101"/>
      <c r="FG121" s="101"/>
      <c r="FH121" s="101"/>
      <c r="FI121" s="101"/>
      <c r="FJ121" s="101"/>
      <c r="FK121" s="101"/>
      <c r="FL121" s="101"/>
      <c r="FM121" s="101"/>
      <c r="FN121" s="101"/>
      <c r="FO121" s="101"/>
      <c r="FP121" s="101"/>
      <c r="FQ121" s="101"/>
      <c r="FR121" s="101"/>
      <c r="FS121" s="101"/>
      <c r="FT121" s="101"/>
      <c r="FU121" s="101"/>
      <c r="FV121" s="101"/>
      <c r="FW121" s="101"/>
      <c r="FX121" s="101"/>
      <c r="FY121" s="101"/>
      <c r="FZ121" s="101"/>
      <c r="GA121" s="101"/>
      <c r="GB121" s="101"/>
      <c r="GC121" s="101"/>
      <c r="GD121" s="101"/>
      <c r="GE121" s="101"/>
      <c r="GF121" s="101"/>
      <c r="GG121" s="101"/>
      <c r="GH121" s="101"/>
      <c r="GI121" s="101"/>
      <c r="GJ121" s="101"/>
      <c r="GK121" s="101"/>
      <c r="GL121" s="101"/>
      <c r="GM121" s="101"/>
      <c r="GN121" s="101"/>
      <c r="GO121" s="101"/>
      <c r="GP121" s="101"/>
      <c r="GQ121" s="101"/>
      <c r="GR121" s="101"/>
      <c r="GS121" s="101"/>
      <c r="GT121" s="101"/>
      <c r="GU121" s="101"/>
      <c r="GV121" s="101"/>
      <c r="GW121" s="101"/>
      <c r="GX121" s="101"/>
      <c r="GY121" s="101"/>
      <c r="GZ121" s="101"/>
      <c r="HA121" s="101"/>
      <c r="HB121" s="101"/>
      <c r="HC121" s="101"/>
      <c r="HD121" s="101"/>
      <c r="HE121" s="101"/>
      <c r="HF121" s="101"/>
      <c r="HG121" s="101"/>
      <c r="HH121" s="101"/>
      <c r="HI121" s="101"/>
      <c r="HJ121" s="101"/>
      <c r="HK121" s="101"/>
      <c r="HL121" s="101"/>
      <c r="HM121" s="101"/>
      <c r="HN121" s="101"/>
      <c r="HO121" s="101"/>
      <c r="HP121" s="101"/>
      <c r="HQ121" s="101"/>
      <c r="HR121" s="101"/>
      <c r="HS121" s="101"/>
      <c r="HT121" s="101"/>
      <c r="HU121" s="101"/>
      <c r="HV121" s="101"/>
      <c r="HW121" s="101"/>
      <c r="HX121" s="101"/>
      <c r="HY121" s="101"/>
      <c r="HZ121" s="101"/>
      <c r="IA121" s="101"/>
      <c r="IB121" s="101"/>
      <c r="IC121" s="101"/>
      <c r="ID121" s="101"/>
      <c r="IE121" s="101"/>
      <c r="IF121" s="101"/>
      <c r="IG121" s="101"/>
      <c r="IH121" s="101"/>
      <c r="II121" s="101"/>
      <c r="IJ121" s="101"/>
      <c r="IK121" s="101"/>
      <c r="IL121" s="101"/>
      <c r="IM121" s="101"/>
      <c r="IN121" s="101"/>
      <c r="IO121" s="101"/>
      <c r="IP121" s="101"/>
      <c r="IQ121" s="101"/>
      <c r="IR121" s="101"/>
      <c r="IS121" s="101"/>
      <c r="IT121" s="101"/>
    </row>
    <row r="122" spans="1:254">
      <c r="A122" s="101"/>
      <c r="B122" s="101"/>
      <c r="C122" s="101"/>
      <c r="D122" s="101"/>
      <c r="F122" s="7"/>
      <c r="G122" s="7"/>
      <c r="H122" s="7"/>
      <c r="I122" s="7"/>
      <c r="J122" s="7"/>
      <c r="K122" s="7"/>
      <c r="L122" s="7"/>
      <c r="M122" s="52"/>
      <c r="N122" s="52"/>
      <c r="O122" s="7"/>
      <c r="P122" s="52"/>
      <c r="Q122" s="52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101"/>
      <c r="BC122" s="101"/>
      <c r="BD122" s="101"/>
      <c r="BE122" s="101"/>
      <c r="BF122" s="101"/>
      <c r="BG122" s="101"/>
      <c r="BH122" s="101"/>
      <c r="BI122" s="101"/>
      <c r="BJ122" s="101"/>
      <c r="BK122" s="101"/>
      <c r="BL122" s="101"/>
      <c r="BM122" s="101"/>
      <c r="BN122" s="101"/>
      <c r="BO122" s="101"/>
      <c r="BP122" s="101"/>
      <c r="BQ122" s="101"/>
      <c r="BR122" s="101"/>
      <c r="BS122" s="101"/>
      <c r="BT122" s="101"/>
      <c r="BU122" s="101"/>
      <c r="BV122" s="101"/>
      <c r="BW122" s="101"/>
      <c r="BX122" s="101"/>
      <c r="BY122" s="101"/>
      <c r="BZ122" s="101"/>
      <c r="CA122" s="101"/>
      <c r="CB122" s="101"/>
      <c r="CC122" s="101"/>
      <c r="CD122" s="101"/>
      <c r="CE122" s="101"/>
      <c r="CF122" s="101"/>
      <c r="CG122" s="101"/>
      <c r="CH122" s="101"/>
      <c r="CI122" s="101"/>
      <c r="CJ122" s="101"/>
      <c r="CK122" s="101"/>
      <c r="CL122" s="101"/>
      <c r="CM122" s="101"/>
      <c r="CN122" s="101"/>
      <c r="CO122" s="101"/>
      <c r="CP122" s="101"/>
      <c r="CQ122" s="101"/>
      <c r="CR122" s="101"/>
      <c r="CS122" s="101"/>
      <c r="CT122" s="101"/>
      <c r="CU122" s="101"/>
      <c r="CV122" s="101"/>
      <c r="CW122" s="101"/>
      <c r="CX122" s="101"/>
      <c r="CY122" s="101"/>
      <c r="CZ122" s="101"/>
      <c r="DA122" s="101"/>
      <c r="DB122" s="101"/>
      <c r="DC122" s="101"/>
      <c r="DD122" s="101"/>
      <c r="DE122" s="101"/>
      <c r="DF122" s="101"/>
      <c r="DG122" s="101"/>
      <c r="DH122" s="101"/>
      <c r="DI122" s="101"/>
      <c r="DJ122" s="101"/>
      <c r="DK122" s="101"/>
      <c r="DL122" s="101"/>
      <c r="DM122" s="101"/>
      <c r="DN122" s="101"/>
      <c r="DO122" s="101"/>
      <c r="DP122" s="101"/>
      <c r="DQ122" s="101"/>
      <c r="DR122" s="101"/>
      <c r="DS122" s="101"/>
      <c r="DT122" s="101"/>
      <c r="DU122" s="101"/>
      <c r="DV122" s="101"/>
      <c r="DW122" s="101"/>
      <c r="DX122" s="101"/>
      <c r="DY122" s="101"/>
      <c r="DZ122" s="101"/>
      <c r="EA122" s="101"/>
      <c r="EB122" s="101"/>
      <c r="EC122" s="101"/>
      <c r="ED122" s="101"/>
      <c r="EE122" s="101"/>
      <c r="EF122" s="101"/>
      <c r="EG122" s="101"/>
      <c r="EH122" s="101"/>
      <c r="EI122" s="101"/>
      <c r="EJ122" s="101"/>
      <c r="EK122" s="101"/>
      <c r="EL122" s="101"/>
      <c r="EM122" s="101"/>
      <c r="EN122" s="101"/>
      <c r="EO122" s="101"/>
      <c r="EP122" s="101"/>
      <c r="EQ122" s="101"/>
      <c r="ER122" s="101"/>
      <c r="ES122" s="101"/>
      <c r="ET122" s="101"/>
      <c r="EU122" s="101"/>
      <c r="EV122" s="101"/>
      <c r="EW122" s="101"/>
      <c r="EX122" s="101"/>
      <c r="EY122" s="101"/>
      <c r="EZ122" s="101"/>
      <c r="FA122" s="101"/>
      <c r="FB122" s="101"/>
      <c r="FC122" s="101"/>
      <c r="FD122" s="101"/>
      <c r="FE122" s="101"/>
      <c r="FF122" s="101"/>
      <c r="FG122" s="101"/>
      <c r="FH122" s="101"/>
      <c r="FI122" s="101"/>
      <c r="FJ122" s="101"/>
      <c r="FK122" s="101"/>
      <c r="FL122" s="101"/>
      <c r="FM122" s="101"/>
      <c r="FN122" s="101"/>
      <c r="FO122" s="101"/>
      <c r="FP122" s="101"/>
      <c r="FQ122" s="101"/>
      <c r="FR122" s="101"/>
      <c r="FS122" s="101"/>
      <c r="FT122" s="101"/>
      <c r="FU122" s="101"/>
      <c r="FV122" s="101"/>
      <c r="FW122" s="101"/>
      <c r="FX122" s="101"/>
      <c r="FY122" s="101"/>
      <c r="FZ122" s="101"/>
      <c r="GA122" s="101"/>
      <c r="GB122" s="101"/>
      <c r="GC122" s="101"/>
      <c r="GD122" s="101"/>
      <c r="GE122" s="101"/>
      <c r="GF122" s="101"/>
      <c r="GG122" s="101"/>
      <c r="GH122" s="101"/>
      <c r="GI122" s="101"/>
      <c r="GJ122" s="101"/>
      <c r="GK122" s="101"/>
      <c r="GL122" s="101"/>
      <c r="GM122" s="101"/>
      <c r="GN122" s="101"/>
      <c r="GO122" s="101"/>
      <c r="GP122" s="101"/>
      <c r="GQ122" s="101"/>
      <c r="GR122" s="101"/>
      <c r="GS122" s="101"/>
      <c r="GT122" s="101"/>
      <c r="GU122" s="101"/>
      <c r="GV122" s="101"/>
      <c r="GW122" s="101"/>
      <c r="GX122" s="101"/>
      <c r="GY122" s="101"/>
      <c r="GZ122" s="101"/>
      <c r="HA122" s="101"/>
      <c r="HB122" s="101"/>
      <c r="HC122" s="101"/>
      <c r="HD122" s="101"/>
      <c r="HE122" s="101"/>
      <c r="HF122" s="101"/>
      <c r="HG122" s="101"/>
      <c r="HH122" s="101"/>
      <c r="HI122" s="101"/>
      <c r="HJ122" s="101"/>
      <c r="HK122" s="101"/>
      <c r="HL122" s="101"/>
      <c r="HM122" s="101"/>
      <c r="HN122" s="101"/>
      <c r="HO122" s="101"/>
      <c r="HP122" s="101"/>
      <c r="HQ122" s="101"/>
      <c r="HR122" s="101"/>
      <c r="HS122" s="101"/>
      <c r="HT122" s="101"/>
      <c r="HU122" s="101"/>
      <c r="HV122" s="101"/>
      <c r="HW122" s="101"/>
      <c r="HX122" s="101"/>
      <c r="HY122" s="101"/>
      <c r="HZ122" s="101"/>
      <c r="IA122" s="101"/>
      <c r="IB122" s="101"/>
      <c r="IC122" s="101"/>
      <c r="ID122" s="101"/>
      <c r="IE122" s="101"/>
      <c r="IF122" s="101"/>
      <c r="IG122" s="101"/>
      <c r="IH122" s="101"/>
      <c r="II122" s="101"/>
      <c r="IJ122" s="101"/>
      <c r="IK122" s="101"/>
      <c r="IL122" s="101"/>
      <c r="IM122" s="101"/>
      <c r="IN122" s="101"/>
      <c r="IO122" s="101"/>
      <c r="IP122" s="101"/>
      <c r="IQ122" s="101"/>
      <c r="IR122" s="101"/>
      <c r="IS122" s="101"/>
      <c r="IT122" s="101"/>
    </row>
    <row r="123" spans="1:254">
      <c r="A123" s="101"/>
      <c r="B123" s="101"/>
      <c r="C123" s="101"/>
      <c r="D123" s="101"/>
      <c r="F123" s="7"/>
      <c r="G123" s="7"/>
      <c r="H123" s="7"/>
      <c r="I123" s="7"/>
      <c r="J123" s="7"/>
      <c r="K123" s="7"/>
      <c r="L123" s="7"/>
      <c r="M123" s="52"/>
      <c r="N123" s="52"/>
      <c r="O123" s="7"/>
      <c r="P123" s="52"/>
      <c r="Q123" s="52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101"/>
      <c r="BC123" s="101"/>
      <c r="BD123" s="101"/>
      <c r="BE123" s="101"/>
      <c r="BF123" s="101"/>
      <c r="BG123" s="101"/>
      <c r="BH123" s="101"/>
      <c r="BI123" s="101"/>
      <c r="BJ123" s="101"/>
      <c r="BK123" s="101"/>
      <c r="BL123" s="101"/>
      <c r="BM123" s="101"/>
      <c r="BN123" s="101"/>
      <c r="BO123" s="101"/>
      <c r="BP123" s="101"/>
      <c r="BQ123" s="101"/>
      <c r="BR123" s="101"/>
      <c r="BS123" s="101"/>
      <c r="BT123" s="101"/>
      <c r="BU123" s="101"/>
      <c r="BV123" s="101"/>
      <c r="BW123" s="101"/>
      <c r="BX123" s="101"/>
      <c r="BY123" s="101"/>
      <c r="BZ123" s="101"/>
      <c r="CA123" s="101"/>
      <c r="CB123" s="101"/>
      <c r="CC123" s="101"/>
      <c r="CD123" s="101"/>
      <c r="CE123" s="101"/>
      <c r="CF123" s="101"/>
      <c r="CG123" s="101"/>
      <c r="CH123" s="101"/>
      <c r="CI123" s="101"/>
      <c r="CJ123" s="101"/>
      <c r="CK123" s="101"/>
      <c r="CL123" s="101"/>
      <c r="CM123" s="101"/>
      <c r="CN123" s="101"/>
      <c r="CO123" s="101"/>
      <c r="CP123" s="101"/>
      <c r="CQ123" s="101"/>
      <c r="CR123" s="101"/>
      <c r="CS123" s="101"/>
      <c r="CT123" s="101"/>
      <c r="CU123" s="101"/>
      <c r="CV123" s="101"/>
      <c r="CW123" s="101"/>
      <c r="CX123" s="101"/>
      <c r="CY123" s="101"/>
      <c r="CZ123" s="101"/>
      <c r="DA123" s="101"/>
      <c r="DB123" s="101"/>
      <c r="DC123" s="101"/>
      <c r="DD123" s="101"/>
      <c r="DE123" s="101"/>
      <c r="DF123" s="101"/>
      <c r="DG123" s="101"/>
      <c r="DH123" s="101"/>
      <c r="DI123" s="101"/>
      <c r="DJ123" s="101"/>
      <c r="DK123" s="101"/>
      <c r="DL123" s="101"/>
      <c r="DM123" s="101"/>
      <c r="DN123" s="101"/>
      <c r="DO123" s="101"/>
      <c r="DP123" s="101"/>
      <c r="DQ123" s="101"/>
      <c r="DR123" s="101"/>
      <c r="DS123" s="101"/>
      <c r="DT123" s="101"/>
      <c r="DU123" s="101"/>
      <c r="DV123" s="101"/>
      <c r="DW123" s="101"/>
      <c r="DX123" s="101"/>
      <c r="DY123" s="101"/>
      <c r="DZ123" s="101"/>
      <c r="EA123" s="101"/>
      <c r="EB123" s="101"/>
      <c r="EC123" s="101"/>
      <c r="ED123" s="101"/>
      <c r="EE123" s="101"/>
      <c r="EF123" s="101"/>
      <c r="EG123" s="101"/>
      <c r="EH123" s="101"/>
      <c r="EI123" s="101"/>
      <c r="EJ123" s="101"/>
      <c r="EK123" s="101"/>
      <c r="EL123" s="101"/>
      <c r="EM123" s="101"/>
      <c r="EN123" s="101"/>
      <c r="EO123" s="101"/>
      <c r="EP123" s="101"/>
      <c r="EQ123" s="101"/>
      <c r="ER123" s="101"/>
      <c r="ES123" s="101"/>
      <c r="ET123" s="101"/>
      <c r="EU123" s="101"/>
      <c r="EV123" s="101"/>
      <c r="EW123" s="101"/>
      <c r="EX123" s="101"/>
      <c r="EY123" s="101"/>
      <c r="EZ123" s="101"/>
      <c r="FA123" s="101"/>
      <c r="FB123" s="101"/>
      <c r="FC123" s="101"/>
      <c r="FD123" s="101"/>
      <c r="FE123" s="101"/>
      <c r="FF123" s="101"/>
      <c r="FG123" s="101"/>
      <c r="FH123" s="101"/>
      <c r="FI123" s="101"/>
      <c r="FJ123" s="101"/>
      <c r="FK123" s="101"/>
      <c r="FL123" s="101"/>
      <c r="FM123" s="101"/>
      <c r="FN123" s="101"/>
      <c r="FO123" s="101"/>
      <c r="FP123" s="101"/>
      <c r="FQ123" s="101"/>
      <c r="FR123" s="101"/>
      <c r="FS123" s="101"/>
      <c r="FT123" s="101"/>
      <c r="FU123" s="101"/>
      <c r="FV123" s="101"/>
      <c r="FW123" s="101"/>
      <c r="FX123" s="101"/>
      <c r="FY123" s="101"/>
      <c r="FZ123" s="101"/>
      <c r="GA123" s="101"/>
      <c r="GB123" s="101"/>
      <c r="GC123" s="101"/>
      <c r="GD123" s="101"/>
      <c r="GE123" s="101"/>
      <c r="GF123" s="101"/>
      <c r="GG123" s="101"/>
      <c r="GH123" s="101"/>
      <c r="GI123" s="101"/>
      <c r="GJ123" s="101"/>
      <c r="GK123" s="101"/>
      <c r="GL123" s="101"/>
      <c r="GM123" s="101"/>
      <c r="GN123" s="101"/>
      <c r="GO123" s="101"/>
      <c r="GP123" s="101"/>
      <c r="GQ123" s="101"/>
      <c r="GR123" s="101"/>
      <c r="GS123" s="101"/>
      <c r="GT123" s="101"/>
      <c r="GU123" s="101"/>
      <c r="GV123" s="101"/>
      <c r="GW123" s="101"/>
      <c r="GX123" s="101"/>
      <c r="GY123" s="101"/>
      <c r="GZ123" s="101"/>
      <c r="HA123" s="101"/>
      <c r="HB123" s="101"/>
      <c r="HC123" s="101"/>
      <c r="HD123" s="101"/>
      <c r="HE123" s="101"/>
      <c r="HF123" s="101"/>
      <c r="HG123" s="101"/>
      <c r="HH123" s="101"/>
      <c r="HI123" s="101"/>
      <c r="HJ123" s="101"/>
      <c r="HK123" s="101"/>
      <c r="HL123" s="101"/>
      <c r="HM123" s="101"/>
      <c r="HN123" s="101"/>
      <c r="HO123" s="101"/>
      <c r="HP123" s="101"/>
      <c r="HQ123" s="101"/>
      <c r="HR123" s="101"/>
      <c r="HS123" s="101"/>
      <c r="HT123" s="101"/>
      <c r="HU123" s="101"/>
      <c r="HV123" s="101"/>
      <c r="HW123" s="101"/>
      <c r="HX123" s="101"/>
      <c r="HY123" s="101"/>
      <c r="HZ123" s="101"/>
      <c r="IA123" s="101"/>
      <c r="IB123" s="101"/>
      <c r="IC123" s="101"/>
      <c r="ID123" s="101"/>
      <c r="IE123" s="101"/>
      <c r="IF123" s="101"/>
      <c r="IG123" s="101"/>
      <c r="IH123" s="101"/>
      <c r="II123" s="101"/>
      <c r="IJ123" s="101"/>
      <c r="IK123" s="101"/>
      <c r="IL123" s="101"/>
      <c r="IM123" s="101"/>
      <c r="IN123" s="101"/>
      <c r="IO123" s="101"/>
      <c r="IP123" s="101"/>
      <c r="IQ123" s="101"/>
      <c r="IR123" s="101"/>
      <c r="IS123" s="101"/>
      <c r="IT123" s="101"/>
    </row>
    <row r="124" spans="1:254">
      <c r="A124" s="101"/>
      <c r="B124" s="101"/>
      <c r="C124" s="101"/>
      <c r="D124" s="101"/>
      <c r="F124" s="7"/>
      <c r="G124" s="7"/>
      <c r="H124" s="7"/>
      <c r="I124" s="7"/>
      <c r="J124" s="7"/>
      <c r="K124" s="7"/>
      <c r="L124" s="7"/>
      <c r="M124" s="52"/>
      <c r="N124" s="52"/>
      <c r="O124" s="7"/>
      <c r="P124" s="52"/>
      <c r="Q124" s="52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101"/>
      <c r="BC124" s="101"/>
      <c r="BD124" s="101"/>
      <c r="BE124" s="101"/>
      <c r="BF124" s="101"/>
      <c r="BG124" s="101"/>
      <c r="BH124" s="101"/>
      <c r="BI124" s="101"/>
      <c r="BJ124" s="101"/>
      <c r="BK124" s="101"/>
      <c r="BL124" s="101"/>
      <c r="BM124" s="101"/>
      <c r="BN124" s="101"/>
      <c r="BO124" s="101"/>
      <c r="BP124" s="101"/>
      <c r="BQ124" s="101"/>
      <c r="BR124" s="101"/>
      <c r="BS124" s="101"/>
      <c r="BT124" s="101"/>
      <c r="BU124" s="101"/>
      <c r="BV124" s="101"/>
      <c r="BW124" s="101"/>
      <c r="BX124" s="101"/>
      <c r="BY124" s="101"/>
      <c r="BZ124" s="101"/>
      <c r="CA124" s="101"/>
      <c r="CB124" s="101"/>
      <c r="CC124" s="101"/>
      <c r="CD124" s="101"/>
      <c r="CE124" s="101"/>
      <c r="CF124" s="101"/>
      <c r="CG124" s="101"/>
      <c r="CH124" s="101"/>
      <c r="CI124" s="101"/>
      <c r="CJ124" s="101"/>
      <c r="CK124" s="101"/>
      <c r="CL124" s="101"/>
      <c r="CM124" s="101"/>
      <c r="CN124" s="101"/>
      <c r="CO124" s="101"/>
      <c r="CP124" s="101"/>
      <c r="CQ124" s="101"/>
      <c r="CR124" s="101"/>
      <c r="CS124" s="101"/>
      <c r="CT124" s="101"/>
      <c r="CU124" s="101"/>
      <c r="CV124" s="101"/>
      <c r="CW124" s="101"/>
      <c r="CX124" s="101"/>
      <c r="CY124" s="101"/>
      <c r="CZ124" s="101"/>
      <c r="DA124" s="101"/>
      <c r="DB124" s="101"/>
      <c r="DC124" s="101"/>
      <c r="DD124" s="101"/>
      <c r="DE124" s="101"/>
      <c r="DF124" s="101"/>
      <c r="DG124" s="101"/>
      <c r="DH124" s="101"/>
      <c r="DI124" s="101"/>
      <c r="DJ124" s="101"/>
      <c r="DK124" s="101"/>
      <c r="DL124" s="101"/>
      <c r="DM124" s="101"/>
      <c r="DN124" s="101"/>
      <c r="DO124" s="101"/>
      <c r="DP124" s="101"/>
      <c r="DQ124" s="101"/>
      <c r="DR124" s="101"/>
      <c r="DS124" s="101"/>
      <c r="DT124" s="101"/>
      <c r="DU124" s="101"/>
      <c r="DV124" s="101"/>
      <c r="DW124" s="101"/>
      <c r="DX124" s="101"/>
      <c r="DY124" s="101"/>
      <c r="DZ124" s="101"/>
      <c r="EA124" s="101"/>
      <c r="EB124" s="101"/>
      <c r="EC124" s="101"/>
      <c r="ED124" s="101"/>
      <c r="EE124" s="101"/>
      <c r="EF124" s="101"/>
      <c r="EG124" s="101"/>
      <c r="EH124" s="101"/>
      <c r="EI124" s="101"/>
      <c r="EJ124" s="101"/>
      <c r="EK124" s="101"/>
      <c r="EL124" s="101"/>
      <c r="EM124" s="101"/>
      <c r="EN124" s="101"/>
      <c r="EO124" s="101"/>
      <c r="EP124" s="101"/>
      <c r="EQ124" s="101"/>
      <c r="ER124" s="101"/>
      <c r="ES124" s="101"/>
      <c r="ET124" s="101"/>
      <c r="EU124" s="101"/>
      <c r="EV124" s="101"/>
      <c r="EW124" s="101"/>
      <c r="EX124" s="101"/>
      <c r="EY124" s="101"/>
      <c r="EZ124" s="101"/>
      <c r="FA124" s="101"/>
      <c r="FB124" s="101"/>
      <c r="FC124" s="101"/>
      <c r="FD124" s="101"/>
      <c r="FE124" s="101"/>
      <c r="FF124" s="101"/>
      <c r="FG124" s="101"/>
      <c r="FH124" s="101"/>
      <c r="FI124" s="101"/>
      <c r="FJ124" s="101"/>
      <c r="FK124" s="101"/>
      <c r="FL124" s="101"/>
      <c r="FM124" s="101"/>
      <c r="FN124" s="101"/>
      <c r="FO124" s="101"/>
      <c r="FP124" s="101"/>
      <c r="FQ124" s="101"/>
      <c r="FR124" s="101"/>
      <c r="FS124" s="101"/>
      <c r="FT124" s="101"/>
      <c r="FU124" s="101"/>
      <c r="FV124" s="101"/>
      <c r="FW124" s="101"/>
      <c r="FX124" s="101"/>
      <c r="FY124" s="101"/>
      <c r="FZ124" s="101"/>
      <c r="GA124" s="101"/>
      <c r="GB124" s="101"/>
      <c r="GC124" s="101"/>
      <c r="GD124" s="101"/>
      <c r="GE124" s="101"/>
      <c r="GF124" s="101"/>
      <c r="GG124" s="101"/>
      <c r="GH124" s="101"/>
      <c r="GI124" s="101"/>
      <c r="GJ124" s="101"/>
      <c r="GK124" s="101"/>
      <c r="GL124" s="101"/>
      <c r="GM124" s="101"/>
      <c r="GN124" s="101"/>
      <c r="GO124" s="101"/>
      <c r="GP124" s="101"/>
      <c r="GQ124" s="101"/>
      <c r="GR124" s="101"/>
      <c r="GS124" s="101"/>
      <c r="GT124" s="101"/>
      <c r="GU124" s="101"/>
      <c r="GV124" s="101"/>
      <c r="GW124" s="101"/>
      <c r="GX124" s="101"/>
      <c r="GY124" s="101"/>
      <c r="GZ124" s="101"/>
      <c r="HA124" s="101"/>
      <c r="HB124" s="101"/>
      <c r="HC124" s="101"/>
      <c r="HD124" s="101"/>
      <c r="HE124" s="101"/>
      <c r="HF124" s="101"/>
      <c r="HG124" s="101"/>
      <c r="HH124" s="101"/>
      <c r="HI124" s="101"/>
      <c r="HJ124" s="101"/>
      <c r="HK124" s="101"/>
      <c r="HL124" s="101"/>
      <c r="HM124" s="101"/>
      <c r="HN124" s="101"/>
      <c r="HO124" s="101"/>
      <c r="HP124" s="101"/>
      <c r="HQ124" s="101"/>
      <c r="HR124" s="101"/>
      <c r="HS124" s="101"/>
      <c r="HT124" s="101"/>
      <c r="HU124" s="101"/>
      <c r="HV124" s="101"/>
      <c r="HW124" s="101"/>
      <c r="HX124" s="101"/>
      <c r="HY124" s="101"/>
      <c r="HZ124" s="101"/>
      <c r="IA124" s="101"/>
      <c r="IB124" s="101"/>
      <c r="IC124" s="101"/>
      <c r="ID124" s="101"/>
      <c r="IE124" s="101"/>
      <c r="IF124" s="101"/>
      <c r="IG124" s="101"/>
      <c r="IH124" s="101"/>
      <c r="II124" s="101"/>
      <c r="IJ124" s="101"/>
      <c r="IK124" s="101"/>
      <c r="IL124" s="101"/>
      <c r="IM124" s="101"/>
      <c r="IN124" s="101"/>
      <c r="IO124" s="101"/>
      <c r="IP124" s="101"/>
      <c r="IQ124" s="101"/>
      <c r="IR124" s="101"/>
      <c r="IS124" s="101"/>
      <c r="IT124" s="101"/>
    </row>
    <row r="125" spans="1:254">
      <c r="A125" s="101"/>
      <c r="B125" s="101"/>
      <c r="C125" s="101"/>
      <c r="D125" s="101"/>
      <c r="F125" s="7"/>
      <c r="G125" s="7"/>
      <c r="H125" s="7"/>
      <c r="I125" s="7"/>
      <c r="J125" s="7"/>
      <c r="K125" s="7"/>
      <c r="L125" s="7"/>
      <c r="M125" s="52"/>
      <c r="N125" s="52"/>
      <c r="O125" s="7"/>
      <c r="P125" s="52"/>
      <c r="Q125" s="52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  <c r="BB125" s="101"/>
      <c r="BC125" s="101"/>
      <c r="BD125" s="101"/>
      <c r="BE125" s="101"/>
      <c r="BF125" s="101"/>
      <c r="BG125" s="101"/>
      <c r="BH125" s="101"/>
      <c r="BI125" s="101"/>
      <c r="BJ125" s="101"/>
      <c r="BK125" s="101"/>
      <c r="BL125" s="101"/>
      <c r="BM125" s="101"/>
      <c r="BN125" s="101"/>
      <c r="BO125" s="101"/>
      <c r="BP125" s="101"/>
      <c r="BQ125" s="101"/>
      <c r="BR125" s="101"/>
      <c r="BS125" s="101"/>
      <c r="BT125" s="101"/>
      <c r="BU125" s="101"/>
      <c r="BV125" s="101"/>
      <c r="BW125" s="101"/>
      <c r="BX125" s="101"/>
      <c r="BY125" s="101"/>
      <c r="BZ125" s="101"/>
      <c r="CA125" s="101"/>
      <c r="CB125" s="101"/>
      <c r="CC125" s="101"/>
      <c r="CD125" s="101"/>
      <c r="CE125" s="101"/>
      <c r="CF125" s="101"/>
      <c r="CG125" s="101"/>
      <c r="CH125" s="101"/>
      <c r="CI125" s="101"/>
      <c r="CJ125" s="101"/>
      <c r="CK125" s="101"/>
      <c r="CL125" s="101"/>
      <c r="CM125" s="101"/>
      <c r="CN125" s="101"/>
      <c r="CO125" s="101"/>
      <c r="CP125" s="101"/>
      <c r="CQ125" s="101"/>
      <c r="CR125" s="101"/>
      <c r="CS125" s="101"/>
      <c r="CT125" s="101"/>
      <c r="CU125" s="101"/>
      <c r="CV125" s="101"/>
      <c r="CW125" s="101"/>
      <c r="CX125" s="101"/>
      <c r="CY125" s="101"/>
      <c r="CZ125" s="101"/>
      <c r="DA125" s="101"/>
      <c r="DB125" s="101"/>
      <c r="DC125" s="101"/>
      <c r="DD125" s="101"/>
      <c r="DE125" s="101"/>
      <c r="DF125" s="101"/>
      <c r="DG125" s="101"/>
      <c r="DH125" s="101"/>
      <c r="DI125" s="101"/>
      <c r="DJ125" s="101"/>
      <c r="DK125" s="101"/>
      <c r="DL125" s="101"/>
      <c r="DM125" s="101"/>
      <c r="DN125" s="101"/>
      <c r="DO125" s="101"/>
      <c r="DP125" s="101"/>
      <c r="DQ125" s="101"/>
      <c r="DR125" s="101"/>
      <c r="DS125" s="101"/>
      <c r="DT125" s="101"/>
      <c r="DU125" s="101"/>
      <c r="DV125" s="101"/>
      <c r="DW125" s="101"/>
      <c r="DX125" s="101"/>
      <c r="DY125" s="101"/>
      <c r="DZ125" s="101"/>
      <c r="EA125" s="101"/>
      <c r="EB125" s="101"/>
      <c r="EC125" s="101"/>
      <c r="ED125" s="101"/>
      <c r="EE125" s="101"/>
      <c r="EF125" s="101"/>
      <c r="EG125" s="101"/>
      <c r="EH125" s="101"/>
      <c r="EI125" s="101"/>
      <c r="EJ125" s="101"/>
      <c r="EK125" s="101"/>
      <c r="EL125" s="101"/>
      <c r="EM125" s="101"/>
      <c r="EN125" s="101"/>
      <c r="EO125" s="101"/>
      <c r="EP125" s="101"/>
      <c r="EQ125" s="101"/>
      <c r="ER125" s="101"/>
      <c r="ES125" s="101"/>
      <c r="ET125" s="101"/>
      <c r="EU125" s="101"/>
      <c r="EV125" s="101"/>
      <c r="EW125" s="101"/>
      <c r="EX125" s="101"/>
      <c r="EY125" s="101"/>
      <c r="EZ125" s="101"/>
      <c r="FA125" s="101"/>
      <c r="FB125" s="101"/>
      <c r="FC125" s="101"/>
      <c r="FD125" s="101"/>
      <c r="FE125" s="101"/>
      <c r="FF125" s="101"/>
      <c r="FG125" s="101"/>
      <c r="FH125" s="101"/>
      <c r="FI125" s="101"/>
      <c r="FJ125" s="101"/>
      <c r="FK125" s="101"/>
      <c r="FL125" s="101"/>
      <c r="FM125" s="101"/>
      <c r="FN125" s="101"/>
      <c r="FO125" s="101"/>
      <c r="FP125" s="101"/>
      <c r="FQ125" s="101"/>
      <c r="FR125" s="101"/>
      <c r="FS125" s="101"/>
      <c r="FT125" s="101"/>
      <c r="FU125" s="101"/>
      <c r="FV125" s="101"/>
      <c r="FW125" s="101"/>
      <c r="FX125" s="101"/>
      <c r="FY125" s="101"/>
      <c r="FZ125" s="101"/>
      <c r="GA125" s="101"/>
      <c r="GB125" s="101"/>
      <c r="GC125" s="101"/>
      <c r="GD125" s="101"/>
      <c r="GE125" s="101"/>
      <c r="GF125" s="101"/>
      <c r="GG125" s="101"/>
      <c r="GH125" s="101"/>
      <c r="GI125" s="101"/>
      <c r="GJ125" s="101"/>
      <c r="GK125" s="101"/>
      <c r="GL125" s="101"/>
      <c r="GM125" s="101"/>
      <c r="GN125" s="101"/>
      <c r="GO125" s="101"/>
      <c r="GP125" s="101"/>
      <c r="GQ125" s="101"/>
      <c r="GR125" s="101"/>
      <c r="GS125" s="101"/>
      <c r="GT125" s="101"/>
      <c r="GU125" s="101"/>
      <c r="GV125" s="101"/>
      <c r="GW125" s="101"/>
      <c r="GX125" s="101"/>
      <c r="GY125" s="101"/>
      <c r="GZ125" s="101"/>
      <c r="HA125" s="101"/>
      <c r="HB125" s="101"/>
      <c r="HC125" s="101"/>
      <c r="HD125" s="101"/>
      <c r="HE125" s="101"/>
      <c r="HF125" s="101"/>
      <c r="HG125" s="101"/>
      <c r="HH125" s="101"/>
      <c r="HI125" s="101"/>
      <c r="HJ125" s="101"/>
      <c r="HK125" s="101"/>
      <c r="HL125" s="101"/>
      <c r="HM125" s="101"/>
      <c r="HN125" s="101"/>
      <c r="HO125" s="101"/>
      <c r="HP125" s="101"/>
      <c r="HQ125" s="101"/>
      <c r="HR125" s="101"/>
      <c r="HS125" s="101"/>
      <c r="HT125" s="101"/>
      <c r="HU125" s="101"/>
      <c r="HV125" s="101"/>
      <c r="HW125" s="101"/>
      <c r="HX125" s="101"/>
      <c r="HY125" s="101"/>
      <c r="HZ125" s="101"/>
      <c r="IA125" s="101"/>
      <c r="IB125" s="101"/>
      <c r="IC125" s="101"/>
      <c r="ID125" s="101"/>
      <c r="IE125" s="101"/>
      <c r="IF125" s="101"/>
      <c r="IG125" s="101"/>
      <c r="IH125" s="101"/>
      <c r="II125" s="101"/>
      <c r="IJ125" s="101"/>
      <c r="IK125" s="101"/>
      <c r="IL125" s="101"/>
      <c r="IM125" s="101"/>
      <c r="IN125" s="101"/>
      <c r="IO125" s="101"/>
      <c r="IP125" s="101"/>
      <c r="IQ125" s="101"/>
      <c r="IR125" s="101"/>
      <c r="IS125" s="101"/>
      <c r="IT125" s="101"/>
    </row>
    <row r="126" spans="1:254">
      <c r="A126" s="101"/>
      <c r="B126" s="101"/>
      <c r="C126" s="101"/>
      <c r="D126" s="101"/>
      <c r="F126" s="7"/>
      <c r="G126" s="7"/>
      <c r="H126" s="7"/>
      <c r="I126" s="7"/>
      <c r="J126" s="7"/>
      <c r="K126" s="7"/>
      <c r="L126" s="7"/>
      <c r="M126" s="52"/>
      <c r="N126" s="52"/>
      <c r="O126" s="7"/>
      <c r="P126" s="52"/>
      <c r="Q126" s="52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  <c r="BB126" s="101"/>
      <c r="BC126" s="101"/>
      <c r="BD126" s="101"/>
      <c r="BE126" s="101"/>
      <c r="BF126" s="101"/>
      <c r="BG126" s="101"/>
      <c r="BH126" s="101"/>
      <c r="BI126" s="101"/>
      <c r="BJ126" s="101"/>
      <c r="BK126" s="101"/>
      <c r="BL126" s="101"/>
      <c r="BM126" s="101"/>
      <c r="BN126" s="101"/>
      <c r="BO126" s="101"/>
      <c r="BP126" s="101"/>
      <c r="BQ126" s="101"/>
      <c r="BR126" s="101"/>
      <c r="BS126" s="101"/>
      <c r="BT126" s="101"/>
      <c r="BU126" s="101"/>
      <c r="BV126" s="101"/>
      <c r="BW126" s="101"/>
      <c r="BX126" s="101"/>
      <c r="BY126" s="101"/>
      <c r="BZ126" s="101"/>
      <c r="CA126" s="101"/>
      <c r="CB126" s="101"/>
      <c r="CC126" s="101"/>
      <c r="CD126" s="101"/>
      <c r="CE126" s="101"/>
      <c r="CF126" s="101"/>
      <c r="CG126" s="101"/>
      <c r="CH126" s="101"/>
      <c r="CI126" s="101"/>
      <c r="CJ126" s="101"/>
      <c r="CK126" s="101"/>
      <c r="CL126" s="101"/>
      <c r="CM126" s="101"/>
      <c r="CN126" s="101"/>
      <c r="CO126" s="101"/>
      <c r="CP126" s="101"/>
      <c r="CQ126" s="101"/>
      <c r="CR126" s="101"/>
      <c r="CS126" s="101"/>
      <c r="CT126" s="101"/>
      <c r="CU126" s="101"/>
      <c r="CV126" s="101"/>
      <c r="CW126" s="101"/>
      <c r="CX126" s="101"/>
      <c r="CY126" s="101"/>
      <c r="CZ126" s="101"/>
      <c r="DA126" s="101"/>
      <c r="DB126" s="101"/>
      <c r="DC126" s="101"/>
      <c r="DD126" s="101"/>
      <c r="DE126" s="101"/>
      <c r="DF126" s="101"/>
      <c r="DG126" s="101"/>
      <c r="DH126" s="101"/>
      <c r="DI126" s="101"/>
      <c r="DJ126" s="101"/>
      <c r="DK126" s="101"/>
      <c r="DL126" s="101"/>
      <c r="DM126" s="101"/>
      <c r="DN126" s="101"/>
      <c r="DO126" s="101"/>
      <c r="DP126" s="101"/>
      <c r="DQ126" s="101"/>
      <c r="DR126" s="101"/>
      <c r="DS126" s="101"/>
      <c r="DT126" s="101"/>
      <c r="DU126" s="101"/>
      <c r="DV126" s="101"/>
      <c r="DW126" s="101"/>
      <c r="DX126" s="101"/>
      <c r="DY126" s="101"/>
      <c r="DZ126" s="101"/>
      <c r="EA126" s="101"/>
      <c r="EB126" s="101"/>
      <c r="EC126" s="101"/>
      <c r="ED126" s="101"/>
      <c r="EE126" s="101"/>
      <c r="EF126" s="101"/>
      <c r="EG126" s="101"/>
      <c r="EH126" s="101"/>
      <c r="EI126" s="101"/>
      <c r="EJ126" s="101"/>
      <c r="EK126" s="101"/>
      <c r="EL126" s="101"/>
      <c r="EM126" s="101"/>
      <c r="EN126" s="101"/>
      <c r="EO126" s="101"/>
      <c r="EP126" s="101"/>
      <c r="EQ126" s="101"/>
      <c r="ER126" s="101"/>
      <c r="ES126" s="101"/>
      <c r="ET126" s="101"/>
      <c r="EU126" s="101"/>
      <c r="EV126" s="101"/>
      <c r="EW126" s="101"/>
      <c r="EX126" s="101"/>
      <c r="EY126" s="101"/>
      <c r="EZ126" s="101"/>
      <c r="FA126" s="101"/>
      <c r="FB126" s="101"/>
      <c r="FC126" s="101"/>
      <c r="FD126" s="101"/>
      <c r="FE126" s="101"/>
      <c r="FF126" s="101"/>
      <c r="FG126" s="101"/>
      <c r="FH126" s="101"/>
      <c r="FI126" s="101"/>
      <c r="FJ126" s="101"/>
      <c r="FK126" s="101"/>
      <c r="FL126" s="101"/>
      <c r="FM126" s="101"/>
      <c r="FN126" s="101"/>
      <c r="FO126" s="101"/>
      <c r="FP126" s="101"/>
      <c r="FQ126" s="101"/>
      <c r="FR126" s="101"/>
      <c r="FS126" s="101"/>
      <c r="FT126" s="101"/>
      <c r="FU126" s="101"/>
      <c r="FV126" s="101"/>
      <c r="FW126" s="101"/>
      <c r="FX126" s="101"/>
      <c r="FY126" s="101"/>
      <c r="FZ126" s="101"/>
      <c r="GA126" s="101"/>
      <c r="GB126" s="101"/>
      <c r="GC126" s="101"/>
      <c r="GD126" s="101"/>
      <c r="GE126" s="101"/>
      <c r="GF126" s="101"/>
      <c r="GG126" s="101"/>
      <c r="GH126" s="101"/>
      <c r="GI126" s="101"/>
      <c r="GJ126" s="101"/>
      <c r="GK126" s="101"/>
      <c r="GL126" s="101"/>
      <c r="GM126" s="101"/>
      <c r="GN126" s="101"/>
      <c r="GO126" s="101"/>
      <c r="GP126" s="101"/>
      <c r="GQ126" s="101"/>
      <c r="GR126" s="101"/>
      <c r="GS126" s="101"/>
      <c r="GT126" s="101"/>
      <c r="GU126" s="101"/>
      <c r="GV126" s="101"/>
      <c r="GW126" s="101"/>
      <c r="GX126" s="101"/>
      <c r="GY126" s="101"/>
      <c r="GZ126" s="101"/>
      <c r="HA126" s="101"/>
      <c r="HB126" s="101"/>
      <c r="HC126" s="101"/>
      <c r="HD126" s="101"/>
      <c r="HE126" s="101"/>
      <c r="HF126" s="101"/>
      <c r="HG126" s="101"/>
      <c r="HH126" s="101"/>
      <c r="HI126" s="101"/>
      <c r="HJ126" s="101"/>
      <c r="HK126" s="101"/>
      <c r="HL126" s="101"/>
      <c r="HM126" s="101"/>
      <c r="HN126" s="101"/>
      <c r="HO126" s="101"/>
      <c r="HP126" s="101"/>
      <c r="HQ126" s="101"/>
      <c r="HR126" s="101"/>
      <c r="HS126" s="101"/>
      <c r="HT126" s="101"/>
      <c r="HU126" s="101"/>
      <c r="HV126" s="101"/>
      <c r="HW126" s="101"/>
      <c r="HX126" s="101"/>
      <c r="HY126" s="101"/>
      <c r="HZ126" s="101"/>
      <c r="IA126" s="101"/>
      <c r="IB126" s="101"/>
      <c r="IC126" s="101"/>
      <c r="ID126" s="101"/>
      <c r="IE126" s="101"/>
      <c r="IF126" s="101"/>
      <c r="IG126" s="101"/>
      <c r="IH126" s="101"/>
      <c r="II126" s="101"/>
      <c r="IJ126" s="101"/>
      <c r="IK126" s="101"/>
      <c r="IL126" s="101"/>
      <c r="IM126" s="101"/>
      <c r="IN126" s="101"/>
      <c r="IO126" s="101"/>
      <c r="IP126" s="101"/>
      <c r="IQ126" s="101"/>
      <c r="IR126" s="101"/>
      <c r="IS126" s="101"/>
      <c r="IT126" s="101"/>
    </row>
    <row r="127" spans="1:254">
      <c r="A127" s="101"/>
      <c r="B127" s="101"/>
      <c r="C127" s="101"/>
      <c r="D127" s="101"/>
      <c r="F127" s="7"/>
      <c r="G127" s="7"/>
      <c r="H127" s="7"/>
      <c r="I127" s="7"/>
      <c r="J127" s="7"/>
      <c r="K127" s="7"/>
      <c r="L127" s="7"/>
      <c r="M127" s="52"/>
      <c r="N127" s="52"/>
      <c r="O127" s="7"/>
      <c r="P127" s="52"/>
      <c r="Q127" s="52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1"/>
      <c r="BA127" s="101"/>
      <c r="BB127" s="101"/>
      <c r="BC127" s="101"/>
      <c r="BD127" s="101"/>
      <c r="BE127" s="101"/>
      <c r="BF127" s="101"/>
      <c r="BG127" s="101"/>
      <c r="BH127" s="101"/>
      <c r="BI127" s="101"/>
      <c r="BJ127" s="101"/>
      <c r="BK127" s="101"/>
      <c r="BL127" s="101"/>
      <c r="BM127" s="101"/>
      <c r="BN127" s="101"/>
      <c r="BO127" s="101"/>
      <c r="BP127" s="101"/>
      <c r="BQ127" s="101"/>
      <c r="BR127" s="101"/>
      <c r="BS127" s="101"/>
      <c r="BT127" s="101"/>
      <c r="BU127" s="101"/>
      <c r="BV127" s="101"/>
      <c r="BW127" s="101"/>
      <c r="BX127" s="101"/>
      <c r="BY127" s="101"/>
      <c r="BZ127" s="101"/>
      <c r="CA127" s="101"/>
      <c r="CB127" s="101"/>
      <c r="CC127" s="101"/>
      <c r="CD127" s="101"/>
      <c r="CE127" s="101"/>
      <c r="CF127" s="101"/>
      <c r="CG127" s="101"/>
      <c r="CH127" s="101"/>
      <c r="CI127" s="101"/>
      <c r="CJ127" s="101"/>
      <c r="CK127" s="101"/>
      <c r="CL127" s="101"/>
      <c r="CM127" s="101"/>
      <c r="CN127" s="101"/>
      <c r="CO127" s="101"/>
      <c r="CP127" s="101"/>
      <c r="CQ127" s="101"/>
      <c r="CR127" s="101"/>
      <c r="CS127" s="101"/>
      <c r="CT127" s="101"/>
      <c r="CU127" s="101"/>
      <c r="CV127" s="101"/>
      <c r="CW127" s="101"/>
      <c r="CX127" s="101"/>
      <c r="CY127" s="101"/>
      <c r="CZ127" s="101"/>
      <c r="DA127" s="101"/>
      <c r="DB127" s="101"/>
      <c r="DC127" s="101"/>
      <c r="DD127" s="101"/>
      <c r="DE127" s="101"/>
      <c r="DF127" s="101"/>
      <c r="DG127" s="101"/>
      <c r="DH127" s="101"/>
      <c r="DI127" s="101"/>
      <c r="DJ127" s="101"/>
      <c r="DK127" s="101"/>
      <c r="DL127" s="101"/>
      <c r="DM127" s="101"/>
      <c r="DN127" s="101"/>
      <c r="DO127" s="101"/>
      <c r="DP127" s="101"/>
      <c r="DQ127" s="101"/>
      <c r="DR127" s="101"/>
      <c r="DS127" s="101"/>
      <c r="DT127" s="101"/>
      <c r="DU127" s="101"/>
      <c r="DV127" s="101"/>
      <c r="DW127" s="101"/>
      <c r="DX127" s="101"/>
      <c r="DY127" s="101"/>
      <c r="DZ127" s="101"/>
      <c r="EA127" s="101"/>
      <c r="EB127" s="101"/>
      <c r="EC127" s="101"/>
      <c r="ED127" s="101"/>
      <c r="EE127" s="101"/>
      <c r="EF127" s="101"/>
      <c r="EG127" s="101"/>
      <c r="EH127" s="101"/>
      <c r="EI127" s="101"/>
      <c r="EJ127" s="101"/>
      <c r="EK127" s="101"/>
      <c r="EL127" s="101"/>
      <c r="EM127" s="101"/>
      <c r="EN127" s="101"/>
      <c r="EO127" s="101"/>
      <c r="EP127" s="101"/>
      <c r="EQ127" s="101"/>
      <c r="ER127" s="101"/>
      <c r="ES127" s="101"/>
      <c r="ET127" s="101"/>
      <c r="EU127" s="101"/>
      <c r="EV127" s="101"/>
      <c r="EW127" s="101"/>
      <c r="EX127" s="101"/>
      <c r="EY127" s="101"/>
      <c r="EZ127" s="101"/>
      <c r="FA127" s="101"/>
      <c r="FB127" s="101"/>
      <c r="FC127" s="101"/>
      <c r="FD127" s="101"/>
      <c r="FE127" s="101"/>
      <c r="FF127" s="101"/>
      <c r="FG127" s="101"/>
      <c r="FH127" s="101"/>
      <c r="FI127" s="101"/>
      <c r="FJ127" s="101"/>
      <c r="FK127" s="101"/>
      <c r="FL127" s="101"/>
      <c r="FM127" s="101"/>
      <c r="FN127" s="101"/>
      <c r="FO127" s="101"/>
      <c r="FP127" s="101"/>
      <c r="FQ127" s="101"/>
      <c r="FR127" s="101"/>
      <c r="FS127" s="101"/>
      <c r="FT127" s="101"/>
      <c r="FU127" s="101"/>
      <c r="FV127" s="101"/>
      <c r="FW127" s="101"/>
      <c r="FX127" s="101"/>
      <c r="FY127" s="101"/>
      <c r="FZ127" s="101"/>
      <c r="GA127" s="101"/>
      <c r="GB127" s="101"/>
      <c r="GC127" s="101"/>
      <c r="GD127" s="101"/>
      <c r="GE127" s="101"/>
      <c r="GF127" s="101"/>
      <c r="GG127" s="101"/>
      <c r="GH127" s="101"/>
      <c r="GI127" s="101"/>
      <c r="GJ127" s="101"/>
      <c r="GK127" s="101"/>
      <c r="GL127" s="101"/>
      <c r="GM127" s="101"/>
      <c r="GN127" s="101"/>
      <c r="GO127" s="101"/>
      <c r="GP127" s="101"/>
      <c r="GQ127" s="101"/>
      <c r="GR127" s="101"/>
      <c r="GS127" s="101"/>
      <c r="GT127" s="101"/>
      <c r="GU127" s="101"/>
      <c r="GV127" s="101"/>
      <c r="GW127" s="101"/>
      <c r="GX127" s="101"/>
      <c r="GY127" s="101"/>
      <c r="GZ127" s="101"/>
      <c r="HA127" s="101"/>
      <c r="HB127" s="101"/>
      <c r="HC127" s="101"/>
      <c r="HD127" s="101"/>
      <c r="HE127" s="101"/>
      <c r="HF127" s="101"/>
      <c r="HG127" s="101"/>
      <c r="HH127" s="101"/>
      <c r="HI127" s="101"/>
      <c r="HJ127" s="101"/>
      <c r="HK127" s="101"/>
      <c r="HL127" s="101"/>
      <c r="HM127" s="101"/>
      <c r="HN127" s="101"/>
      <c r="HO127" s="101"/>
      <c r="HP127" s="101"/>
      <c r="HQ127" s="101"/>
      <c r="HR127" s="101"/>
      <c r="HS127" s="101"/>
      <c r="HT127" s="101"/>
      <c r="HU127" s="101"/>
      <c r="HV127" s="101"/>
      <c r="HW127" s="101"/>
      <c r="HX127" s="101"/>
      <c r="HY127" s="101"/>
      <c r="HZ127" s="101"/>
      <c r="IA127" s="101"/>
      <c r="IB127" s="101"/>
      <c r="IC127" s="101"/>
      <c r="ID127" s="101"/>
      <c r="IE127" s="101"/>
      <c r="IF127" s="101"/>
      <c r="IG127" s="101"/>
      <c r="IH127" s="101"/>
      <c r="II127" s="101"/>
      <c r="IJ127" s="101"/>
      <c r="IK127" s="101"/>
      <c r="IL127" s="101"/>
      <c r="IM127" s="101"/>
      <c r="IN127" s="101"/>
      <c r="IO127" s="101"/>
      <c r="IP127" s="101"/>
      <c r="IQ127" s="101"/>
      <c r="IR127" s="101"/>
      <c r="IS127" s="101"/>
      <c r="IT127" s="101"/>
    </row>
    <row r="128" spans="1:254">
      <c r="A128" s="101"/>
      <c r="B128" s="101"/>
      <c r="C128" s="101"/>
      <c r="D128" s="101"/>
      <c r="F128" s="7"/>
      <c r="G128" s="7"/>
      <c r="H128" s="7"/>
      <c r="I128" s="7"/>
      <c r="J128" s="7"/>
      <c r="K128" s="7"/>
      <c r="L128" s="7"/>
      <c r="M128" s="52"/>
      <c r="N128" s="52"/>
      <c r="O128" s="7"/>
      <c r="P128" s="52"/>
      <c r="Q128" s="52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  <c r="BB128" s="101"/>
      <c r="BC128" s="101"/>
      <c r="BD128" s="101"/>
      <c r="BE128" s="101"/>
      <c r="BF128" s="101"/>
      <c r="BG128" s="101"/>
      <c r="BH128" s="101"/>
      <c r="BI128" s="101"/>
      <c r="BJ128" s="101"/>
      <c r="BK128" s="101"/>
      <c r="BL128" s="101"/>
      <c r="BM128" s="101"/>
      <c r="BN128" s="101"/>
      <c r="BO128" s="101"/>
      <c r="BP128" s="101"/>
      <c r="BQ128" s="101"/>
      <c r="BR128" s="101"/>
      <c r="BS128" s="101"/>
      <c r="BT128" s="101"/>
      <c r="BU128" s="101"/>
      <c r="BV128" s="101"/>
      <c r="BW128" s="101"/>
      <c r="BX128" s="101"/>
      <c r="BY128" s="101"/>
      <c r="BZ128" s="101"/>
      <c r="CA128" s="101"/>
      <c r="CB128" s="101"/>
      <c r="CC128" s="101"/>
      <c r="CD128" s="101"/>
      <c r="CE128" s="101"/>
      <c r="CF128" s="101"/>
      <c r="CG128" s="101"/>
      <c r="CH128" s="101"/>
      <c r="CI128" s="101"/>
      <c r="CJ128" s="101"/>
      <c r="CK128" s="101"/>
      <c r="CL128" s="101"/>
      <c r="CM128" s="101"/>
      <c r="CN128" s="101"/>
      <c r="CO128" s="101"/>
      <c r="CP128" s="101"/>
      <c r="CQ128" s="101"/>
      <c r="CR128" s="101"/>
      <c r="CS128" s="101"/>
      <c r="CT128" s="101"/>
      <c r="CU128" s="101"/>
      <c r="CV128" s="101"/>
      <c r="CW128" s="101"/>
      <c r="CX128" s="101"/>
      <c r="CY128" s="101"/>
      <c r="CZ128" s="101"/>
      <c r="DA128" s="101"/>
      <c r="DB128" s="101"/>
      <c r="DC128" s="101"/>
      <c r="DD128" s="101"/>
      <c r="DE128" s="101"/>
      <c r="DF128" s="101"/>
      <c r="DG128" s="101"/>
      <c r="DH128" s="101"/>
      <c r="DI128" s="101"/>
      <c r="DJ128" s="101"/>
      <c r="DK128" s="101"/>
      <c r="DL128" s="101"/>
      <c r="DM128" s="101"/>
      <c r="DN128" s="101"/>
      <c r="DO128" s="101"/>
      <c r="DP128" s="101"/>
      <c r="DQ128" s="101"/>
      <c r="DR128" s="101"/>
      <c r="DS128" s="101"/>
      <c r="DT128" s="101"/>
      <c r="DU128" s="101"/>
      <c r="DV128" s="101"/>
      <c r="DW128" s="101"/>
      <c r="DX128" s="101"/>
      <c r="DY128" s="101"/>
      <c r="DZ128" s="101"/>
      <c r="EA128" s="101"/>
      <c r="EB128" s="101"/>
      <c r="EC128" s="101"/>
      <c r="ED128" s="101"/>
      <c r="EE128" s="101"/>
      <c r="EF128" s="101"/>
      <c r="EG128" s="101"/>
      <c r="EH128" s="101"/>
      <c r="EI128" s="101"/>
      <c r="EJ128" s="101"/>
      <c r="EK128" s="101"/>
      <c r="EL128" s="101"/>
      <c r="EM128" s="101"/>
      <c r="EN128" s="101"/>
      <c r="EO128" s="101"/>
      <c r="EP128" s="101"/>
      <c r="EQ128" s="101"/>
      <c r="ER128" s="101"/>
      <c r="ES128" s="101"/>
      <c r="ET128" s="101"/>
      <c r="EU128" s="101"/>
      <c r="EV128" s="101"/>
      <c r="EW128" s="101"/>
      <c r="EX128" s="101"/>
      <c r="EY128" s="101"/>
      <c r="EZ128" s="101"/>
      <c r="FA128" s="101"/>
      <c r="FB128" s="101"/>
      <c r="FC128" s="101"/>
      <c r="FD128" s="101"/>
      <c r="FE128" s="101"/>
      <c r="FF128" s="101"/>
      <c r="FG128" s="101"/>
      <c r="FH128" s="101"/>
      <c r="FI128" s="101"/>
      <c r="FJ128" s="101"/>
      <c r="FK128" s="101"/>
      <c r="FL128" s="101"/>
      <c r="FM128" s="101"/>
      <c r="FN128" s="101"/>
      <c r="FO128" s="101"/>
      <c r="FP128" s="101"/>
      <c r="FQ128" s="101"/>
      <c r="FR128" s="101"/>
      <c r="FS128" s="101"/>
      <c r="FT128" s="101"/>
      <c r="FU128" s="101"/>
      <c r="FV128" s="101"/>
      <c r="FW128" s="101"/>
      <c r="FX128" s="101"/>
      <c r="FY128" s="101"/>
      <c r="FZ128" s="101"/>
      <c r="GA128" s="101"/>
      <c r="GB128" s="101"/>
      <c r="GC128" s="101"/>
      <c r="GD128" s="101"/>
      <c r="GE128" s="101"/>
      <c r="GF128" s="101"/>
      <c r="GG128" s="101"/>
      <c r="GH128" s="101"/>
      <c r="GI128" s="101"/>
      <c r="GJ128" s="101"/>
      <c r="GK128" s="101"/>
      <c r="GL128" s="101"/>
      <c r="GM128" s="101"/>
      <c r="GN128" s="101"/>
      <c r="GO128" s="101"/>
      <c r="GP128" s="101"/>
      <c r="GQ128" s="101"/>
      <c r="GR128" s="101"/>
      <c r="GS128" s="101"/>
      <c r="GT128" s="101"/>
      <c r="GU128" s="101"/>
      <c r="GV128" s="101"/>
      <c r="GW128" s="101"/>
      <c r="GX128" s="101"/>
      <c r="GY128" s="101"/>
      <c r="GZ128" s="101"/>
      <c r="HA128" s="101"/>
      <c r="HB128" s="101"/>
      <c r="HC128" s="101"/>
      <c r="HD128" s="101"/>
      <c r="HE128" s="101"/>
      <c r="HF128" s="101"/>
      <c r="HG128" s="101"/>
      <c r="HH128" s="101"/>
      <c r="HI128" s="101"/>
      <c r="HJ128" s="101"/>
      <c r="HK128" s="101"/>
      <c r="HL128" s="101"/>
      <c r="HM128" s="101"/>
      <c r="HN128" s="101"/>
      <c r="HO128" s="101"/>
      <c r="HP128" s="101"/>
      <c r="HQ128" s="101"/>
      <c r="HR128" s="101"/>
      <c r="HS128" s="101"/>
      <c r="HT128" s="101"/>
      <c r="HU128" s="101"/>
      <c r="HV128" s="101"/>
      <c r="HW128" s="101"/>
      <c r="HX128" s="101"/>
      <c r="HY128" s="101"/>
      <c r="HZ128" s="101"/>
      <c r="IA128" s="101"/>
      <c r="IB128" s="101"/>
      <c r="IC128" s="101"/>
      <c r="ID128" s="101"/>
      <c r="IE128" s="101"/>
      <c r="IF128" s="101"/>
      <c r="IG128" s="101"/>
      <c r="IH128" s="101"/>
      <c r="II128" s="101"/>
      <c r="IJ128" s="101"/>
      <c r="IK128" s="101"/>
      <c r="IL128" s="101"/>
      <c r="IM128" s="101"/>
      <c r="IN128" s="101"/>
      <c r="IO128" s="101"/>
      <c r="IP128" s="101"/>
      <c r="IQ128" s="101"/>
      <c r="IR128" s="101"/>
      <c r="IS128" s="101"/>
      <c r="IT128" s="101"/>
    </row>
    <row r="129" spans="1:254">
      <c r="A129" s="101"/>
      <c r="B129" s="101"/>
      <c r="C129" s="101"/>
      <c r="D129" s="101"/>
      <c r="F129" s="7"/>
      <c r="G129" s="7"/>
      <c r="H129" s="7"/>
      <c r="I129" s="7"/>
      <c r="J129" s="7"/>
      <c r="K129" s="7"/>
      <c r="L129" s="7"/>
      <c r="M129" s="52"/>
      <c r="N129" s="52"/>
      <c r="O129" s="7"/>
      <c r="P129" s="52"/>
      <c r="Q129" s="52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1"/>
      <c r="BA129" s="101"/>
      <c r="BB129" s="101"/>
      <c r="BC129" s="101"/>
      <c r="BD129" s="101"/>
      <c r="BE129" s="101"/>
      <c r="BF129" s="101"/>
      <c r="BG129" s="101"/>
      <c r="BH129" s="101"/>
      <c r="BI129" s="101"/>
      <c r="BJ129" s="101"/>
      <c r="BK129" s="101"/>
      <c r="BL129" s="101"/>
      <c r="BM129" s="101"/>
      <c r="BN129" s="101"/>
      <c r="BO129" s="101"/>
      <c r="BP129" s="101"/>
      <c r="BQ129" s="101"/>
      <c r="BR129" s="101"/>
      <c r="BS129" s="101"/>
      <c r="BT129" s="101"/>
      <c r="BU129" s="101"/>
      <c r="BV129" s="101"/>
      <c r="BW129" s="101"/>
      <c r="BX129" s="101"/>
      <c r="BY129" s="101"/>
      <c r="BZ129" s="101"/>
      <c r="CA129" s="101"/>
      <c r="CB129" s="101"/>
      <c r="CC129" s="101"/>
      <c r="CD129" s="101"/>
      <c r="CE129" s="101"/>
      <c r="CF129" s="101"/>
      <c r="CG129" s="101"/>
      <c r="CH129" s="101"/>
      <c r="CI129" s="101"/>
      <c r="CJ129" s="101"/>
      <c r="CK129" s="101"/>
      <c r="CL129" s="101"/>
      <c r="CM129" s="101"/>
      <c r="CN129" s="101"/>
      <c r="CO129" s="101"/>
      <c r="CP129" s="101"/>
      <c r="CQ129" s="101"/>
      <c r="CR129" s="101"/>
      <c r="CS129" s="101"/>
      <c r="CT129" s="101"/>
      <c r="CU129" s="101"/>
      <c r="CV129" s="101"/>
      <c r="CW129" s="101"/>
      <c r="CX129" s="101"/>
      <c r="CY129" s="101"/>
      <c r="CZ129" s="101"/>
      <c r="DA129" s="101"/>
      <c r="DB129" s="101"/>
      <c r="DC129" s="101"/>
      <c r="DD129" s="101"/>
      <c r="DE129" s="101"/>
      <c r="DF129" s="101"/>
      <c r="DG129" s="101"/>
      <c r="DH129" s="101"/>
      <c r="DI129" s="101"/>
      <c r="DJ129" s="101"/>
      <c r="DK129" s="101"/>
      <c r="DL129" s="101"/>
      <c r="DM129" s="101"/>
      <c r="DN129" s="101"/>
      <c r="DO129" s="101"/>
      <c r="DP129" s="101"/>
      <c r="DQ129" s="101"/>
      <c r="DR129" s="101"/>
      <c r="DS129" s="101"/>
      <c r="DT129" s="101"/>
      <c r="DU129" s="101"/>
      <c r="DV129" s="101"/>
      <c r="DW129" s="101"/>
      <c r="DX129" s="101"/>
      <c r="DY129" s="101"/>
      <c r="DZ129" s="101"/>
      <c r="EA129" s="101"/>
      <c r="EB129" s="101"/>
      <c r="EC129" s="101"/>
      <c r="ED129" s="101"/>
      <c r="EE129" s="101"/>
      <c r="EF129" s="101"/>
      <c r="EG129" s="101"/>
      <c r="EH129" s="101"/>
      <c r="EI129" s="101"/>
      <c r="EJ129" s="101"/>
      <c r="EK129" s="101"/>
      <c r="EL129" s="101"/>
      <c r="EM129" s="101"/>
      <c r="EN129" s="101"/>
      <c r="EO129" s="101"/>
      <c r="EP129" s="101"/>
      <c r="EQ129" s="101"/>
      <c r="ER129" s="101"/>
      <c r="ES129" s="101"/>
      <c r="ET129" s="101"/>
      <c r="EU129" s="101"/>
      <c r="EV129" s="101"/>
      <c r="EW129" s="101"/>
      <c r="EX129" s="101"/>
      <c r="EY129" s="101"/>
      <c r="EZ129" s="101"/>
      <c r="FA129" s="101"/>
      <c r="FB129" s="101"/>
      <c r="FC129" s="101"/>
      <c r="FD129" s="101"/>
      <c r="FE129" s="101"/>
      <c r="FF129" s="101"/>
      <c r="FG129" s="101"/>
      <c r="FH129" s="101"/>
      <c r="FI129" s="101"/>
      <c r="FJ129" s="101"/>
      <c r="FK129" s="101"/>
      <c r="FL129" s="101"/>
      <c r="FM129" s="101"/>
      <c r="FN129" s="101"/>
      <c r="FO129" s="101"/>
      <c r="FP129" s="101"/>
      <c r="FQ129" s="101"/>
      <c r="FR129" s="101"/>
      <c r="FS129" s="101"/>
      <c r="FT129" s="101"/>
      <c r="FU129" s="101"/>
      <c r="FV129" s="101"/>
      <c r="FW129" s="101"/>
      <c r="FX129" s="101"/>
      <c r="FY129" s="101"/>
      <c r="FZ129" s="101"/>
      <c r="GA129" s="101"/>
      <c r="GB129" s="101"/>
      <c r="GC129" s="101"/>
      <c r="GD129" s="101"/>
      <c r="GE129" s="101"/>
      <c r="GF129" s="101"/>
      <c r="GG129" s="101"/>
      <c r="GH129" s="101"/>
      <c r="GI129" s="101"/>
      <c r="GJ129" s="101"/>
      <c r="GK129" s="101"/>
      <c r="GL129" s="101"/>
      <c r="GM129" s="101"/>
      <c r="GN129" s="101"/>
      <c r="GO129" s="101"/>
      <c r="GP129" s="101"/>
      <c r="GQ129" s="101"/>
      <c r="GR129" s="101"/>
      <c r="GS129" s="101"/>
      <c r="GT129" s="101"/>
      <c r="GU129" s="101"/>
      <c r="GV129" s="101"/>
      <c r="GW129" s="101"/>
      <c r="GX129" s="101"/>
      <c r="GY129" s="101"/>
      <c r="GZ129" s="101"/>
      <c r="HA129" s="101"/>
      <c r="HB129" s="101"/>
      <c r="HC129" s="101"/>
      <c r="HD129" s="101"/>
      <c r="HE129" s="101"/>
      <c r="HF129" s="101"/>
      <c r="HG129" s="101"/>
      <c r="HH129" s="101"/>
      <c r="HI129" s="101"/>
      <c r="HJ129" s="101"/>
      <c r="HK129" s="101"/>
      <c r="HL129" s="101"/>
      <c r="HM129" s="101"/>
      <c r="HN129" s="101"/>
      <c r="HO129" s="101"/>
      <c r="HP129" s="101"/>
      <c r="HQ129" s="101"/>
      <c r="HR129" s="101"/>
      <c r="HS129" s="101"/>
      <c r="HT129" s="101"/>
      <c r="HU129" s="101"/>
      <c r="HV129" s="101"/>
      <c r="HW129" s="101"/>
      <c r="HX129" s="101"/>
      <c r="HY129" s="101"/>
      <c r="HZ129" s="101"/>
      <c r="IA129" s="101"/>
      <c r="IB129" s="101"/>
      <c r="IC129" s="101"/>
      <c r="ID129" s="101"/>
      <c r="IE129" s="101"/>
      <c r="IF129" s="101"/>
      <c r="IG129" s="101"/>
      <c r="IH129" s="101"/>
      <c r="II129" s="101"/>
      <c r="IJ129" s="101"/>
      <c r="IK129" s="101"/>
      <c r="IL129" s="101"/>
      <c r="IM129" s="101"/>
      <c r="IN129" s="101"/>
      <c r="IO129" s="101"/>
      <c r="IP129" s="101"/>
      <c r="IQ129" s="101"/>
      <c r="IR129" s="101"/>
      <c r="IS129" s="101"/>
      <c r="IT129" s="101"/>
    </row>
    <row r="130" spans="1:254">
      <c r="A130" s="101"/>
      <c r="B130" s="101"/>
      <c r="C130" s="101"/>
      <c r="D130" s="101"/>
      <c r="F130" s="7"/>
      <c r="G130" s="7"/>
      <c r="H130" s="7"/>
      <c r="I130" s="7"/>
      <c r="J130" s="7"/>
      <c r="K130" s="7"/>
      <c r="L130" s="7"/>
      <c r="M130" s="52"/>
      <c r="N130" s="52"/>
      <c r="O130" s="7"/>
      <c r="P130" s="52"/>
      <c r="Q130" s="52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1"/>
      <c r="BA130" s="101"/>
      <c r="BB130" s="101"/>
      <c r="BC130" s="101"/>
      <c r="BD130" s="101"/>
      <c r="BE130" s="101"/>
      <c r="BF130" s="101"/>
      <c r="BG130" s="101"/>
      <c r="BH130" s="101"/>
      <c r="BI130" s="101"/>
      <c r="BJ130" s="101"/>
      <c r="BK130" s="101"/>
      <c r="BL130" s="101"/>
      <c r="BM130" s="101"/>
      <c r="BN130" s="101"/>
      <c r="BO130" s="101"/>
      <c r="BP130" s="101"/>
      <c r="BQ130" s="101"/>
      <c r="BR130" s="101"/>
      <c r="BS130" s="101"/>
      <c r="BT130" s="101"/>
      <c r="BU130" s="101"/>
      <c r="BV130" s="101"/>
      <c r="BW130" s="101"/>
      <c r="BX130" s="101"/>
      <c r="BY130" s="101"/>
      <c r="BZ130" s="101"/>
      <c r="CA130" s="101"/>
      <c r="CB130" s="101"/>
      <c r="CC130" s="101"/>
      <c r="CD130" s="101"/>
      <c r="CE130" s="101"/>
      <c r="CF130" s="101"/>
      <c r="CG130" s="101"/>
      <c r="CH130" s="101"/>
      <c r="CI130" s="101"/>
      <c r="CJ130" s="101"/>
      <c r="CK130" s="101"/>
      <c r="CL130" s="101"/>
      <c r="CM130" s="101"/>
      <c r="CN130" s="101"/>
      <c r="CO130" s="101"/>
      <c r="CP130" s="101"/>
      <c r="CQ130" s="101"/>
      <c r="CR130" s="101"/>
      <c r="CS130" s="101"/>
      <c r="CT130" s="101"/>
      <c r="CU130" s="101"/>
      <c r="CV130" s="101"/>
      <c r="CW130" s="101"/>
      <c r="CX130" s="101"/>
      <c r="CY130" s="101"/>
      <c r="CZ130" s="101"/>
      <c r="DA130" s="101"/>
      <c r="DB130" s="101"/>
      <c r="DC130" s="101"/>
      <c r="DD130" s="101"/>
      <c r="DE130" s="101"/>
      <c r="DF130" s="101"/>
      <c r="DG130" s="101"/>
      <c r="DH130" s="101"/>
      <c r="DI130" s="101"/>
      <c r="DJ130" s="101"/>
      <c r="DK130" s="101"/>
      <c r="DL130" s="101"/>
      <c r="DM130" s="101"/>
      <c r="DN130" s="101"/>
      <c r="DO130" s="101"/>
      <c r="DP130" s="101"/>
      <c r="DQ130" s="101"/>
      <c r="DR130" s="101"/>
      <c r="DS130" s="101"/>
      <c r="DT130" s="101"/>
      <c r="DU130" s="101"/>
      <c r="DV130" s="101"/>
      <c r="DW130" s="101"/>
      <c r="DX130" s="101"/>
      <c r="DY130" s="101"/>
      <c r="DZ130" s="101"/>
      <c r="EA130" s="101"/>
      <c r="EB130" s="101"/>
      <c r="EC130" s="101"/>
      <c r="ED130" s="101"/>
      <c r="EE130" s="101"/>
      <c r="EF130" s="101"/>
      <c r="EG130" s="101"/>
      <c r="EH130" s="101"/>
      <c r="EI130" s="101"/>
      <c r="EJ130" s="101"/>
      <c r="EK130" s="101"/>
      <c r="EL130" s="101"/>
      <c r="EM130" s="101"/>
      <c r="EN130" s="101"/>
      <c r="EO130" s="101"/>
      <c r="EP130" s="101"/>
      <c r="EQ130" s="101"/>
      <c r="ER130" s="101"/>
      <c r="ES130" s="101"/>
      <c r="ET130" s="101"/>
      <c r="EU130" s="101"/>
      <c r="EV130" s="101"/>
      <c r="EW130" s="101"/>
      <c r="EX130" s="101"/>
      <c r="EY130" s="101"/>
      <c r="EZ130" s="101"/>
      <c r="FA130" s="101"/>
      <c r="FB130" s="101"/>
      <c r="FC130" s="101"/>
      <c r="FD130" s="101"/>
      <c r="FE130" s="101"/>
      <c r="FF130" s="101"/>
      <c r="FG130" s="101"/>
      <c r="FH130" s="101"/>
      <c r="FI130" s="101"/>
      <c r="FJ130" s="101"/>
      <c r="FK130" s="101"/>
      <c r="FL130" s="101"/>
      <c r="FM130" s="101"/>
      <c r="FN130" s="101"/>
      <c r="FO130" s="101"/>
      <c r="FP130" s="101"/>
      <c r="FQ130" s="101"/>
      <c r="FR130" s="101"/>
      <c r="FS130" s="101"/>
      <c r="FT130" s="101"/>
      <c r="FU130" s="101"/>
      <c r="FV130" s="101"/>
      <c r="FW130" s="101"/>
      <c r="FX130" s="101"/>
      <c r="FY130" s="101"/>
      <c r="FZ130" s="101"/>
      <c r="GA130" s="101"/>
      <c r="GB130" s="101"/>
      <c r="GC130" s="101"/>
      <c r="GD130" s="101"/>
      <c r="GE130" s="101"/>
      <c r="GF130" s="101"/>
      <c r="GG130" s="101"/>
      <c r="GH130" s="101"/>
      <c r="GI130" s="101"/>
      <c r="GJ130" s="101"/>
      <c r="GK130" s="101"/>
      <c r="GL130" s="101"/>
      <c r="GM130" s="101"/>
      <c r="GN130" s="101"/>
      <c r="GO130" s="101"/>
      <c r="GP130" s="101"/>
      <c r="GQ130" s="101"/>
      <c r="GR130" s="101"/>
      <c r="GS130" s="101"/>
      <c r="GT130" s="101"/>
      <c r="GU130" s="101"/>
      <c r="GV130" s="101"/>
      <c r="GW130" s="101"/>
      <c r="GX130" s="101"/>
      <c r="GY130" s="101"/>
      <c r="GZ130" s="101"/>
      <c r="HA130" s="101"/>
      <c r="HB130" s="101"/>
      <c r="HC130" s="101"/>
      <c r="HD130" s="101"/>
      <c r="HE130" s="101"/>
      <c r="HF130" s="101"/>
      <c r="HG130" s="101"/>
      <c r="HH130" s="101"/>
      <c r="HI130" s="101"/>
      <c r="HJ130" s="101"/>
      <c r="HK130" s="101"/>
      <c r="HL130" s="101"/>
      <c r="HM130" s="101"/>
      <c r="HN130" s="101"/>
      <c r="HO130" s="101"/>
      <c r="HP130" s="101"/>
      <c r="HQ130" s="101"/>
      <c r="HR130" s="101"/>
      <c r="HS130" s="101"/>
      <c r="HT130" s="101"/>
      <c r="HU130" s="101"/>
      <c r="HV130" s="101"/>
      <c r="HW130" s="101"/>
      <c r="HX130" s="101"/>
      <c r="HY130" s="101"/>
      <c r="HZ130" s="101"/>
      <c r="IA130" s="101"/>
      <c r="IB130" s="101"/>
      <c r="IC130" s="101"/>
      <c r="ID130" s="101"/>
      <c r="IE130" s="101"/>
      <c r="IF130" s="101"/>
      <c r="IG130" s="101"/>
      <c r="IH130" s="101"/>
      <c r="II130" s="101"/>
      <c r="IJ130" s="101"/>
      <c r="IK130" s="101"/>
      <c r="IL130" s="101"/>
      <c r="IM130" s="101"/>
      <c r="IN130" s="101"/>
      <c r="IO130" s="101"/>
      <c r="IP130" s="101"/>
      <c r="IQ130" s="101"/>
      <c r="IR130" s="101"/>
      <c r="IS130" s="101"/>
      <c r="IT130" s="101"/>
    </row>
    <row r="131" spans="1:254">
      <c r="A131" s="101"/>
      <c r="B131" s="101"/>
      <c r="C131" s="101"/>
      <c r="D131" s="101"/>
      <c r="F131" s="7"/>
      <c r="G131" s="7"/>
      <c r="H131" s="7"/>
      <c r="I131" s="7"/>
      <c r="J131" s="7"/>
      <c r="K131" s="7"/>
      <c r="L131" s="7"/>
      <c r="M131" s="52"/>
      <c r="N131" s="52"/>
      <c r="O131" s="7"/>
      <c r="P131" s="52"/>
      <c r="Q131" s="52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1"/>
      <c r="BA131" s="101"/>
      <c r="BB131" s="101"/>
      <c r="BC131" s="101"/>
      <c r="BD131" s="101"/>
      <c r="BE131" s="101"/>
      <c r="BF131" s="101"/>
      <c r="BG131" s="101"/>
      <c r="BH131" s="101"/>
      <c r="BI131" s="101"/>
      <c r="BJ131" s="101"/>
      <c r="BK131" s="101"/>
      <c r="BL131" s="101"/>
      <c r="BM131" s="101"/>
      <c r="BN131" s="101"/>
      <c r="BO131" s="101"/>
      <c r="BP131" s="101"/>
      <c r="BQ131" s="101"/>
      <c r="BR131" s="101"/>
      <c r="BS131" s="101"/>
      <c r="BT131" s="101"/>
      <c r="BU131" s="101"/>
      <c r="BV131" s="101"/>
      <c r="BW131" s="101"/>
      <c r="BX131" s="101"/>
      <c r="BY131" s="101"/>
      <c r="BZ131" s="101"/>
      <c r="CA131" s="101"/>
      <c r="CB131" s="101"/>
      <c r="CC131" s="101"/>
      <c r="CD131" s="101"/>
      <c r="CE131" s="101"/>
      <c r="CF131" s="101"/>
      <c r="CG131" s="101"/>
      <c r="CH131" s="101"/>
      <c r="CI131" s="101"/>
      <c r="CJ131" s="101"/>
      <c r="CK131" s="101"/>
      <c r="CL131" s="101"/>
      <c r="CM131" s="101"/>
      <c r="CN131" s="101"/>
      <c r="CO131" s="101"/>
      <c r="CP131" s="101"/>
      <c r="CQ131" s="101"/>
      <c r="CR131" s="101"/>
      <c r="CS131" s="101"/>
      <c r="CT131" s="101"/>
      <c r="CU131" s="101"/>
      <c r="CV131" s="101"/>
      <c r="CW131" s="101"/>
      <c r="CX131" s="101"/>
      <c r="CY131" s="101"/>
      <c r="CZ131" s="101"/>
      <c r="DA131" s="101"/>
      <c r="DB131" s="101"/>
      <c r="DC131" s="101"/>
      <c r="DD131" s="101"/>
      <c r="DE131" s="101"/>
      <c r="DF131" s="101"/>
      <c r="DG131" s="101"/>
      <c r="DH131" s="101"/>
      <c r="DI131" s="101"/>
      <c r="DJ131" s="101"/>
      <c r="DK131" s="101"/>
      <c r="DL131" s="101"/>
      <c r="DM131" s="101"/>
      <c r="DN131" s="101"/>
      <c r="DO131" s="101"/>
      <c r="DP131" s="101"/>
      <c r="DQ131" s="101"/>
      <c r="DR131" s="101"/>
      <c r="DS131" s="101"/>
      <c r="DT131" s="101"/>
      <c r="DU131" s="101"/>
      <c r="DV131" s="101"/>
      <c r="DW131" s="101"/>
      <c r="DX131" s="101"/>
      <c r="DY131" s="101"/>
      <c r="DZ131" s="101"/>
      <c r="EA131" s="101"/>
      <c r="EB131" s="101"/>
      <c r="EC131" s="101"/>
      <c r="ED131" s="101"/>
      <c r="EE131" s="101"/>
      <c r="EF131" s="101"/>
      <c r="EG131" s="101"/>
      <c r="EH131" s="101"/>
      <c r="EI131" s="101"/>
      <c r="EJ131" s="101"/>
      <c r="EK131" s="101"/>
      <c r="EL131" s="101"/>
      <c r="EM131" s="101"/>
      <c r="EN131" s="101"/>
      <c r="EO131" s="101"/>
      <c r="EP131" s="101"/>
      <c r="EQ131" s="101"/>
      <c r="ER131" s="101"/>
      <c r="ES131" s="101"/>
      <c r="ET131" s="101"/>
      <c r="EU131" s="101"/>
      <c r="EV131" s="101"/>
      <c r="EW131" s="101"/>
      <c r="EX131" s="101"/>
      <c r="EY131" s="101"/>
      <c r="EZ131" s="101"/>
      <c r="FA131" s="101"/>
      <c r="FB131" s="101"/>
      <c r="FC131" s="101"/>
      <c r="FD131" s="101"/>
      <c r="FE131" s="101"/>
      <c r="FF131" s="101"/>
      <c r="FG131" s="101"/>
      <c r="FH131" s="101"/>
      <c r="FI131" s="101"/>
      <c r="FJ131" s="101"/>
      <c r="FK131" s="101"/>
      <c r="FL131" s="101"/>
      <c r="FM131" s="101"/>
      <c r="FN131" s="101"/>
      <c r="FO131" s="101"/>
      <c r="FP131" s="101"/>
      <c r="FQ131" s="101"/>
      <c r="FR131" s="101"/>
      <c r="FS131" s="101"/>
      <c r="FT131" s="101"/>
      <c r="FU131" s="101"/>
      <c r="FV131" s="101"/>
      <c r="FW131" s="101"/>
      <c r="FX131" s="101"/>
      <c r="FY131" s="101"/>
      <c r="FZ131" s="101"/>
      <c r="GA131" s="101"/>
      <c r="GB131" s="101"/>
      <c r="GC131" s="101"/>
      <c r="GD131" s="101"/>
      <c r="GE131" s="101"/>
      <c r="GF131" s="101"/>
      <c r="GG131" s="101"/>
      <c r="GH131" s="101"/>
      <c r="GI131" s="101"/>
      <c r="GJ131" s="101"/>
      <c r="GK131" s="101"/>
      <c r="GL131" s="101"/>
      <c r="GM131" s="101"/>
      <c r="GN131" s="101"/>
      <c r="GO131" s="101"/>
      <c r="GP131" s="101"/>
      <c r="GQ131" s="101"/>
      <c r="GR131" s="101"/>
      <c r="GS131" s="101"/>
      <c r="GT131" s="101"/>
      <c r="GU131" s="101"/>
      <c r="GV131" s="101"/>
      <c r="GW131" s="101"/>
      <c r="GX131" s="101"/>
      <c r="GY131" s="101"/>
      <c r="GZ131" s="101"/>
      <c r="HA131" s="101"/>
      <c r="HB131" s="101"/>
      <c r="HC131" s="101"/>
      <c r="HD131" s="101"/>
      <c r="HE131" s="101"/>
      <c r="HF131" s="101"/>
      <c r="HG131" s="101"/>
      <c r="HH131" s="101"/>
      <c r="HI131" s="101"/>
      <c r="HJ131" s="101"/>
      <c r="HK131" s="101"/>
      <c r="HL131" s="101"/>
      <c r="HM131" s="101"/>
      <c r="HN131" s="101"/>
      <c r="HO131" s="101"/>
      <c r="HP131" s="101"/>
      <c r="HQ131" s="101"/>
      <c r="HR131" s="101"/>
      <c r="HS131" s="101"/>
      <c r="HT131" s="101"/>
      <c r="HU131" s="101"/>
      <c r="HV131" s="101"/>
      <c r="HW131" s="101"/>
      <c r="HX131" s="101"/>
      <c r="HY131" s="101"/>
      <c r="HZ131" s="101"/>
      <c r="IA131" s="101"/>
      <c r="IB131" s="101"/>
      <c r="IC131" s="101"/>
      <c r="ID131" s="101"/>
      <c r="IE131" s="101"/>
      <c r="IF131" s="101"/>
      <c r="IG131" s="101"/>
      <c r="IH131" s="101"/>
      <c r="II131" s="101"/>
      <c r="IJ131" s="101"/>
      <c r="IK131" s="101"/>
      <c r="IL131" s="101"/>
      <c r="IM131" s="101"/>
      <c r="IN131" s="101"/>
      <c r="IO131" s="101"/>
      <c r="IP131" s="101"/>
      <c r="IQ131" s="101"/>
      <c r="IR131" s="101"/>
      <c r="IS131" s="101"/>
      <c r="IT131" s="101"/>
    </row>
    <row r="132" spans="1:254">
      <c r="A132" s="101"/>
      <c r="B132" s="101"/>
      <c r="C132" s="101"/>
      <c r="D132" s="101"/>
      <c r="F132" s="7"/>
      <c r="G132" s="7"/>
      <c r="H132" s="7"/>
      <c r="I132" s="7"/>
      <c r="J132" s="7"/>
      <c r="K132" s="7"/>
      <c r="L132" s="7"/>
      <c r="M132" s="52"/>
      <c r="N132" s="52"/>
      <c r="O132" s="7"/>
      <c r="P132" s="52"/>
      <c r="Q132" s="52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1"/>
      <c r="BA132" s="101"/>
      <c r="BB132" s="101"/>
      <c r="BC132" s="101"/>
      <c r="BD132" s="101"/>
      <c r="BE132" s="101"/>
      <c r="BF132" s="101"/>
      <c r="BG132" s="101"/>
      <c r="BH132" s="101"/>
      <c r="BI132" s="101"/>
      <c r="BJ132" s="101"/>
      <c r="BK132" s="101"/>
      <c r="BL132" s="101"/>
      <c r="BM132" s="101"/>
      <c r="BN132" s="101"/>
      <c r="BO132" s="101"/>
      <c r="BP132" s="101"/>
      <c r="BQ132" s="101"/>
      <c r="BR132" s="101"/>
      <c r="BS132" s="101"/>
      <c r="BT132" s="101"/>
      <c r="BU132" s="101"/>
      <c r="BV132" s="101"/>
      <c r="BW132" s="101"/>
      <c r="BX132" s="101"/>
      <c r="BY132" s="101"/>
      <c r="BZ132" s="101"/>
      <c r="CA132" s="101"/>
      <c r="CB132" s="101"/>
      <c r="CC132" s="101"/>
      <c r="CD132" s="101"/>
      <c r="CE132" s="101"/>
      <c r="CF132" s="101"/>
      <c r="CG132" s="101"/>
      <c r="CH132" s="101"/>
      <c r="CI132" s="101"/>
      <c r="CJ132" s="101"/>
      <c r="CK132" s="101"/>
      <c r="CL132" s="101"/>
      <c r="CM132" s="101"/>
      <c r="CN132" s="101"/>
      <c r="CO132" s="101"/>
      <c r="CP132" s="101"/>
      <c r="CQ132" s="101"/>
      <c r="CR132" s="101"/>
      <c r="CS132" s="101"/>
      <c r="CT132" s="101"/>
      <c r="CU132" s="101"/>
      <c r="CV132" s="101"/>
      <c r="CW132" s="101"/>
      <c r="CX132" s="101"/>
      <c r="CY132" s="101"/>
      <c r="CZ132" s="101"/>
      <c r="DA132" s="101"/>
      <c r="DB132" s="101"/>
      <c r="DC132" s="101"/>
      <c r="DD132" s="101"/>
      <c r="DE132" s="101"/>
      <c r="DF132" s="101"/>
      <c r="DG132" s="101"/>
      <c r="DH132" s="101"/>
      <c r="DI132" s="101"/>
      <c r="DJ132" s="101"/>
      <c r="DK132" s="101"/>
      <c r="DL132" s="101"/>
      <c r="DM132" s="101"/>
      <c r="DN132" s="101"/>
      <c r="DO132" s="101"/>
      <c r="DP132" s="101"/>
      <c r="DQ132" s="101"/>
      <c r="DR132" s="101"/>
      <c r="DS132" s="101"/>
      <c r="DT132" s="101"/>
      <c r="DU132" s="101"/>
      <c r="DV132" s="101"/>
      <c r="DW132" s="101"/>
      <c r="DX132" s="101"/>
      <c r="DY132" s="101"/>
      <c r="DZ132" s="101"/>
      <c r="EA132" s="101"/>
      <c r="EB132" s="101"/>
      <c r="EC132" s="101"/>
      <c r="ED132" s="101"/>
      <c r="EE132" s="101"/>
      <c r="EF132" s="101"/>
      <c r="EG132" s="101"/>
      <c r="EH132" s="101"/>
      <c r="EI132" s="101"/>
      <c r="EJ132" s="101"/>
      <c r="EK132" s="101"/>
      <c r="EL132" s="101"/>
      <c r="EM132" s="101"/>
      <c r="EN132" s="101"/>
      <c r="EO132" s="101"/>
      <c r="EP132" s="101"/>
      <c r="EQ132" s="101"/>
      <c r="ER132" s="101"/>
      <c r="ES132" s="101"/>
      <c r="ET132" s="101"/>
      <c r="EU132" s="101"/>
      <c r="EV132" s="101"/>
      <c r="EW132" s="101"/>
      <c r="EX132" s="101"/>
      <c r="EY132" s="101"/>
      <c r="EZ132" s="101"/>
      <c r="FA132" s="101"/>
      <c r="FB132" s="101"/>
      <c r="FC132" s="101"/>
      <c r="FD132" s="101"/>
      <c r="FE132" s="101"/>
      <c r="FF132" s="101"/>
      <c r="FG132" s="101"/>
      <c r="FH132" s="101"/>
      <c r="FI132" s="101"/>
      <c r="FJ132" s="101"/>
      <c r="FK132" s="101"/>
      <c r="FL132" s="101"/>
      <c r="FM132" s="101"/>
      <c r="FN132" s="101"/>
      <c r="FO132" s="101"/>
      <c r="FP132" s="101"/>
      <c r="FQ132" s="101"/>
      <c r="FR132" s="101"/>
      <c r="FS132" s="101"/>
      <c r="FT132" s="101"/>
      <c r="FU132" s="101"/>
      <c r="FV132" s="101"/>
      <c r="FW132" s="101"/>
      <c r="FX132" s="101"/>
      <c r="FY132" s="101"/>
      <c r="FZ132" s="101"/>
      <c r="GA132" s="101"/>
      <c r="GB132" s="101"/>
      <c r="GC132" s="101"/>
      <c r="GD132" s="101"/>
      <c r="GE132" s="101"/>
      <c r="GF132" s="101"/>
      <c r="GG132" s="101"/>
      <c r="GH132" s="101"/>
      <c r="GI132" s="101"/>
      <c r="GJ132" s="101"/>
      <c r="GK132" s="101"/>
      <c r="GL132" s="101"/>
      <c r="GM132" s="101"/>
      <c r="GN132" s="101"/>
      <c r="GO132" s="101"/>
      <c r="GP132" s="101"/>
      <c r="GQ132" s="101"/>
      <c r="GR132" s="101"/>
      <c r="GS132" s="101"/>
      <c r="GT132" s="101"/>
      <c r="GU132" s="101"/>
      <c r="GV132" s="101"/>
      <c r="GW132" s="101"/>
      <c r="GX132" s="101"/>
      <c r="GY132" s="101"/>
      <c r="GZ132" s="101"/>
      <c r="HA132" s="101"/>
      <c r="HB132" s="101"/>
      <c r="HC132" s="101"/>
      <c r="HD132" s="101"/>
      <c r="HE132" s="101"/>
      <c r="HF132" s="101"/>
      <c r="HG132" s="101"/>
      <c r="HH132" s="101"/>
      <c r="HI132" s="101"/>
      <c r="HJ132" s="101"/>
      <c r="HK132" s="101"/>
      <c r="HL132" s="101"/>
      <c r="HM132" s="101"/>
      <c r="HN132" s="101"/>
      <c r="HO132" s="101"/>
      <c r="HP132" s="101"/>
      <c r="HQ132" s="101"/>
      <c r="HR132" s="101"/>
      <c r="HS132" s="101"/>
      <c r="HT132" s="101"/>
      <c r="HU132" s="101"/>
      <c r="HV132" s="101"/>
      <c r="HW132" s="101"/>
      <c r="HX132" s="101"/>
      <c r="HY132" s="101"/>
      <c r="HZ132" s="101"/>
      <c r="IA132" s="101"/>
      <c r="IB132" s="101"/>
      <c r="IC132" s="101"/>
      <c r="ID132" s="101"/>
      <c r="IE132" s="101"/>
      <c r="IF132" s="101"/>
      <c r="IG132" s="101"/>
      <c r="IH132" s="101"/>
      <c r="II132" s="101"/>
      <c r="IJ132" s="101"/>
      <c r="IK132" s="101"/>
      <c r="IL132" s="101"/>
      <c r="IM132" s="101"/>
      <c r="IN132" s="101"/>
      <c r="IO132" s="101"/>
      <c r="IP132" s="101"/>
      <c r="IQ132" s="101"/>
      <c r="IR132" s="101"/>
      <c r="IS132" s="101"/>
      <c r="IT132" s="101"/>
    </row>
    <row r="133" spans="1:254">
      <c r="A133" s="101"/>
      <c r="B133" s="101"/>
      <c r="C133" s="101"/>
      <c r="D133" s="101"/>
      <c r="F133" s="7"/>
      <c r="G133" s="7"/>
      <c r="H133" s="7"/>
      <c r="I133" s="7"/>
      <c r="J133" s="7"/>
      <c r="K133" s="7"/>
      <c r="L133" s="7"/>
      <c r="M133" s="52"/>
      <c r="N133" s="52"/>
      <c r="O133" s="7"/>
      <c r="P133" s="52"/>
      <c r="Q133" s="52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1"/>
      <c r="BA133" s="101"/>
      <c r="BB133" s="101"/>
      <c r="BC133" s="101"/>
      <c r="BD133" s="101"/>
      <c r="BE133" s="101"/>
      <c r="BF133" s="101"/>
      <c r="BG133" s="101"/>
      <c r="BH133" s="101"/>
      <c r="BI133" s="101"/>
      <c r="BJ133" s="101"/>
      <c r="BK133" s="101"/>
      <c r="BL133" s="101"/>
      <c r="BM133" s="101"/>
      <c r="BN133" s="101"/>
      <c r="BO133" s="101"/>
      <c r="BP133" s="101"/>
      <c r="BQ133" s="101"/>
      <c r="BR133" s="101"/>
      <c r="BS133" s="101"/>
      <c r="BT133" s="101"/>
      <c r="BU133" s="101"/>
      <c r="BV133" s="101"/>
      <c r="BW133" s="101"/>
      <c r="BX133" s="101"/>
      <c r="BY133" s="101"/>
      <c r="BZ133" s="101"/>
      <c r="CA133" s="101"/>
      <c r="CB133" s="101"/>
      <c r="CC133" s="101"/>
      <c r="CD133" s="101"/>
      <c r="CE133" s="101"/>
      <c r="CF133" s="101"/>
      <c r="CG133" s="101"/>
      <c r="CH133" s="101"/>
      <c r="CI133" s="101"/>
      <c r="CJ133" s="101"/>
      <c r="CK133" s="101"/>
      <c r="CL133" s="101"/>
      <c r="CM133" s="101"/>
      <c r="CN133" s="101"/>
      <c r="CO133" s="101"/>
      <c r="CP133" s="101"/>
      <c r="CQ133" s="101"/>
      <c r="CR133" s="101"/>
      <c r="CS133" s="101"/>
      <c r="CT133" s="101"/>
      <c r="CU133" s="101"/>
      <c r="CV133" s="101"/>
      <c r="CW133" s="101"/>
      <c r="CX133" s="101"/>
      <c r="CY133" s="101"/>
      <c r="CZ133" s="101"/>
      <c r="DA133" s="101"/>
      <c r="DB133" s="101"/>
      <c r="DC133" s="101"/>
      <c r="DD133" s="101"/>
      <c r="DE133" s="101"/>
      <c r="DF133" s="101"/>
      <c r="DG133" s="101"/>
      <c r="DH133" s="101"/>
      <c r="DI133" s="101"/>
      <c r="DJ133" s="101"/>
      <c r="DK133" s="101"/>
      <c r="DL133" s="101"/>
      <c r="DM133" s="101"/>
      <c r="DN133" s="101"/>
      <c r="DO133" s="101"/>
      <c r="DP133" s="101"/>
      <c r="DQ133" s="101"/>
      <c r="DR133" s="101"/>
      <c r="DS133" s="101"/>
      <c r="DT133" s="101"/>
      <c r="DU133" s="101"/>
      <c r="DV133" s="101"/>
      <c r="DW133" s="101"/>
      <c r="DX133" s="101"/>
      <c r="DY133" s="101"/>
      <c r="DZ133" s="101"/>
      <c r="EA133" s="101"/>
      <c r="EB133" s="101"/>
      <c r="EC133" s="101"/>
      <c r="ED133" s="101"/>
      <c r="EE133" s="101"/>
      <c r="EF133" s="101"/>
      <c r="EG133" s="101"/>
      <c r="EH133" s="101"/>
      <c r="EI133" s="101"/>
      <c r="EJ133" s="101"/>
      <c r="EK133" s="101"/>
      <c r="EL133" s="101"/>
      <c r="EM133" s="101"/>
      <c r="EN133" s="101"/>
      <c r="EO133" s="101"/>
      <c r="EP133" s="101"/>
      <c r="EQ133" s="101"/>
      <c r="ER133" s="101"/>
      <c r="ES133" s="101"/>
      <c r="ET133" s="101"/>
      <c r="EU133" s="101"/>
      <c r="EV133" s="101"/>
      <c r="EW133" s="101"/>
      <c r="EX133" s="101"/>
      <c r="EY133" s="101"/>
      <c r="EZ133" s="101"/>
      <c r="FA133" s="101"/>
      <c r="FB133" s="101"/>
      <c r="FC133" s="101"/>
      <c r="FD133" s="101"/>
      <c r="FE133" s="101"/>
      <c r="FF133" s="101"/>
      <c r="FG133" s="101"/>
      <c r="FH133" s="101"/>
      <c r="FI133" s="101"/>
      <c r="FJ133" s="101"/>
      <c r="FK133" s="101"/>
      <c r="FL133" s="101"/>
      <c r="FM133" s="101"/>
      <c r="FN133" s="101"/>
      <c r="FO133" s="101"/>
      <c r="FP133" s="101"/>
      <c r="FQ133" s="101"/>
      <c r="FR133" s="101"/>
      <c r="FS133" s="101"/>
      <c r="FT133" s="101"/>
      <c r="FU133" s="101"/>
      <c r="FV133" s="101"/>
      <c r="FW133" s="101"/>
      <c r="FX133" s="101"/>
      <c r="FY133" s="101"/>
      <c r="FZ133" s="101"/>
      <c r="GA133" s="101"/>
      <c r="GB133" s="101"/>
      <c r="GC133" s="101"/>
      <c r="GD133" s="101"/>
      <c r="GE133" s="101"/>
      <c r="GF133" s="101"/>
      <c r="GG133" s="101"/>
      <c r="GH133" s="101"/>
      <c r="GI133" s="101"/>
      <c r="GJ133" s="101"/>
      <c r="GK133" s="101"/>
      <c r="GL133" s="101"/>
      <c r="GM133" s="101"/>
      <c r="GN133" s="101"/>
      <c r="GO133" s="101"/>
      <c r="GP133" s="101"/>
      <c r="GQ133" s="101"/>
      <c r="GR133" s="101"/>
      <c r="GS133" s="101"/>
      <c r="GT133" s="101"/>
      <c r="GU133" s="101"/>
      <c r="GV133" s="101"/>
      <c r="GW133" s="101"/>
      <c r="GX133" s="101"/>
      <c r="GY133" s="101"/>
      <c r="GZ133" s="101"/>
      <c r="HA133" s="101"/>
      <c r="HB133" s="101"/>
      <c r="HC133" s="101"/>
      <c r="HD133" s="101"/>
      <c r="HE133" s="101"/>
      <c r="HF133" s="101"/>
      <c r="HG133" s="101"/>
      <c r="HH133" s="101"/>
      <c r="HI133" s="101"/>
      <c r="HJ133" s="101"/>
      <c r="HK133" s="101"/>
      <c r="HL133" s="101"/>
      <c r="HM133" s="101"/>
      <c r="HN133" s="101"/>
      <c r="HO133" s="101"/>
      <c r="HP133" s="101"/>
      <c r="HQ133" s="101"/>
      <c r="HR133" s="101"/>
      <c r="HS133" s="101"/>
      <c r="HT133" s="101"/>
      <c r="HU133" s="101"/>
      <c r="HV133" s="101"/>
      <c r="HW133" s="101"/>
      <c r="HX133" s="101"/>
      <c r="HY133" s="101"/>
      <c r="HZ133" s="101"/>
      <c r="IA133" s="101"/>
      <c r="IB133" s="101"/>
      <c r="IC133" s="101"/>
      <c r="ID133" s="101"/>
      <c r="IE133" s="101"/>
      <c r="IF133" s="101"/>
      <c r="IG133" s="101"/>
      <c r="IH133" s="101"/>
      <c r="II133" s="101"/>
      <c r="IJ133" s="101"/>
      <c r="IK133" s="101"/>
      <c r="IL133" s="101"/>
      <c r="IM133" s="101"/>
      <c r="IN133" s="101"/>
      <c r="IO133" s="101"/>
      <c r="IP133" s="101"/>
      <c r="IQ133" s="101"/>
      <c r="IR133" s="101"/>
      <c r="IS133" s="101"/>
      <c r="IT133" s="101"/>
    </row>
    <row r="134" spans="1:254">
      <c r="A134" s="101"/>
      <c r="B134" s="101"/>
      <c r="C134" s="101"/>
      <c r="D134" s="101"/>
      <c r="F134" s="7"/>
      <c r="G134" s="7"/>
      <c r="H134" s="7"/>
      <c r="I134" s="7"/>
      <c r="J134" s="7"/>
      <c r="K134" s="7"/>
      <c r="L134" s="7"/>
      <c r="M134" s="52"/>
      <c r="N134" s="52"/>
      <c r="O134" s="7"/>
      <c r="P134" s="52"/>
      <c r="Q134" s="52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  <c r="AZ134" s="101"/>
      <c r="BA134" s="101"/>
      <c r="BB134" s="101"/>
      <c r="BC134" s="101"/>
      <c r="BD134" s="101"/>
      <c r="BE134" s="101"/>
      <c r="BF134" s="101"/>
      <c r="BG134" s="101"/>
      <c r="BH134" s="101"/>
      <c r="BI134" s="101"/>
      <c r="BJ134" s="101"/>
      <c r="BK134" s="101"/>
      <c r="BL134" s="101"/>
      <c r="BM134" s="101"/>
      <c r="BN134" s="101"/>
      <c r="BO134" s="101"/>
      <c r="BP134" s="101"/>
      <c r="BQ134" s="101"/>
      <c r="BR134" s="101"/>
      <c r="BS134" s="101"/>
      <c r="BT134" s="101"/>
      <c r="BU134" s="101"/>
      <c r="BV134" s="101"/>
      <c r="BW134" s="101"/>
      <c r="BX134" s="101"/>
      <c r="BY134" s="101"/>
      <c r="BZ134" s="101"/>
      <c r="CA134" s="101"/>
      <c r="CB134" s="101"/>
      <c r="CC134" s="101"/>
      <c r="CD134" s="101"/>
      <c r="CE134" s="101"/>
      <c r="CF134" s="101"/>
      <c r="CG134" s="101"/>
      <c r="CH134" s="101"/>
      <c r="CI134" s="101"/>
      <c r="CJ134" s="101"/>
      <c r="CK134" s="101"/>
      <c r="CL134" s="101"/>
      <c r="CM134" s="101"/>
      <c r="CN134" s="101"/>
      <c r="CO134" s="101"/>
      <c r="CP134" s="101"/>
      <c r="CQ134" s="101"/>
      <c r="CR134" s="101"/>
      <c r="CS134" s="101"/>
      <c r="CT134" s="101"/>
      <c r="CU134" s="101"/>
      <c r="CV134" s="101"/>
      <c r="CW134" s="101"/>
      <c r="CX134" s="101"/>
      <c r="CY134" s="101"/>
      <c r="CZ134" s="101"/>
      <c r="DA134" s="101"/>
      <c r="DB134" s="101"/>
      <c r="DC134" s="101"/>
      <c r="DD134" s="101"/>
      <c r="DE134" s="101"/>
      <c r="DF134" s="101"/>
      <c r="DG134" s="101"/>
      <c r="DH134" s="101"/>
      <c r="DI134" s="101"/>
      <c r="DJ134" s="101"/>
      <c r="DK134" s="101"/>
      <c r="DL134" s="101"/>
      <c r="DM134" s="101"/>
      <c r="DN134" s="101"/>
      <c r="DO134" s="101"/>
      <c r="DP134" s="101"/>
      <c r="DQ134" s="101"/>
      <c r="DR134" s="101"/>
      <c r="DS134" s="101"/>
      <c r="DT134" s="101"/>
      <c r="DU134" s="101"/>
      <c r="DV134" s="101"/>
      <c r="DW134" s="101"/>
      <c r="DX134" s="101"/>
      <c r="DY134" s="101"/>
      <c r="DZ134" s="101"/>
      <c r="EA134" s="101"/>
      <c r="EB134" s="101"/>
      <c r="EC134" s="101"/>
      <c r="ED134" s="101"/>
      <c r="EE134" s="101"/>
      <c r="EF134" s="101"/>
      <c r="EG134" s="101"/>
      <c r="EH134" s="101"/>
      <c r="EI134" s="101"/>
      <c r="EJ134" s="101"/>
      <c r="EK134" s="101"/>
      <c r="EL134" s="101"/>
      <c r="EM134" s="101"/>
      <c r="EN134" s="101"/>
      <c r="EO134" s="101"/>
      <c r="EP134" s="101"/>
      <c r="EQ134" s="101"/>
      <c r="ER134" s="101"/>
      <c r="ES134" s="101"/>
      <c r="ET134" s="101"/>
      <c r="EU134" s="101"/>
      <c r="EV134" s="101"/>
      <c r="EW134" s="101"/>
      <c r="EX134" s="101"/>
      <c r="EY134" s="101"/>
      <c r="EZ134" s="101"/>
      <c r="FA134" s="101"/>
      <c r="FB134" s="101"/>
      <c r="FC134" s="101"/>
      <c r="FD134" s="101"/>
      <c r="FE134" s="101"/>
      <c r="FF134" s="101"/>
      <c r="FG134" s="101"/>
      <c r="FH134" s="101"/>
      <c r="FI134" s="101"/>
      <c r="FJ134" s="101"/>
      <c r="FK134" s="101"/>
      <c r="FL134" s="101"/>
      <c r="FM134" s="101"/>
      <c r="FN134" s="101"/>
      <c r="FO134" s="101"/>
      <c r="FP134" s="101"/>
      <c r="FQ134" s="101"/>
      <c r="FR134" s="101"/>
      <c r="FS134" s="101"/>
      <c r="FT134" s="101"/>
      <c r="FU134" s="101"/>
      <c r="FV134" s="101"/>
      <c r="FW134" s="101"/>
      <c r="FX134" s="101"/>
      <c r="FY134" s="101"/>
      <c r="FZ134" s="101"/>
      <c r="GA134" s="101"/>
      <c r="GB134" s="101"/>
      <c r="GC134" s="101"/>
      <c r="GD134" s="101"/>
      <c r="GE134" s="101"/>
      <c r="GF134" s="101"/>
      <c r="GG134" s="101"/>
      <c r="GH134" s="101"/>
      <c r="GI134" s="101"/>
      <c r="GJ134" s="101"/>
      <c r="GK134" s="101"/>
      <c r="GL134" s="101"/>
      <c r="GM134" s="101"/>
      <c r="GN134" s="101"/>
      <c r="GO134" s="101"/>
      <c r="GP134" s="101"/>
      <c r="GQ134" s="101"/>
      <c r="GR134" s="101"/>
      <c r="GS134" s="101"/>
      <c r="GT134" s="101"/>
      <c r="GU134" s="101"/>
      <c r="GV134" s="101"/>
      <c r="GW134" s="101"/>
      <c r="GX134" s="101"/>
      <c r="GY134" s="101"/>
      <c r="GZ134" s="101"/>
      <c r="HA134" s="101"/>
      <c r="HB134" s="101"/>
      <c r="HC134" s="101"/>
      <c r="HD134" s="101"/>
      <c r="HE134" s="101"/>
      <c r="HF134" s="101"/>
      <c r="HG134" s="101"/>
      <c r="HH134" s="101"/>
      <c r="HI134" s="101"/>
      <c r="HJ134" s="101"/>
      <c r="HK134" s="101"/>
      <c r="HL134" s="101"/>
      <c r="HM134" s="101"/>
      <c r="HN134" s="101"/>
      <c r="HO134" s="101"/>
      <c r="HP134" s="101"/>
      <c r="HQ134" s="101"/>
      <c r="HR134" s="101"/>
      <c r="HS134" s="101"/>
      <c r="HT134" s="101"/>
      <c r="HU134" s="101"/>
      <c r="HV134" s="101"/>
      <c r="HW134" s="101"/>
      <c r="HX134" s="101"/>
      <c r="HY134" s="101"/>
      <c r="HZ134" s="101"/>
      <c r="IA134" s="101"/>
      <c r="IB134" s="101"/>
      <c r="IC134" s="101"/>
      <c r="ID134" s="101"/>
      <c r="IE134" s="101"/>
      <c r="IF134" s="101"/>
      <c r="IG134" s="101"/>
      <c r="IH134" s="101"/>
      <c r="II134" s="101"/>
      <c r="IJ134" s="101"/>
      <c r="IK134" s="101"/>
      <c r="IL134" s="101"/>
      <c r="IM134" s="101"/>
      <c r="IN134" s="101"/>
      <c r="IO134" s="101"/>
      <c r="IP134" s="101"/>
      <c r="IQ134" s="101"/>
      <c r="IR134" s="101"/>
      <c r="IS134" s="101"/>
      <c r="IT134" s="101"/>
    </row>
    <row r="135" spans="1:254">
      <c r="A135" s="101"/>
      <c r="B135" s="101"/>
      <c r="C135" s="101"/>
      <c r="D135" s="101"/>
      <c r="F135" s="7"/>
      <c r="G135" s="7"/>
      <c r="H135" s="7"/>
      <c r="I135" s="7"/>
      <c r="J135" s="7"/>
      <c r="K135" s="7"/>
      <c r="L135" s="7"/>
      <c r="M135" s="52"/>
      <c r="N135" s="52"/>
      <c r="O135" s="7"/>
      <c r="P135" s="52"/>
      <c r="Q135" s="52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  <c r="AZ135" s="101"/>
      <c r="BA135" s="101"/>
      <c r="BB135" s="101"/>
      <c r="BC135" s="101"/>
      <c r="BD135" s="101"/>
      <c r="BE135" s="101"/>
      <c r="BF135" s="101"/>
      <c r="BG135" s="101"/>
      <c r="BH135" s="101"/>
      <c r="BI135" s="101"/>
      <c r="BJ135" s="101"/>
      <c r="BK135" s="101"/>
      <c r="BL135" s="101"/>
      <c r="BM135" s="101"/>
      <c r="BN135" s="101"/>
      <c r="BO135" s="101"/>
      <c r="BP135" s="101"/>
      <c r="BQ135" s="101"/>
      <c r="BR135" s="101"/>
      <c r="BS135" s="101"/>
      <c r="BT135" s="101"/>
      <c r="BU135" s="101"/>
      <c r="BV135" s="101"/>
      <c r="BW135" s="101"/>
      <c r="BX135" s="101"/>
      <c r="BY135" s="101"/>
      <c r="BZ135" s="101"/>
      <c r="CA135" s="101"/>
      <c r="CB135" s="101"/>
      <c r="CC135" s="101"/>
      <c r="CD135" s="101"/>
      <c r="CE135" s="101"/>
      <c r="CF135" s="101"/>
      <c r="CG135" s="101"/>
      <c r="CH135" s="101"/>
      <c r="CI135" s="101"/>
      <c r="CJ135" s="101"/>
      <c r="CK135" s="101"/>
      <c r="CL135" s="101"/>
      <c r="CM135" s="101"/>
      <c r="CN135" s="101"/>
      <c r="CO135" s="101"/>
      <c r="CP135" s="101"/>
      <c r="CQ135" s="101"/>
      <c r="CR135" s="101"/>
      <c r="CS135" s="101"/>
      <c r="CT135" s="101"/>
      <c r="CU135" s="101"/>
      <c r="CV135" s="101"/>
      <c r="CW135" s="101"/>
      <c r="CX135" s="101"/>
      <c r="CY135" s="101"/>
      <c r="CZ135" s="101"/>
      <c r="DA135" s="101"/>
      <c r="DB135" s="101"/>
      <c r="DC135" s="101"/>
      <c r="DD135" s="101"/>
      <c r="DE135" s="101"/>
      <c r="DF135" s="101"/>
      <c r="DG135" s="101"/>
      <c r="DH135" s="101"/>
      <c r="DI135" s="101"/>
      <c r="DJ135" s="101"/>
      <c r="DK135" s="101"/>
      <c r="DL135" s="101"/>
      <c r="DM135" s="101"/>
      <c r="DN135" s="101"/>
      <c r="DO135" s="101"/>
      <c r="DP135" s="101"/>
      <c r="DQ135" s="101"/>
      <c r="DR135" s="101"/>
      <c r="DS135" s="101"/>
      <c r="DT135" s="101"/>
      <c r="DU135" s="101"/>
      <c r="DV135" s="101"/>
      <c r="DW135" s="101"/>
      <c r="DX135" s="101"/>
      <c r="DY135" s="101"/>
      <c r="DZ135" s="101"/>
      <c r="EA135" s="101"/>
      <c r="EB135" s="101"/>
      <c r="EC135" s="101"/>
      <c r="ED135" s="101"/>
      <c r="EE135" s="101"/>
      <c r="EF135" s="101"/>
      <c r="EG135" s="101"/>
      <c r="EH135" s="101"/>
      <c r="EI135" s="101"/>
      <c r="EJ135" s="101"/>
      <c r="EK135" s="101"/>
      <c r="EL135" s="101"/>
      <c r="EM135" s="101"/>
      <c r="EN135" s="101"/>
      <c r="EO135" s="101"/>
      <c r="EP135" s="101"/>
      <c r="EQ135" s="101"/>
      <c r="ER135" s="101"/>
      <c r="ES135" s="101"/>
      <c r="ET135" s="101"/>
      <c r="EU135" s="101"/>
      <c r="EV135" s="101"/>
      <c r="EW135" s="101"/>
      <c r="EX135" s="101"/>
      <c r="EY135" s="101"/>
      <c r="EZ135" s="101"/>
      <c r="FA135" s="101"/>
      <c r="FB135" s="101"/>
      <c r="FC135" s="101"/>
      <c r="FD135" s="101"/>
      <c r="FE135" s="101"/>
      <c r="FF135" s="101"/>
      <c r="FG135" s="101"/>
      <c r="FH135" s="101"/>
      <c r="FI135" s="101"/>
      <c r="FJ135" s="101"/>
      <c r="FK135" s="101"/>
      <c r="FL135" s="101"/>
      <c r="FM135" s="101"/>
      <c r="FN135" s="101"/>
      <c r="FO135" s="101"/>
      <c r="FP135" s="101"/>
      <c r="FQ135" s="101"/>
      <c r="FR135" s="101"/>
      <c r="FS135" s="101"/>
      <c r="FT135" s="101"/>
      <c r="FU135" s="101"/>
      <c r="FV135" s="101"/>
      <c r="FW135" s="101"/>
      <c r="FX135" s="101"/>
      <c r="FY135" s="101"/>
      <c r="FZ135" s="101"/>
      <c r="GA135" s="101"/>
      <c r="GB135" s="101"/>
      <c r="GC135" s="101"/>
      <c r="GD135" s="101"/>
      <c r="GE135" s="101"/>
      <c r="GF135" s="101"/>
      <c r="GG135" s="101"/>
      <c r="GH135" s="101"/>
      <c r="GI135" s="101"/>
      <c r="GJ135" s="101"/>
      <c r="GK135" s="101"/>
      <c r="GL135" s="101"/>
      <c r="GM135" s="101"/>
      <c r="GN135" s="101"/>
      <c r="GO135" s="101"/>
      <c r="GP135" s="101"/>
      <c r="GQ135" s="101"/>
      <c r="GR135" s="101"/>
      <c r="GS135" s="101"/>
      <c r="GT135" s="101"/>
      <c r="GU135" s="101"/>
      <c r="GV135" s="101"/>
      <c r="GW135" s="101"/>
      <c r="GX135" s="101"/>
      <c r="GY135" s="101"/>
      <c r="GZ135" s="101"/>
      <c r="HA135" s="101"/>
      <c r="HB135" s="101"/>
      <c r="HC135" s="101"/>
      <c r="HD135" s="101"/>
      <c r="HE135" s="101"/>
      <c r="HF135" s="101"/>
      <c r="HG135" s="101"/>
      <c r="HH135" s="101"/>
      <c r="HI135" s="101"/>
      <c r="HJ135" s="101"/>
      <c r="HK135" s="101"/>
      <c r="HL135" s="101"/>
      <c r="HM135" s="101"/>
      <c r="HN135" s="101"/>
      <c r="HO135" s="101"/>
      <c r="HP135" s="101"/>
      <c r="HQ135" s="101"/>
      <c r="HR135" s="101"/>
      <c r="HS135" s="101"/>
      <c r="HT135" s="101"/>
      <c r="HU135" s="101"/>
      <c r="HV135" s="101"/>
      <c r="HW135" s="101"/>
      <c r="HX135" s="101"/>
      <c r="HY135" s="101"/>
      <c r="HZ135" s="101"/>
      <c r="IA135" s="101"/>
      <c r="IB135" s="101"/>
      <c r="IC135" s="101"/>
      <c r="ID135" s="101"/>
      <c r="IE135" s="101"/>
      <c r="IF135" s="101"/>
      <c r="IG135" s="101"/>
      <c r="IH135" s="101"/>
      <c r="II135" s="101"/>
      <c r="IJ135" s="101"/>
      <c r="IK135" s="101"/>
      <c r="IL135" s="101"/>
      <c r="IM135" s="101"/>
      <c r="IN135" s="101"/>
      <c r="IO135" s="101"/>
      <c r="IP135" s="101"/>
      <c r="IQ135" s="101"/>
      <c r="IR135" s="101"/>
      <c r="IS135" s="101"/>
      <c r="IT135" s="101"/>
    </row>
    <row r="136" spans="1:254">
      <c r="A136" s="101"/>
      <c r="B136" s="101"/>
      <c r="C136" s="101"/>
      <c r="D136" s="101"/>
      <c r="F136" s="7"/>
      <c r="G136" s="7"/>
      <c r="H136" s="7"/>
      <c r="I136" s="7"/>
      <c r="J136" s="7"/>
      <c r="K136" s="7"/>
      <c r="L136" s="7"/>
      <c r="M136" s="52"/>
      <c r="N136" s="52"/>
      <c r="O136" s="7"/>
      <c r="P136" s="52"/>
      <c r="Q136" s="52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101"/>
      <c r="AV136" s="101"/>
      <c r="AW136" s="101"/>
      <c r="AX136" s="101"/>
      <c r="AY136" s="101"/>
      <c r="AZ136" s="101"/>
      <c r="BA136" s="101"/>
      <c r="BB136" s="101"/>
      <c r="BC136" s="101"/>
      <c r="BD136" s="101"/>
      <c r="BE136" s="101"/>
      <c r="BF136" s="101"/>
      <c r="BG136" s="101"/>
      <c r="BH136" s="101"/>
      <c r="BI136" s="101"/>
      <c r="BJ136" s="101"/>
      <c r="BK136" s="101"/>
      <c r="BL136" s="101"/>
      <c r="BM136" s="101"/>
      <c r="BN136" s="101"/>
      <c r="BO136" s="101"/>
      <c r="BP136" s="101"/>
      <c r="BQ136" s="101"/>
      <c r="BR136" s="101"/>
      <c r="BS136" s="101"/>
      <c r="BT136" s="101"/>
      <c r="BU136" s="101"/>
      <c r="BV136" s="101"/>
      <c r="BW136" s="101"/>
      <c r="BX136" s="101"/>
      <c r="BY136" s="101"/>
      <c r="BZ136" s="101"/>
      <c r="CA136" s="101"/>
      <c r="CB136" s="101"/>
      <c r="CC136" s="101"/>
      <c r="CD136" s="101"/>
      <c r="CE136" s="101"/>
      <c r="CF136" s="101"/>
      <c r="CG136" s="101"/>
      <c r="CH136" s="101"/>
      <c r="CI136" s="101"/>
      <c r="CJ136" s="101"/>
      <c r="CK136" s="101"/>
      <c r="CL136" s="101"/>
      <c r="CM136" s="101"/>
      <c r="CN136" s="101"/>
      <c r="CO136" s="101"/>
      <c r="CP136" s="101"/>
      <c r="CQ136" s="101"/>
      <c r="CR136" s="101"/>
      <c r="CS136" s="101"/>
      <c r="CT136" s="101"/>
      <c r="CU136" s="101"/>
      <c r="CV136" s="101"/>
      <c r="CW136" s="101"/>
      <c r="CX136" s="101"/>
      <c r="CY136" s="101"/>
      <c r="CZ136" s="101"/>
      <c r="DA136" s="101"/>
      <c r="DB136" s="101"/>
      <c r="DC136" s="101"/>
      <c r="DD136" s="101"/>
      <c r="DE136" s="101"/>
      <c r="DF136" s="101"/>
      <c r="DG136" s="101"/>
      <c r="DH136" s="101"/>
      <c r="DI136" s="101"/>
      <c r="DJ136" s="101"/>
      <c r="DK136" s="101"/>
      <c r="DL136" s="101"/>
      <c r="DM136" s="101"/>
      <c r="DN136" s="101"/>
      <c r="DO136" s="101"/>
      <c r="DP136" s="101"/>
      <c r="DQ136" s="101"/>
      <c r="DR136" s="101"/>
      <c r="DS136" s="101"/>
      <c r="DT136" s="101"/>
      <c r="DU136" s="101"/>
      <c r="DV136" s="101"/>
      <c r="DW136" s="101"/>
      <c r="DX136" s="101"/>
      <c r="DY136" s="101"/>
      <c r="DZ136" s="101"/>
      <c r="EA136" s="101"/>
      <c r="EB136" s="101"/>
      <c r="EC136" s="101"/>
      <c r="ED136" s="101"/>
      <c r="EE136" s="101"/>
      <c r="EF136" s="101"/>
      <c r="EG136" s="101"/>
      <c r="EH136" s="101"/>
      <c r="EI136" s="101"/>
      <c r="EJ136" s="101"/>
      <c r="EK136" s="101"/>
      <c r="EL136" s="101"/>
      <c r="EM136" s="101"/>
      <c r="EN136" s="101"/>
      <c r="EO136" s="101"/>
      <c r="EP136" s="101"/>
      <c r="EQ136" s="101"/>
      <c r="ER136" s="101"/>
      <c r="ES136" s="101"/>
      <c r="ET136" s="101"/>
      <c r="EU136" s="101"/>
      <c r="EV136" s="101"/>
      <c r="EW136" s="101"/>
      <c r="EX136" s="101"/>
      <c r="EY136" s="101"/>
      <c r="EZ136" s="101"/>
      <c r="FA136" s="101"/>
      <c r="FB136" s="101"/>
      <c r="FC136" s="101"/>
      <c r="FD136" s="101"/>
      <c r="FE136" s="101"/>
      <c r="FF136" s="101"/>
      <c r="FG136" s="101"/>
      <c r="FH136" s="101"/>
      <c r="FI136" s="101"/>
      <c r="FJ136" s="101"/>
      <c r="FK136" s="101"/>
      <c r="FL136" s="101"/>
      <c r="FM136" s="101"/>
      <c r="FN136" s="101"/>
      <c r="FO136" s="101"/>
      <c r="FP136" s="101"/>
      <c r="FQ136" s="101"/>
      <c r="FR136" s="101"/>
      <c r="FS136" s="101"/>
      <c r="FT136" s="101"/>
      <c r="FU136" s="101"/>
      <c r="FV136" s="101"/>
      <c r="FW136" s="101"/>
      <c r="FX136" s="101"/>
      <c r="FY136" s="101"/>
      <c r="FZ136" s="101"/>
      <c r="GA136" s="101"/>
      <c r="GB136" s="101"/>
      <c r="GC136" s="101"/>
      <c r="GD136" s="101"/>
      <c r="GE136" s="101"/>
      <c r="GF136" s="101"/>
      <c r="GG136" s="101"/>
      <c r="GH136" s="101"/>
      <c r="GI136" s="101"/>
      <c r="GJ136" s="101"/>
      <c r="GK136" s="101"/>
      <c r="GL136" s="101"/>
      <c r="GM136" s="101"/>
      <c r="GN136" s="101"/>
      <c r="GO136" s="101"/>
      <c r="GP136" s="101"/>
      <c r="GQ136" s="101"/>
      <c r="GR136" s="101"/>
      <c r="GS136" s="101"/>
      <c r="GT136" s="101"/>
      <c r="GU136" s="101"/>
      <c r="GV136" s="101"/>
      <c r="GW136" s="101"/>
      <c r="GX136" s="101"/>
      <c r="GY136" s="101"/>
      <c r="GZ136" s="101"/>
      <c r="HA136" s="101"/>
      <c r="HB136" s="101"/>
      <c r="HC136" s="101"/>
      <c r="HD136" s="101"/>
      <c r="HE136" s="101"/>
      <c r="HF136" s="101"/>
      <c r="HG136" s="101"/>
      <c r="HH136" s="101"/>
      <c r="HI136" s="101"/>
      <c r="HJ136" s="101"/>
      <c r="HK136" s="101"/>
      <c r="HL136" s="101"/>
      <c r="HM136" s="101"/>
      <c r="HN136" s="101"/>
      <c r="HO136" s="101"/>
      <c r="HP136" s="101"/>
      <c r="HQ136" s="101"/>
      <c r="HR136" s="101"/>
      <c r="HS136" s="101"/>
      <c r="HT136" s="101"/>
      <c r="HU136" s="101"/>
      <c r="HV136" s="101"/>
      <c r="HW136" s="101"/>
      <c r="HX136" s="101"/>
      <c r="HY136" s="101"/>
      <c r="HZ136" s="101"/>
      <c r="IA136" s="101"/>
      <c r="IB136" s="101"/>
      <c r="IC136" s="101"/>
      <c r="ID136" s="101"/>
      <c r="IE136" s="101"/>
      <c r="IF136" s="101"/>
      <c r="IG136" s="101"/>
      <c r="IH136" s="101"/>
      <c r="II136" s="101"/>
      <c r="IJ136" s="101"/>
      <c r="IK136" s="101"/>
      <c r="IL136" s="101"/>
      <c r="IM136" s="101"/>
      <c r="IN136" s="101"/>
      <c r="IO136" s="101"/>
      <c r="IP136" s="101"/>
      <c r="IQ136" s="101"/>
      <c r="IR136" s="101"/>
      <c r="IS136" s="101"/>
      <c r="IT136" s="101"/>
    </row>
    <row r="137" spans="1:254">
      <c r="A137" s="101"/>
      <c r="B137" s="101"/>
      <c r="C137" s="101"/>
      <c r="D137" s="101"/>
      <c r="F137" s="7"/>
      <c r="G137" s="7"/>
      <c r="H137" s="7"/>
      <c r="I137" s="7"/>
      <c r="J137" s="7"/>
      <c r="K137" s="7"/>
      <c r="L137" s="7"/>
      <c r="M137" s="52"/>
      <c r="N137" s="52"/>
      <c r="O137" s="7"/>
      <c r="P137" s="52"/>
      <c r="Q137" s="52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101"/>
      <c r="AV137" s="101"/>
      <c r="AW137" s="101"/>
      <c r="AX137" s="101"/>
      <c r="AY137" s="101"/>
      <c r="AZ137" s="101"/>
      <c r="BA137" s="101"/>
      <c r="BB137" s="101"/>
      <c r="BC137" s="101"/>
      <c r="BD137" s="101"/>
      <c r="BE137" s="101"/>
      <c r="BF137" s="101"/>
      <c r="BG137" s="101"/>
      <c r="BH137" s="101"/>
      <c r="BI137" s="101"/>
      <c r="BJ137" s="101"/>
      <c r="BK137" s="101"/>
      <c r="BL137" s="101"/>
      <c r="BM137" s="101"/>
      <c r="BN137" s="101"/>
      <c r="BO137" s="101"/>
      <c r="BP137" s="101"/>
      <c r="BQ137" s="101"/>
      <c r="BR137" s="101"/>
      <c r="BS137" s="101"/>
      <c r="BT137" s="101"/>
      <c r="BU137" s="101"/>
      <c r="BV137" s="101"/>
      <c r="BW137" s="101"/>
      <c r="BX137" s="101"/>
      <c r="BY137" s="101"/>
      <c r="BZ137" s="101"/>
      <c r="CA137" s="101"/>
      <c r="CB137" s="101"/>
      <c r="CC137" s="101"/>
      <c r="CD137" s="101"/>
      <c r="CE137" s="101"/>
      <c r="CF137" s="101"/>
      <c r="CG137" s="101"/>
      <c r="CH137" s="101"/>
      <c r="CI137" s="101"/>
      <c r="CJ137" s="101"/>
      <c r="CK137" s="101"/>
      <c r="CL137" s="101"/>
      <c r="CM137" s="101"/>
      <c r="CN137" s="101"/>
      <c r="CO137" s="101"/>
      <c r="CP137" s="101"/>
      <c r="CQ137" s="101"/>
      <c r="CR137" s="101"/>
      <c r="CS137" s="101"/>
      <c r="CT137" s="101"/>
      <c r="CU137" s="101"/>
      <c r="CV137" s="101"/>
      <c r="CW137" s="101"/>
      <c r="CX137" s="101"/>
      <c r="CY137" s="101"/>
      <c r="CZ137" s="101"/>
      <c r="DA137" s="101"/>
      <c r="DB137" s="101"/>
      <c r="DC137" s="101"/>
      <c r="DD137" s="101"/>
      <c r="DE137" s="101"/>
      <c r="DF137" s="101"/>
      <c r="DG137" s="101"/>
      <c r="DH137" s="101"/>
      <c r="DI137" s="101"/>
      <c r="DJ137" s="101"/>
      <c r="DK137" s="101"/>
      <c r="DL137" s="101"/>
      <c r="DM137" s="101"/>
      <c r="DN137" s="101"/>
      <c r="DO137" s="101"/>
      <c r="DP137" s="101"/>
      <c r="DQ137" s="101"/>
      <c r="DR137" s="101"/>
      <c r="DS137" s="101"/>
      <c r="DT137" s="101"/>
      <c r="DU137" s="101"/>
      <c r="DV137" s="101"/>
      <c r="DW137" s="101"/>
      <c r="DX137" s="101"/>
      <c r="DY137" s="101"/>
      <c r="DZ137" s="101"/>
      <c r="EA137" s="101"/>
      <c r="EB137" s="101"/>
      <c r="EC137" s="101"/>
      <c r="ED137" s="101"/>
      <c r="EE137" s="101"/>
      <c r="EF137" s="101"/>
      <c r="EG137" s="101"/>
      <c r="EH137" s="101"/>
      <c r="EI137" s="101"/>
      <c r="EJ137" s="101"/>
      <c r="EK137" s="101"/>
      <c r="EL137" s="101"/>
      <c r="EM137" s="101"/>
      <c r="EN137" s="101"/>
      <c r="EO137" s="101"/>
      <c r="EP137" s="101"/>
      <c r="EQ137" s="101"/>
      <c r="ER137" s="101"/>
      <c r="ES137" s="101"/>
      <c r="ET137" s="101"/>
      <c r="EU137" s="101"/>
      <c r="EV137" s="101"/>
      <c r="EW137" s="101"/>
      <c r="EX137" s="101"/>
      <c r="EY137" s="101"/>
      <c r="EZ137" s="101"/>
      <c r="FA137" s="101"/>
      <c r="FB137" s="101"/>
      <c r="FC137" s="101"/>
      <c r="FD137" s="101"/>
      <c r="FE137" s="101"/>
      <c r="FF137" s="101"/>
      <c r="FG137" s="101"/>
      <c r="FH137" s="101"/>
      <c r="FI137" s="101"/>
      <c r="FJ137" s="101"/>
      <c r="FK137" s="101"/>
      <c r="FL137" s="101"/>
      <c r="FM137" s="101"/>
      <c r="FN137" s="101"/>
      <c r="FO137" s="101"/>
      <c r="FP137" s="101"/>
      <c r="FQ137" s="101"/>
      <c r="FR137" s="101"/>
      <c r="FS137" s="101"/>
      <c r="FT137" s="101"/>
      <c r="FU137" s="101"/>
      <c r="FV137" s="101"/>
      <c r="FW137" s="101"/>
      <c r="FX137" s="101"/>
      <c r="FY137" s="101"/>
      <c r="FZ137" s="101"/>
      <c r="GA137" s="101"/>
      <c r="GB137" s="101"/>
      <c r="GC137" s="101"/>
      <c r="GD137" s="101"/>
      <c r="GE137" s="101"/>
      <c r="GF137" s="101"/>
      <c r="GG137" s="101"/>
      <c r="GH137" s="101"/>
      <c r="GI137" s="101"/>
      <c r="GJ137" s="101"/>
      <c r="GK137" s="101"/>
      <c r="GL137" s="101"/>
      <c r="GM137" s="101"/>
      <c r="GN137" s="101"/>
      <c r="GO137" s="101"/>
      <c r="GP137" s="101"/>
      <c r="GQ137" s="101"/>
      <c r="GR137" s="101"/>
      <c r="GS137" s="101"/>
      <c r="GT137" s="101"/>
      <c r="GU137" s="101"/>
      <c r="GV137" s="101"/>
      <c r="GW137" s="101"/>
      <c r="GX137" s="101"/>
      <c r="GY137" s="101"/>
      <c r="GZ137" s="101"/>
      <c r="HA137" s="101"/>
      <c r="HB137" s="101"/>
      <c r="HC137" s="101"/>
      <c r="HD137" s="101"/>
      <c r="HE137" s="101"/>
      <c r="HF137" s="101"/>
      <c r="HG137" s="101"/>
      <c r="HH137" s="101"/>
      <c r="HI137" s="101"/>
      <c r="HJ137" s="101"/>
      <c r="HK137" s="101"/>
      <c r="HL137" s="101"/>
      <c r="HM137" s="101"/>
      <c r="HN137" s="101"/>
      <c r="HO137" s="101"/>
      <c r="HP137" s="101"/>
      <c r="HQ137" s="101"/>
      <c r="HR137" s="101"/>
      <c r="HS137" s="101"/>
      <c r="HT137" s="101"/>
      <c r="HU137" s="101"/>
      <c r="HV137" s="101"/>
      <c r="HW137" s="101"/>
      <c r="HX137" s="101"/>
      <c r="HY137" s="101"/>
      <c r="HZ137" s="101"/>
      <c r="IA137" s="101"/>
      <c r="IB137" s="101"/>
      <c r="IC137" s="101"/>
      <c r="ID137" s="101"/>
      <c r="IE137" s="101"/>
      <c r="IF137" s="101"/>
      <c r="IG137" s="101"/>
      <c r="IH137" s="101"/>
      <c r="II137" s="101"/>
      <c r="IJ137" s="101"/>
      <c r="IK137" s="101"/>
      <c r="IL137" s="101"/>
      <c r="IM137" s="101"/>
      <c r="IN137" s="101"/>
      <c r="IO137" s="101"/>
      <c r="IP137" s="101"/>
      <c r="IQ137" s="101"/>
      <c r="IR137" s="101"/>
      <c r="IS137" s="101"/>
      <c r="IT137" s="101"/>
    </row>
    <row r="138" spans="1:254">
      <c r="A138" s="101"/>
      <c r="B138" s="101"/>
      <c r="C138" s="101"/>
      <c r="D138" s="101"/>
      <c r="F138" s="7"/>
      <c r="G138" s="7"/>
      <c r="H138" s="7"/>
      <c r="I138" s="7"/>
      <c r="J138" s="7"/>
      <c r="K138" s="7"/>
      <c r="L138" s="7"/>
      <c r="M138" s="52"/>
      <c r="N138" s="52"/>
      <c r="O138" s="7"/>
      <c r="P138" s="52"/>
      <c r="Q138" s="52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101"/>
      <c r="AV138" s="101"/>
      <c r="AW138" s="101"/>
      <c r="AX138" s="101"/>
      <c r="AY138" s="101"/>
      <c r="AZ138" s="101"/>
      <c r="BA138" s="101"/>
      <c r="BB138" s="101"/>
      <c r="BC138" s="101"/>
      <c r="BD138" s="101"/>
      <c r="BE138" s="101"/>
      <c r="BF138" s="101"/>
      <c r="BG138" s="101"/>
      <c r="BH138" s="101"/>
      <c r="BI138" s="101"/>
      <c r="BJ138" s="101"/>
      <c r="BK138" s="101"/>
      <c r="BL138" s="101"/>
      <c r="BM138" s="101"/>
      <c r="BN138" s="101"/>
      <c r="BO138" s="101"/>
      <c r="BP138" s="101"/>
      <c r="BQ138" s="101"/>
      <c r="BR138" s="101"/>
      <c r="BS138" s="101"/>
      <c r="BT138" s="101"/>
      <c r="BU138" s="101"/>
      <c r="BV138" s="101"/>
      <c r="BW138" s="101"/>
      <c r="BX138" s="101"/>
      <c r="BY138" s="101"/>
      <c r="BZ138" s="101"/>
      <c r="CA138" s="101"/>
      <c r="CB138" s="101"/>
      <c r="CC138" s="101"/>
      <c r="CD138" s="101"/>
      <c r="CE138" s="101"/>
      <c r="CF138" s="101"/>
      <c r="CG138" s="101"/>
      <c r="CH138" s="101"/>
      <c r="CI138" s="101"/>
      <c r="CJ138" s="101"/>
      <c r="CK138" s="101"/>
      <c r="CL138" s="101"/>
      <c r="CM138" s="101"/>
      <c r="CN138" s="101"/>
      <c r="CO138" s="101"/>
      <c r="CP138" s="101"/>
      <c r="CQ138" s="101"/>
      <c r="CR138" s="101"/>
      <c r="CS138" s="101"/>
      <c r="CT138" s="101"/>
      <c r="CU138" s="101"/>
      <c r="CV138" s="101"/>
      <c r="CW138" s="101"/>
      <c r="CX138" s="101"/>
      <c r="CY138" s="101"/>
      <c r="CZ138" s="101"/>
      <c r="DA138" s="101"/>
      <c r="DB138" s="101"/>
      <c r="DC138" s="101"/>
      <c r="DD138" s="101"/>
      <c r="DE138" s="101"/>
      <c r="DF138" s="101"/>
      <c r="DG138" s="101"/>
      <c r="DH138" s="101"/>
      <c r="DI138" s="101"/>
      <c r="DJ138" s="101"/>
      <c r="DK138" s="101"/>
      <c r="DL138" s="101"/>
      <c r="DM138" s="101"/>
      <c r="DN138" s="101"/>
      <c r="DO138" s="101"/>
      <c r="DP138" s="101"/>
      <c r="DQ138" s="101"/>
      <c r="DR138" s="101"/>
      <c r="DS138" s="101"/>
      <c r="DT138" s="101"/>
      <c r="DU138" s="101"/>
      <c r="DV138" s="101"/>
      <c r="DW138" s="101"/>
      <c r="DX138" s="101"/>
      <c r="DY138" s="101"/>
      <c r="DZ138" s="101"/>
      <c r="EA138" s="101"/>
      <c r="EB138" s="101"/>
      <c r="EC138" s="101"/>
      <c r="ED138" s="101"/>
      <c r="EE138" s="101"/>
      <c r="EF138" s="101"/>
      <c r="EG138" s="101"/>
      <c r="EH138" s="101"/>
      <c r="EI138" s="101"/>
      <c r="EJ138" s="101"/>
      <c r="EK138" s="101"/>
      <c r="EL138" s="101"/>
      <c r="EM138" s="101"/>
      <c r="EN138" s="101"/>
      <c r="EO138" s="101"/>
      <c r="EP138" s="101"/>
      <c r="EQ138" s="101"/>
      <c r="ER138" s="101"/>
      <c r="ES138" s="101"/>
      <c r="ET138" s="101"/>
      <c r="EU138" s="101"/>
      <c r="EV138" s="101"/>
      <c r="EW138" s="101"/>
      <c r="EX138" s="101"/>
      <c r="EY138" s="101"/>
      <c r="EZ138" s="101"/>
      <c r="FA138" s="101"/>
      <c r="FB138" s="101"/>
      <c r="FC138" s="101"/>
      <c r="FD138" s="101"/>
      <c r="FE138" s="101"/>
      <c r="FF138" s="101"/>
      <c r="FG138" s="101"/>
      <c r="FH138" s="101"/>
      <c r="FI138" s="101"/>
      <c r="FJ138" s="101"/>
      <c r="FK138" s="101"/>
      <c r="FL138" s="101"/>
      <c r="FM138" s="101"/>
      <c r="FN138" s="101"/>
      <c r="FO138" s="101"/>
      <c r="FP138" s="101"/>
      <c r="FQ138" s="101"/>
      <c r="FR138" s="101"/>
      <c r="FS138" s="101"/>
      <c r="FT138" s="101"/>
      <c r="FU138" s="101"/>
      <c r="FV138" s="101"/>
      <c r="FW138" s="101"/>
      <c r="FX138" s="101"/>
      <c r="FY138" s="101"/>
      <c r="FZ138" s="101"/>
      <c r="GA138" s="101"/>
      <c r="GB138" s="101"/>
      <c r="GC138" s="101"/>
      <c r="GD138" s="101"/>
      <c r="GE138" s="101"/>
      <c r="GF138" s="101"/>
      <c r="GG138" s="101"/>
      <c r="GH138" s="101"/>
      <c r="GI138" s="101"/>
      <c r="GJ138" s="101"/>
      <c r="GK138" s="101"/>
      <c r="GL138" s="101"/>
      <c r="GM138" s="101"/>
      <c r="GN138" s="101"/>
      <c r="GO138" s="101"/>
      <c r="GP138" s="101"/>
      <c r="GQ138" s="101"/>
      <c r="GR138" s="101"/>
      <c r="GS138" s="101"/>
      <c r="GT138" s="101"/>
      <c r="GU138" s="101"/>
      <c r="GV138" s="101"/>
      <c r="GW138" s="101"/>
      <c r="GX138" s="101"/>
      <c r="GY138" s="101"/>
      <c r="GZ138" s="101"/>
      <c r="HA138" s="101"/>
      <c r="HB138" s="101"/>
      <c r="HC138" s="101"/>
      <c r="HD138" s="101"/>
      <c r="HE138" s="101"/>
      <c r="HF138" s="101"/>
      <c r="HG138" s="101"/>
      <c r="HH138" s="101"/>
      <c r="HI138" s="101"/>
      <c r="HJ138" s="101"/>
      <c r="HK138" s="101"/>
      <c r="HL138" s="101"/>
      <c r="HM138" s="101"/>
      <c r="HN138" s="101"/>
      <c r="HO138" s="101"/>
      <c r="HP138" s="101"/>
      <c r="HQ138" s="101"/>
      <c r="HR138" s="101"/>
      <c r="HS138" s="101"/>
      <c r="HT138" s="101"/>
      <c r="HU138" s="101"/>
      <c r="HV138" s="101"/>
      <c r="HW138" s="101"/>
      <c r="HX138" s="101"/>
      <c r="HY138" s="101"/>
      <c r="HZ138" s="101"/>
      <c r="IA138" s="101"/>
      <c r="IB138" s="101"/>
      <c r="IC138" s="101"/>
      <c r="ID138" s="101"/>
      <c r="IE138" s="101"/>
      <c r="IF138" s="101"/>
      <c r="IG138" s="101"/>
      <c r="IH138" s="101"/>
      <c r="II138" s="101"/>
      <c r="IJ138" s="101"/>
      <c r="IK138" s="101"/>
      <c r="IL138" s="101"/>
      <c r="IM138" s="101"/>
      <c r="IN138" s="101"/>
      <c r="IO138" s="101"/>
      <c r="IP138" s="101"/>
      <c r="IQ138" s="101"/>
      <c r="IR138" s="101"/>
      <c r="IS138" s="101"/>
      <c r="IT138" s="101"/>
    </row>
    <row r="139" spans="1:254">
      <c r="A139" s="101"/>
      <c r="B139" s="101"/>
      <c r="C139" s="101"/>
      <c r="D139" s="101"/>
      <c r="F139" s="7"/>
      <c r="G139" s="7"/>
      <c r="H139" s="7"/>
      <c r="I139" s="7"/>
      <c r="J139" s="7"/>
      <c r="K139" s="7"/>
      <c r="L139" s="7"/>
      <c r="M139" s="52"/>
      <c r="N139" s="52"/>
      <c r="O139" s="7"/>
      <c r="P139" s="52"/>
      <c r="Q139" s="52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101"/>
      <c r="AU139" s="101"/>
      <c r="AV139" s="101"/>
      <c r="AW139" s="101"/>
      <c r="AX139" s="101"/>
      <c r="AY139" s="101"/>
      <c r="AZ139" s="101"/>
      <c r="BA139" s="101"/>
      <c r="BB139" s="101"/>
      <c r="BC139" s="101"/>
      <c r="BD139" s="101"/>
      <c r="BE139" s="101"/>
      <c r="BF139" s="101"/>
      <c r="BG139" s="101"/>
      <c r="BH139" s="101"/>
      <c r="BI139" s="101"/>
      <c r="BJ139" s="101"/>
      <c r="BK139" s="101"/>
      <c r="BL139" s="101"/>
      <c r="BM139" s="101"/>
      <c r="BN139" s="101"/>
      <c r="BO139" s="101"/>
      <c r="BP139" s="101"/>
      <c r="BQ139" s="101"/>
      <c r="BR139" s="101"/>
      <c r="BS139" s="101"/>
      <c r="BT139" s="101"/>
      <c r="BU139" s="101"/>
      <c r="BV139" s="101"/>
      <c r="BW139" s="101"/>
      <c r="BX139" s="101"/>
      <c r="BY139" s="101"/>
      <c r="BZ139" s="101"/>
      <c r="CA139" s="101"/>
      <c r="CB139" s="101"/>
      <c r="CC139" s="101"/>
      <c r="CD139" s="101"/>
      <c r="CE139" s="101"/>
      <c r="CF139" s="101"/>
      <c r="CG139" s="101"/>
      <c r="CH139" s="101"/>
      <c r="CI139" s="101"/>
      <c r="CJ139" s="101"/>
      <c r="CK139" s="101"/>
      <c r="CL139" s="101"/>
      <c r="CM139" s="101"/>
      <c r="CN139" s="101"/>
      <c r="CO139" s="101"/>
      <c r="CP139" s="101"/>
      <c r="CQ139" s="101"/>
      <c r="CR139" s="101"/>
      <c r="CS139" s="101"/>
      <c r="CT139" s="101"/>
      <c r="CU139" s="101"/>
      <c r="CV139" s="101"/>
      <c r="CW139" s="101"/>
      <c r="CX139" s="101"/>
      <c r="CY139" s="101"/>
      <c r="CZ139" s="101"/>
      <c r="DA139" s="101"/>
      <c r="DB139" s="101"/>
      <c r="DC139" s="101"/>
      <c r="DD139" s="101"/>
      <c r="DE139" s="101"/>
      <c r="DF139" s="101"/>
      <c r="DG139" s="101"/>
      <c r="DH139" s="101"/>
      <c r="DI139" s="101"/>
      <c r="DJ139" s="101"/>
      <c r="DK139" s="101"/>
      <c r="DL139" s="101"/>
      <c r="DM139" s="101"/>
      <c r="DN139" s="101"/>
      <c r="DO139" s="101"/>
      <c r="DP139" s="101"/>
      <c r="DQ139" s="101"/>
      <c r="DR139" s="101"/>
      <c r="DS139" s="101"/>
      <c r="DT139" s="101"/>
      <c r="DU139" s="101"/>
      <c r="DV139" s="101"/>
      <c r="DW139" s="101"/>
      <c r="DX139" s="101"/>
      <c r="DY139" s="101"/>
      <c r="DZ139" s="101"/>
      <c r="EA139" s="101"/>
      <c r="EB139" s="101"/>
      <c r="EC139" s="101"/>
      <c r="ED139" s="101"/>
      <c r="EE139" s="101"/>
      <c r="EF139" s="101"/>
      <c r="EG139" s="101"/>
      <c r="EH139" s="101"/>
      <c r="EI139" s="101"/>
      <c r="EJ139" s="101"/>
      <c r="EK139" s="101"/>
      <c r="EL139" s="101"/>
      <c r="EM139" s="101"/>
      <c r="EN139" s="101"/>
      <c r="EO139" s="101"/>
      <c r="EP139" s="101"/>
      <c r="EQ139" s="101"/>
      <c r="ER139" s="101"/>
      <c r="ES139" s="101"/>
      <c r="ET139" s="101"/>
      <c r="EU139" s="101"/>
      <c r="EV139" s="101"/>
      <c r="EW139" s="101"/>
      <c r="EX139" s="101"/>
      <c r="EY139" s="101"/>
      <c r="EZ139" s="101"/>
      <c r="FA139" s="101"/>
      <c r="FB139" s="101"/>
      <c r="FC139" s="101"/>
      <c r="FD139" s="101"/>
      <c r="FE139" s="101"/>
      <c r="FF139" s="101"/>
      <c r="FG139" s="101"/>
      <c r="FH139" s="101"/>
      <c r="FI139" s="101"/>
      <c r="FJ139" s="101"/>
      <c r="FK139" s="101"/>
      <c r="FL139" s="101"/>
      <c r="FM139" s="101"/>
      <c r="FN139" s="101"/>
      <c r="FO139" s="101"/>
      <c r="FP139" s="101"/>
      <c r="FQ139" s="101"/>
      <c r="FR139" s="101"/>
      <c r="FS139" s="101"/>
      <c r="FT139" s="101"/>
      <c r="FU139" s="101"/>
      <c r="FV139" s="101"/>
      <c r="FW139" s="101"/>
      <c r="FX139" s="101"/>
      <c r="FY139" s="101"/>
      <c r="FZ139" s="101"/>
      <c r="GA139" s="101"/>
      <c r="GB139" s="101"/>
      <c r="GC139" s="101"/>
      <c r="GD139" s="101"/>
      <c r="GE139" s="101"/>
      <c r="GF139" s="101"/>
      <c r="GG139" s="101"/>
      <c r="GH139" s="101"/>
      <c r="GI139" s="101"/>
      <c r="GJ139" s="101"/>
      <c r="GK139" s="101"/>
      <c r="GL139" s="101"/>
      <c r="GM139" s="101"/>
      <c r="GN139" s="101"/>
      <c r="GO139" s="101"/>
      <c r="GP139" s="101"/>
      <c r="GQ139" s="101"/>
      <c r="GR139" s="101"/>
      <c r="GS139" s="101"/>
      <c r="GT139" s="101"/>
      <c r="GU139" s="101"/>
      <c r="GV139" s="101"/>
      <c r="GW139" s="101"/>
      <c r="GX139" s="101"/>
      <c r="GY139" s="101"/>
      <c r="GZ139" s="101"/>
      <c r="HA139" s="101"/>
      <c r="HB139" s="101"/>
      <c r="HC139" s="101"/>
      <c r="HD139" s="101"/>
      <c r="HE139" s="101"/>
      <c r="HF139" s="101"/>
      <c r="HG139" s="101"/>
      <c r="HH139" s="101"/>
      <c r="HI139" s="101"/>
      <c r="HJ139" s="101"/>
      <c r="HK139" s="101"/>
      <c r="HL139" s="101"/>
      <c r="HM139" s="101"/>
      <c r="HN139" s="101"/>
      <c r="HO139" s="101"/>
      <c r="HP139" s="101"/>
      <c r="HQ139" s="101"/>
      <c r="HR139" s="101"/>
      <c r="HS139" s="101"/>
      <c r="HT139" s="101"/>
      <c r="HU139" s="101"/>
      <c r="HV139" s="101"/>
      <c r="HW139" s="101"/>
      <c r="HX139" s="101"/>
      <c r="HY139" s="101"/>
      <c r="HZ139" s="101"/>
      <c r="IA139" s="101"/>
      <c r="IB139" s="101"/>
      <c r="IC139" s="101"/>
      <c r="ID139" s="101"/>
      <c r="IE139" s="101"/>
      <c r="IF139" s="101"/>
      <c r="IG139" s="101"/>
      <c r="IH139" s="101"/>
      <c r="II139" s="101"/>
      <c r="IJ139" s="101"/>
      <c r="IK139" s="101"/>
      <c r="IL139" s="101"/>
      <c r="IM139" s="101"/>
      <c r="IN139" s="101"/>
      <c r="IO139" s="101"/>
      <c r="IP139" s="101"/>
      <c r="IQ139" s="101"/>
      <c r="IR139" s="101"/>
      <c r="IS139" s="101"/>
      <c r="IT139" s="101"/>
    </row>
    <row r="140" spans="1:254">
      <c r="A140" s="101"/>
      <c r="B140" s="101"/>
      <c r="C140" s="101"/>
      <c r="D140" s="101"/>
      <c r="F140" s="7"/>
      <c r="G140" s="7"/>
      <c r="H140" s="7"/>
      <c r="I140" s="7"/>
      <c r="J140" s="7"/>
      <c r="K140" s="7"/>
      <c r="L140" s="7"/>
      <c r="M140" s="52"/>
      <c r="N140" s="52"/>
      <c r="O140" s="7"/>
      <c r="P140" s="52"/>
      <c r="Q140" s="52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101"/>
      <c r="AV140" s="101"/>
      <c r="AW140" s="101"/>
      <c r="AX140" s="101"/>
      <c r="AY140" s="101"/>
      <c r="AZ140" s="101"/>
      <c r="BA140" s="101"/>
      <c r="BB140" s="101"/>
      <c r="BC140" s="101"/>
      <c r="BD140" s="101"/>
      <c r="BE140" s="101"/>
      <c r="BF140" s="101"/>
      <c r="BG140" s="101"/>
      <c r="BH140" s="101"/>
      <c r="BI140" s="101"/>
      <c r="BJ140" s="101"/>
      <c r="BK140" s="101"/>
      <c r="BL140" s="101"/>
      <c r="BM140" s="101"/>
      <c r="BN140" s="101"/>
      <c r="BO140" s="101"/>
      <c r="BP140" s="101"/>
      <c r="BQ140" s="101"/>
      <c r="BR140" s="101"/>
      <c r="BS140" s="101"/>
      <c r="BT140" s="101"/>
      <c r="BU140" s="101"/>
      <c r="BV140" s="101"/>
      <c r="BW140" s="101"/>
      <c r="BX140" s="101"/>
      <c r="BY140" s="101"/>
      <c r="BZ140" s="101"/>
      <c r="CA140" s="101"/>
      <c r="CB140" s="101"/>
      <c r="CC140" s="101"/>
      <c r="CD140" s="101"/>
      <c r="CE140" s="101"/>
      <c r="CF140" s="101"/>
      <c r="CG140" s="101"/>
      <c r="CH140" s="101"/>
      <c r="CI140" s="101"/>
      <c r="CJ140" s="101"/>
      <c r="CK140" s="101"/>
      <c r="CL140" s="101"/>
      <c r="CM140" s="101"/>
      <c r="CN140" s="101"/>
      <c r="CO140" s="101"/>
      <c r="CP140" s="101"/>
      <c r="CQ140" s="101"/>
      <c r="CR140" s="101"/>
      <c r="CS140" s="101"/>
      <c r="CT140" s="101"/>
      <c r="CU140" s="101"/>
      <c r="CV140" s="101"/>
      <c r="CW140" s="101"/>
      <c r="CX140" s="101"/>
      <c r="CY140" s="101"/>
      <c r="CZ140" s="101"/>
      <c r="DA140" s="101"/>
      <c r="DB140" s="101"/>
      <c r="DC140" s="101"/>
      <c r="DD140" s="101"/>
      <c r="DE140" s="101"/>
      <c r="DF140" s="101"/>
      <c r="DG140" s="101"/>
      <c r="DH140" s="101"/>
      <c r="DI140" s="101"/>
      <c r="DJ140" s="101"/>
      <c r="DK140" s="101"/>
      <c r="DL140" s="101"/>
      <c r="DM140" s="101"/>
      <c r="DN140" s="101"/>
      <c r="DO140" s="101"/>
      <c r="DP140" s="101"/>
      <c r="DQ140" s="101"/>
      <c r="DR140" s="101"/>
      <c r="DS140" s="101"/>
      <c r="DT140" s="101"/>
      <c r="DU140" s="101"/>
      <c r="DV140" s="101"/>
      <c r="DW140" s="101"/>
      <c r="DX140" s="101"/>
      <c r="DY140" s="101"/>
      <c r="DZ140" s="101"/>
      <c r="EA140" s="101"/>
      <c r="EB140" s="101"/>
      <c r="EC140" s="101"/>
      <c r="ED140" s="101"/>
      <c r="EE140" s="101"/>
      <c r="EF140" s="101"/>
      <c r="EG140" s="101"/>
      <c r="EH140" s="101"/>
      <c r="EI140" s="101"/>
      <c r="EJ140" s="101"/>
      <c r="EK140" s="101"/>
      <c r="EL140" s="101"/>
      <c r="EM140" s="101"/>
      <c r="EN140" s="101"/>
      <c r="EO140" s="101"/>
      <c r="EP140" s="101"/>
      <c r="EQ140" s="101"/>
      <c r="ER140" s="101"/>
      <c r="ES140" s="101"/>
      <c r="ET140" s="101"/>
      <c r="EU140" s="101"/>
      <c r="EV140" s="101"/>
      <c r="EW140" s="101"/>
      <c r="EX140" s="101"/>
      <c r="EY140" s="101"/>
      <c r="EZ140" s="101"/>
      <c r="FA140" s="101"/>
      <c r="FB140" s="101"/>
      <c r="FC140" s="101"/>
      <c r="FD140" s="101"/>
      <c r="FE140" s="101"/>
      <c r="FF140" s="101"/>
      <c r="FG140" s="101"/>
      <c r="FH140" s="101"/>
      <c r="FI140" s="101"/>
      <c r="FJ140" s="101"/>
      <c r="FK140" s="101"/>
      <c r="FL140" s="101"/>
      <c r="FM140" s="101"/>
      <c r="FN140" s="101"/>
      <c r="FO140" s="101"/>
      <c r="FP140" s="101"/>
      <c r="FQ140" s="101"/>
      <c r="FR140" s="101"/>
      <c r="FS140" s="101"/>
      <c r="FT140" s="101"/>
      <c r="FU140" s="101"/>
      <c r="FV140" s="101"/>
      <c r="FW140" s="101"/>
      <c r="FX140" s="101"/>
      <c r="FY140" s="101"/>
      <c r="FZ140" s="101"/>
      <c r="GA140" s="101"/>
      <c r="GB140" s="101"/>
      <c r="GC140" s="101"/>
      <c r="GD140" s="101"/>
      <c r="GE140" s="101"/>
      <c r="GF140" s="101"/>
      <c r="GG140" s="101"/>
      <c r="GH140" s="101"/>
      <c r="GI140" s="101"/>
      <c r="GJ140" s="101"/>
      <c r="GK140" s="101"/>
      <c r="GL140" s="101"/>
      <c r="GM140" s="101"/>
      <c r="GN140" s="101"/>
      <c r="GO140" s="101"/>
      <c r="GP140" s="101"/>
      <c r="GQ140" s="101"/>
      <c r="GR140" s="101"/>
      <c r="GS140" s="101"/>
      <c r="GT140" s="101"/>
      <c r="GU140" s="101"/>
      <c r="GV140" s="101"/>
      <c r="GW140" s="101"/>
      <c r="GX140" s="101"/>
      <c r="GY140" s="101"/>
      <c r="GZ140" s="101"/>
      <c r="HA140" s="101"/>
      <c r="HB140" s="101"/>
      <c r="HC140" s="101"/>
      <c r="HD140" s="101"/>
      <c r="HE140" s="101"/>
      <c r="HF140" s="101"/>
      <c r="HG140" s="101"/>
      <c r="HH140" s="101"/>
      <c r="HI140" s="101"/>
      <c r="HJ140" s="101"/>
      <c r="HK140" s="101"/>
      <c r="HL140" s="101"/>
      <c r="HM140" s="101"/>
      <c r="HN140" s="101"/>
      <c r="HO140" s="101"/>
      <c r="HP140" s="101"/>
      <c r="HQ140" s="101"/>
      <c r="HR140" s="101"/>
      <c r="HS140" s="101"/>
      <c r="HT140" s="101"/>
      <c r="HU140" s="101"/>
      <c r="HV140" s="101"/>
      <c r="HW140" s="101"/>
      <c r="HX140" s="101"/>
      <c r="HY140" s="101"/>
      <c r="HZ140" s="101"/>
      <c r="IA140" s="101"/>
      <c r="IB140" s="101"/>
      <c r="IC140" s="101"/>
      <c r="ID140" s="101"/>
      <c r="IE140" s="101"/>
      <c r="IF140" s="101"/>
      <c r="IG140" s="101"/>
      <c r="IH140" s="101"/>
      <c r="II140" s="101"/>
      <c r="IJ140" s="101"/>
      <c r="IK140" s="101"/>
      <c r="IL140" s="101"/>
      <c r="IM140" s="101"/>
      <c r="IN140" s="101"/>
      <c r="IO140" s="101"/>
      <c r="IP140" s="101"/>
      <c r="IQ140" s="101"/>
      <c r="IR140" s="101"/>
      <c r="IS140" s="101"/>
      <c r="IT140" s="101"/>
    </row>
    <row r="141" spans="1:254">
      <c r="A141" s="101"/>
      <c r="B141" s="101"/>
      <c r="C141" s="101"/>
      <c r="D141" s="101"/>
      <c r="F141" s="7"/>
      <c r="G141" s="7"/>
      <c r="H141" s="7"/>
      <c r="I141" s="7"/>
      <c r="J141" s="7"/>
      <c r="K141" s="7"/>
      <c r="L141" s="7"/>
      <c r="M141" s="52"/>
      <c r="N141" s="52"/>
      <c r="O141" s="7"/>
      <c r="P141" s="52"/>
      <c r="Q141" s="52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  <c r="AJ141" s="101"/>
      <c r="AK141" s="101"/>
      <c r="AL141" s="101"/>
      <c r="AM141" s="101"/>
      <c r="AN141" s="101"/>
      <c r="AO141" s="101"/>
      <c r="AP141" s="101"/>
      <c r="AQ141" s="101"/>
      <c r="AR141" s="101"/>
      <c r="AS141" s="101"/>
      <c r="AT141" s="101"/>
      <c r="AU141" s="101"/>
      <c r="AV141" s="101"/>
      <c r="AW141" s="101"/>
      <c r="AX141" s="101"/>
      <c r="AY141" s="101"/>
      <c r="AZ141" s="101"/>
      <c r="BA141" s="101"/>
      <c r="BB141" s="101"/>
      <c r="BC141" s="101"/>
      <c r="BD141" s="101"/>
      <c r="BE141" s="101"/>
      <c r="BF141" s="101"/>
      <c r="BG141" s="101"/>
      <c r="BH141" s="101"/>
      <c r="BI141" s="101"/>
      <c r="BJ141" s="101"/>
      <c r="BK141" s="101"/>
      <c r="BL141" s="101"/>
      <c r="BM141" s="101"/>
      <c r="BN141" s="101"/>
      <c r="BO141" s="101"/>
      <c r="BP141" s="101"/>
      <c r="BQ141" s="101"/>
      <c r="BR141" s="101"/>
      <c r="BS141" s="101"/>
      <c r="BT141" s="101"/>
      <c r="BU141" s="101"/>
      <c r="BV141" s="101"/>
      <c r="BW141" s="101"/>
      <c r="BX141" s="101"/>
      <c r="BY141" s="101"/>
      <c r="BZ141" s="101"/>
      <c r="CA141" s="101"/>
      <c r="CB141" s="101"/>
      <c r="CC141" s="101"/>
      <c r="CD141" s="101"/>
      <c r="CE141" s="101"/>
      <c r="CF141" s="101"/>
      <c r="CG141" s="101"/>
      <c r="CH141" s="101"/>
      <c r="CI141" s="101"/>
      <c r="CJ141" s="101"/>
      <c r="CK141" s="101"/>
      <c r="CL141" s="101"/>
      <c r="CM141" s="101"/>
      <c r="CN141" s="101"/>
      <c r="CO141" s="101"/>
      <c r="CP141" s="101"/>
      <c r="CQ141" s="101"/>
      <c r="CR141" s="101"/>
      <c r="CS141" s="101"/>
      <c r="CT141" s="101"/>
      <c r="CU141" s="101"/>
      <c r="CV141" s="101"/>
      <c r="CW141" s="101"/>
      <c r="CX141" s="101"/>
      <c r="CY141" s="101"/>
      <c r="CZ141" s="101"/>
      <c r="DA141" s="101"/>
      <c r="DB141" s="101"/>
      <c r="DC141" s="101"/>
      <c r="DD141" s="101"/>
      <c r="DE141" s="101"/>
      <c r="DF141" s="101"/>
      <c r="DG141" s="101"/>
      <c r="DH141" s="101"/>
      <c r="DI141" s="101"/>
      <c r="DJ141" s="101"/>
      <c r="DK141" s="101"/>
      <c r="DL141" s="101"/>
      <c r="DM141" s="101"/>
      <c r="DN141" s="101"/>
      <c r="DO141" s="101"/>
      <c r="DP141" s="101"/>
      <c r="DQ141" s="101"/>
      <c r="DR141" s="101"/>
      <c r="DS141" s="101"/>
      <c r="DT141" s="101"/>
      <c r="DU141" s="101"/>
      <c r="DV141" s="101"/>
      <c r="DW141" s="101"/>
      <c r="DX141" s="101"/>
      <c r="DY141" s="101"/>
      <c r="DZ141" s="101"/>
      <c r="EA141" s="101"/>
      <c r="EB141" s="101"/>
      <c r="EC141" s="101"/>
      <c r="ED141" s="101"/>
      <c r="EE141" s="101"/>
      <c r="EF141" s="101"/>
      <c r="EG141" s="101"/>
      <c r="EH141" s="101"/>
      <c r="EI141" s="101"/>
      <c r="EJ141" s="101"/>
      <c r="EK141" s="101"/>
      <c r="EL141" s="101"/>
      <c r="EM141" s="101"/>
      <c r="EN141" s="101"/>
      <c r="EO141" s="101"/>
      <c r="EP141" s="101"/>
      <c r="EQ141" s="101"/>
      <c r="ER141" s="101"/>
      <c r="ES141" s="101"/>
      <c r="ET141" s="101"/>
      <c r="EU141" s="101"/>
      <c r="EV141" s="101"/>
      <c r="EW141" s="101"/>
      <c r="EX141" s="101"/>
      <c r="EY141" s="101"/>
      <c r="EZ141" s="101"/>
      <c r="FA141" s="101"/>
      <c r="FB141" s="101"/>
      <c r="FC141" s="101"/>
      <c r="FD141" s="101"/>
      <c r="FE141" s="101"/>
      <c r="FF141" s="101"/>
      <c r="FG141" s="101"/>
      <c r="FH141" s="101"/>
      <c r="FI141" s="101"/>
      <c r="FJ141" s="101"/>
      <c r="FK141" s="101"/>
      <c r="FL141" s="101"/>
      <c r="FM141" s="101"/>
      <c r="FN141" s="101"/>
      <c r="FO141" s="101"/>
      <c r="FP141" s="101"/>
      <c r="FQ141" s="101"/>
      <c r="FR141" s="101"/>
      <c r="FS141" s="101"/>
      <c r="FT141" s="101"/>
      <c r="FU141" s="101"/>
      <c r="FV141" s="101"/>
      <c r="FW141" s="101"/>
      <c r="FX141" s="101"/>
      <c r="FY141" s="101"/>
      <c r="FZ141" s="101"/>
      <c r="GA141" s="101"/>
      <c r="GB141" s="101"/>
      <c r="GC141" s="101"/>
      <c r="GD141" s="101"/>
      <c r="GE141" s="101"/>
      <c r="GF141" s="101"/>
      <c r="GG141" s="101"/>
      <c r="GH141" s="101"/>
      <c r="GI141" s="101"/>
      <c r="GJ141" s="101"/>
      <c r="GK141" s="101"/>
      <c r="GL141" s="101"/>
      <c r="GM141" s="101"/>
      <c r="GN141" s="101"/>
      <c r="GO141" s="101"/>
      <c r="GP141" s="101"/>
      <c r="GQ141" s="101"/>
      <c r="GR141" s="101"/>
      <c r="GS141" s="101"/>
      <c r="GT141" s="101"/>
      <c r="GU141" s="101"/>
      <c r="GV141" s="101"/>
      <c r="GW141" s="101"/>
      <c r="GX141" s="101"/>
      <c r="GY141" s="101"/>
      <c r="GZ141" s="101"/>
      <c r="HA141" s="101"/>
      <c r="HB141" s="101"/>
      <c r="HC141" s="101"/>
      <c r="HD141" s="101"/>
      <c r="HE141" s="101"/>
      <c r="HF141" s="101"/>
      <c r="HG141" s="101"/>
      <c r="HH141" s="101"/>
      <c r="HI141" s="101"/>
      <c r="HJ141" s="101"/>
      <c r="HK141" s="101"/>
      <c r="HL141" s="101"/>
      <c r="HM141" s="101"/>
      <c r="HN141" s="101"/>
      <c r="HO141" s="101"/>
      <c r="HP141" s="101"/>
      <c r="HQ141" s="101"/>
      <c r="HR141" s="101"/>
      <c r="HS141" s="101"/>
      <c r="HT141" s="101"/>
      <c r="HU141" s="101"/>
      <c r="HV141" s="101"/>
      <c r="HW141" s="101"/>
      <c r="HX141" s="101"/>
      <c r="HY141" s="101"/>
      <c r="HZ141" s="101"/>
      <c r="IA141" s="101"/>
      <c r="IB141" s="101"/>
      <c r="IC141" s="101"/>
      <c r="ID141" s="101"/>
      <c r="IE141" s="101"/>
      <c r="IF141" s="101"/>
      <c r="IG141" s="101"/>
      <c r="IH141" s="101"/>
      <c r="II141" s="101"/>
      <c r="IJ141" s="101"/>
      <c r="IK141" s="101"/>
      <c r="IL141" s="101"/>
      <c r="IM141" s="101"/>
      <c r="IN141" s="101"/>
      <c r="IO141" s="101"/>
      <c r="IP141" s="101"/>
      <c r="IQ141" s="101"/>
      <c r="IR141" s="101"/>
      <c r="IS141" s="101"/>
      <c r="IT141" s="101"/>
    </row>
    <row r="142" spans="1:254">
      <c r="A142" s="101"/>
      <c r="B142" s="101"/>
      <c r="C142" s="101"/>
      <c r="D142" s="101"/>
      <c r="F142" s="7"/>
      <c r="G142" s="7"/>
      <c r="H142" s="7"/>
      <c r="I142" s="7"/>
      <c r="J142" s="7"/>
      <c r="K142" s="7"/>
      <c r="L142" s="7"/>
      <c r="M142" s="52"/>
      <c r="N142" s="52"/>
      <c r="O142" s="7"/>
      <c r="P142" s="52"/>
      <c r="Q142" s="52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01"/>
      <c r="AN142" s="101"/>
      <c r="AO142" s="101"/>
      <c r="AP142" s="101"/>
      <c r="AQ142" s="101"/>
      <c r="AR142" s="101"/>
      <c r="AS142" s="101"/>
      <c r="AT142" s="101"/>
      <c r="AU142" s="101"/>
      <c r="AV142" s="101"/>
      <c r="AW142" s="101"/>
      <c r="AX142" s="101"/>
      <c r="AY142" s="101"/>
      <c r="AZ142" s="101"/>
      <c r="BA142" s="101"/>
      <c r="BB142" s="101"/>
      <c r="BC142" s="101"/>
      <c r="BD142" s="101"/>
      <c r="BE142" s="101"/>
      <c r="BF142" s="101"/>
      <c r="BG142" s="101"/>
      <c r="BH142" s="101"/>
      <c r="BI142" s="101"/>
      <c r="BJ142" s="101"/>
      <c r="BK142" s="101"/>
      <c r="BL142" s="101"/>
      <c r="BM142" s="101"/>
      <c r="BN142" s="101"/>
      <c r="BO142" s="101"/>
      <c r="BP142" s="101"/>
      <c r="BQ142" s="101"/>
      <c r="BR142" s="101"/>
      <c r="BS142" s="101"/>
      <c r="BT142" s="101"/>
      <c r="BU142" s="101"/>
      <c r="BV142" s="101"/>
      <c r="BW142" s="101"/>
      <c r="BX142" s="101"/>
      <c r="BY142" s="101"/>
      <c r="BZ142" s="101"/>
      <c r="CA142" s="101"/>
      <c r="CB142" s="101"/>
      <c r="CC142" s="101"/>
      <c r="CD142" s="101"/>
      <c r="CE142" s="101"/>
      <c r="CF142" s="101"/>
      <c r="CG142" s="101"/>
      <c r="CH142" s="101"/>
      <c r="CI142" s="101"/>
      <c r="CJ142" s="101"/>
      <c r="CK142" s="101"/>
      <c r="CL142" s="101"/>
      <c r="CM142" s="101"/>
      <c r="CN142" s="101"/>
      <c r="CO142" s="101"/>
      <c r="CP142" s="101"/>
      <c r="CQ142" s="101"/>
      <c r="CR142" s="101"/>
      <c r="CS142" s="101"/>
      <c r="CT142" s="101"/>
      <c r="CU142" s="101"/>
      <c r="CV142" s="101"/>
      <c r="CW142" s="101"/>
      <c r="CX142" s="101"/>
      <c r="CY142" s="101"/>
      <c r="CZ142" s="101"/>
      <c r="DA142" s="101"/>
      <c r="DB142" s="101"/>
      <c r="DC142" s="101"/>
      <c r="DD142" s="101"/>
      <c r="DE142" s="101"/>
      <c r="DF142" s="101"/>
      <c r="DG142" s="101"/>
      <c r="DH142" s="101"/>
      <c r="DI142" s="101"/>
      <c r="DJ142" s="101"/>
      <c r="DK142" s="101"/>
      <c r="DL142" s="101"/>
      <c r="DM142" s="101"/>
      <c r="DN142" s="101"/>
      <c r="DO142" s="101"/>
      <c r="DP142" s="101"/>
      <c r="DQ142" s="101"/>
      <c r="DR142" s="101"/>
      <c r="DS142" s="101"/>
      <c r="DT142" s="101"/>
      <c r="DU142" s="101"/>
      <c r="DV142" s="101"/>
      <c r="DW142" s="101"/>
      <c r="DX142" s="101"/>
      <c r="DY142" s="101"/>
      <c r="DZ142" s="101"/>
      <c r="EA142" s="101"/>
      <c r="EB142" s="101"/>
      <c r="EC142" s="101"/>
      <c r="ED142" s="101"/>
      <c r="EE142" s="101"/>
      <c r="EF142" s="101"/>
      <c r="EG142" s="101"/>
      <c r="EH142" s="101"/>
      <c r="EI142" s="101"/>
      <c r="EJ142" s="101"/>
      <c r="EK142" s="101"/>
      <c r="EL142" s="101"/>
      <c r="EM142" s="101"/>
      <c r="EN142" s="101"/>
      <c r="EO142" s="101"/>
      <c r="EP142" s="101"/>
      <c r="EQ142" s="101"/>
      <c r="ER142" s="101"/>
      <c r="ES142" s="101"/>
      <c r="ET142" s="101"/>
      <c r="EU142" s="101"/>
      <c r="EV142" s="101"/>
      <c r="EW142" s="101"/>
      <c r="EX142" s="101"/>
      <c r="EY142" s="101"/>
      <c r="EZ142" s="101"/>
      <c r="FA142" s="101"/>
      <c r="FB142" s="101"/>
      <c r="FC142" s="101"/>
      <c r="FD142" s="101"/>
      <c r="FE142" s="101"/>
      <c r="FF142" s="101"/>
      <c r="FG142" s="101"/>
      <c r="FH142" s="101"/>
      <c r="FI142" s="101"/>
      <c r="FJ142" s="101"/>
      <c r="FK142" s="101"/>
      <c r="FL142" s="101"/>
      <c r="FM142" s="101"/>
      <c r="FN142" s="101"/>
      <c r="FO142" s="101"/>
      <c r="FP142" s="101"/>
      <c r="FQ142" s="101"/>
      <c r="FR142" s="101"/>
      <c r="FS142" s="101"/>
      <c r="FT142" s="101"/>
      <c r="FU142" s="101"/>
      <c r="FV142" s="101"/>
      <c r="FW142" s="101"/>
      <c r="FX142" s="101"/>
      <c r="FY142" s="101"/>
      <c r="FZ142" s="101"/>
      <c r="GA142" s="101"/>
      <c r="GB142" s="101"/>
      <c r="GC142" s="101"/>
      <c r="GD142" s="101"/>
      <c r="GE142" s="101"/>
      <c r="GF142" s="101"/>
      <c r="GG142" s="101"/>
      <c r="GH142" s="101"/>
      <c r="GI142" s="101"/>
      <c r="GJ142" s="101"/>
      <c r="GK142" s="101"/>
      <c r="GL142" s="101"/>
      <c r="GM142" s="101"/>
      <c r="GN142" s="101"/>
      <c r="GO142" s="101"/>
      <c r="GP142" s="101"/>
      <c r="GQ142" s="101"/>
      <c r="GR142" s="101"/>
      <c r="GS142" s="101"/>
      <c r="GT142" s="101"/>
      <c r="GU142" s="101"/>
      <c r="GV142" s="101"/>
      <c r="GW142" s="101"/>
      <c r="GX142" s="101"/>
      <c r="GY142" s="101"/>
      <c r="GZ142" s="101"/>
      <c r="HA142" s="101"/>
      <c r="HB142" s="101"/>
      <c r="HC142" s="101"/>
      <c r="HD142" s="101"/>
      <c r="HE142" s="101"/>
      <c r="HF142" s="101"/>
      <c r="HG142" s="101"/>
      <c r="HH142" s="101"/>
      <c r="HI142" s="101"/>
      <c r="HJ142" s="101"/>
      <c r="HK142" s="101"/>
      <c r="HL142" s="101"/>
      <c r="HM142" s="101"/>
      <c r="HN142" s="101"/>
      <c r="HO142" s="101"/>
      <c r="HP142" s="101"/>
      <c r="HQ142" s="101"/>
      <c r="HR142" s="101"/>
      <c r="HS142" s="101"/>
      <c r="HT142" s="101"/>
      <c r="HU142" s="101"/>
      <c r="HV142" s="101"/>
      <c r="HW142" s="101"/>
      <c r="HX142" s="101"/>
      <c r="HY142" s="101"/>
      <c r="HZ142" s="101"/>
      <c r="IA142" s="101"/>
      <c r="IB142" s="101"/>
      <c r="IC142" s="101"/>
      <c r="ID142" s="101"/>
      <c r="IE142" s="101"/>
      <c r="IF142" s="101"/>
      <c r="IG142" s="101"/>
      <c r="IH142" s="101"/>
      <c r="II142" s="101"/>
      <c r="IJ142" s="101"/>
      <c r="IK142" s="101"/>
      <c r="IL142" s="101"/>
      <c r="IM142" s="101"/>
      <c r="IN142" s="101"/>
      <c r="IO142" s="101"/>
      <c r="IP142" s="101"/>
      <c r="IQ142" s="101"/>
      <c r="IR142" s="101"/>
      <c r="IS142" s="101"/>
      <c r="IT142" s="101"/>
    </row>
    <row r="143" spans="1:254">
      <c r="A143" s="101"/>
      <c r="B143" s="101"/>
      <c r="C143" s="101"/>
      <c r="D143" s="101"/>
      <c r="F143" s="7"/>
      <c r="G143" s="7"/>
      <c r="H143" s="7"/>
      <c r="I143" s="7"/>
      <c r="J143" s="7"/>
      <c r="K143" s="7"/>
      <c r="L143" s="7"/>
      <c r="M143" s="52"/>
      <c r="N143" s="52"/>
      <c r="O143" s="7"/>
      <c r="P143" s="52"/>
      <c r="Q143" s="52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1"/>
      <c r="AN143" s="101"/>
      <c r="AO143" s="101"/>
      <c r="AP143" s="101"/>
      <c r="AQ143" s="101"/>
      <c r="AR143" s="101"/>
      <c r="AS143" s="101"/>
      <c r="AT143" s="101"/>
      <c r="AU143" s="101"/>
      <c r="AV143" s="101"/>
      <c r="AW143" s="101"/>
      <c r="AX143" s="101"/>
      <c r="AY143" s="101"/>
      <c r="AZ143" s="101"/>
      <c r="BA143" s="101"/>
      <c r="BB143" s="101"/>
      <c r="BC143" s="101"/>
      <c r="BD143" s="101"/>
      <c r="BE143" s="101"/>
      <c r="BF143" s="101"/>
      <c r="BG143" s="101"/>
      <c r="BH143" s="101"/>
      <c r="BI143" s="101"/>
      <c r="BJ143" s="101"/>
      <c r="BK143" s="101"/>
      <c r="BL143" s="101"/>
      <c r="BM143" s="101"/>
      <c r="BN143" s="101"/>
      <c r="BO143" s="101"/>
      <c r="BP143" s="101"/>
      <c r="BQ143" s="101"/>
      <c r="BR143" s="101"/>
      <c r="BS143" s="101"/>
      <c r="BT143" s="101"/>
      <c r="BU143" s="101"/>
      <c r="BV143" s="101"/>
      <c r="BW143" s="101"/>
      <c r="BX143" s="101"/>
      <c r="BY143" s="101"/>
      <c r="BZ143" s="101"/>
      <c r="CA143" s="101"/>
      <c r="CB143" s="101"/>
      <c r="CC143" s="101"/>
      <c r="CD143" s="101"/>
      <c r="CE143" s="101"/>
      <c r="CF143" s="101"/>
      <c r="CG143" s="101"/>
      <c r="CH143" s="101"/>
      <c r="CI143" s="101"/>
      <c r="CJ143" s="101"/>
      <c r="CK143" s="101"/>
      <c r="CL143" s="101"/>
      <c r="CM143" s="101"/>
      <c r="CN143" s="101"/>
      <c r="CO143" s="101"/>
      <c r="CP143" s="101"/>
      <c r="CQ143" s="101"/>
      <c r="CR143" s="101"/>
      <c r="CS143" s="101"/>
      <c r="CT143" s="101"/>
      <c r="CU143" s="101"/>
      <c r="CV143" s="101"/>
      <c r="CW143" s="101"/>
      <c r="CX143" s="101"/>
      <c r="CY143" s="101"/>
      <c r="CZ143" s="101"/>
      <c r="DA143" s="101"/>
      <c r="DB143" s="101"/>
      <c r="DC143" s="101"/>
      <c r="DD143" s="101"/>
      <c r="DE143" s="101"/>
      <c r="DF143" s="101"/>
      <c r="DG143" s="101"/>
      <c r="DH143" s="101"/>
      <c r="DI143" s="101"/>
      <c r="DJ143" s="101"/>
      <c r="DK143" s="101"/>
      <c r="DL143" s="101"/>
      <c r="DM143" s="101"/>
      <c r="DN143" s="101"/>
      <c r="DO143" s="101"/>
      <c r="DP143" s="101"/>
      <c r="DQ143" s="101"/>
      <c r="DR143" s="101"/>
      <c r="DS143" s="101"/>
      <c r="DT143" s="101"/>
      <c r="DU143" s="101"/>
      <c r="DV143" s="101"/>
      <c r="DW143" s="101"/>
      <c r="DX143" s="101"/>
      <c r="DY143" s="101"/>
      <c r="DZ143" s="101"/>
      <c r="EA143" s="101"/>
      <c r="EB143" s="101"/>
      <c r="EC143" s="101"/>
      <c r="ED143" s="101"/>
      <c r="EE143" s="101"/>
      <c r="EF143" s="101"/>
      <c r="EG143" s="101"/>
      <c r="EH143" s="101"/>
      <c r="EI143" s="101"/>
      <c r="EJ143" s="101"/>
      <c r="EK143" s="101"/>
      <c r="EL143" s="101"/>
      <c r="EM143" s="101"/>
      <c r="EN143" s="101"/>
      <c r="EO143" s="101"/>
      <c r="EP143" s="101"/>
      <c r="EQ143" s="101"/>
      <c r="ER143" s="101"/>
      <c r="ES143" s="101"/>
      <c r="ET143" s="101"/>
      <c r="EU143" s="101"/>
      <c r="EV143" s="101"/>
      <c r="EW143" s="101"/>
      <c r="EX143" s="101"/>
      <c r="EY143" s="101"/>
      <c r="EZ143" s="101"/>
      <c r="FA143" s="101"/>
      <c r="FB143" s="101"/>
      <c r="FC143" s="101"/>
      <c r="FD143" s="101"/>
      <c r="FE143" s="101"/>
      <c r="FF143" s="101"/>
      <c r="FG143" s="101"/>
      <c r="FH143" s="101"/>
      <c r="FI143" s="101"/>
      <c r="FJ143" s="101"/>
      <c r="FK143" s="101"/>
      <c r="FL143" s="101"/>
      <c r="FM143" s="101"/>
      <c r="FN143" s="101"/>
      <c r="FO143" s="101"/>
      <c r="FP143" s="101"/>
      <c r="FQ143" s="101"/>
      <c r="FR143" s="101"/>
      <c r="FS143" s="101"/>
      <c r="FT143" s="101"/>
      <c r="FU143" s="101"/>
      <c r="FV143" s="101"/>
      <c r="FW143" s="101"/>
      <c r="FX143" s="101"/>
      <c r="FY143" s="101"/>
      <c r="FZ143" s="101"/>
      <c r="GA143" s="101"/>
      <c r="GB143" s="101"/>
      <c r="GC143" s="101"/>
      <c r="GD143" s="101"/>
      <c r="GE143" s="101"/>
      <c r="GF143" s="101"/>
      <c r="GG143" s="101"/>
      <c r="GH143" s="101"/>
      <c r="GI143" s="101"/>
      <c r="GJ143" s="101"/>
      <c r="GK143" s="101"/>
      <c r="GL143" s="101"/>
      <c r="GM143" s="101"/>
      <c r="GN143" s="101"/>
      <c r="GO143" s="101"/>
      <c r="GP143" s="101"/>
      <c r="GQ143" s="101"/>
      <c r="GR143" s="101"/>
      <c r="GS143" s="101"/>
      <c r="GT143" s="101"/>
      <c r="GU143" s="101"/>
      <c r="GV143" s="101"/>
      <c r="GW143" s="101"/>
      <c r="GX143" s="101"/>
      <c r="GY143" s="101"/>
      <c r="GZ143" s="101"/>
      <c r="HA143" s="101"/>
      <c r="HB143" s="101"/>
      <c r="HC143" s="101"/>
      <c r="HD143" s="101"/>
      <c r="HE143" s="101"/>
      <c r="HF143" s="101"/>
      <c r="HG143" s="101"/>
      <c r="HH143" s="101"/>
      <c r="HI143" s="101"/>
      <c r="HJ143" s="101"/>
      <c r="HK143" s="101"/>
      <c r="HL143" s="101"/>
      <c r="HM143" s="101"/>
      <c r="HN143" s="101"/>
      <c r="HO143" s="101"/>
      <c r="HP143" s="101"/>
      <c r="HQ143" s="101"/>
      <c r="HR143" s="101"/>
      <c r="HS143" s="101"/>
      <c r="HT143" s="101"/>
      <c r="HU143" s="101"/>
      <c r="HV143" s="101"/>
      <c r="HW143" s="101"/>
      <c r="HX143" s="101"/>
      <c r="HY143" s="101"/>
      <c r="HZ143" s="101"/>
      <c r="IA143" s="101"/>
      <c r="IB143" s="101"/>
      <c r="IC143" s="101"/>
      <c r="ID143" s="101"/>
      <c r="IE143" s="101"/>
      <c r="IF143" s="101"/>
      <c r="IG143" s="101"/>
      <c r="IH143" s="101"/>
      <c r="II143" s="101"/>
      <c r="IJ143" s="101"/>
      <c r="IK143" s="101"/>
      <c r="IL143" s="101"/>
      <c r="IM143" s="101"/>
      <c r="IN143" s="101"/>
      <c r="IO143" s="101"/>
      <c r="IP143" s="101"/>
      <c r="IQ143" s="101"/>
      <c r="IR143" s="101"/>
      <c r="IS143" s="101"/>
      <c r="IT143" s="101"/>
    </row>
    <row r="144" spans="1:254">
      <c r="A144" s="101"/>
      <c r="B144" s="101"/>
      <c r="C144" s="101"/>
      <c r="D144" s="101"/>
      <c r="F144" s="7"/>
      <c r="G144" s="7"/>
      <c r="H144" s="7"/>
      <c r="I144" s="7"/>
      <c r="J144" s="7"/>
      <c r="K144" s="7"/>
      <c r="L144" s="7"/>
      <c r="M144" s="52"/>
      <c r="N144" s="52"/>
      <c r="O144" s="7"/>
      <c r="P144" s="52"/>
      <c r="Q144" s="52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01"/>
      <c r="AN144" s="101"/>
      <c r="AO144" s="101"/>
      <c r="AP144" s="101"/>
      <c r="AQ144" s="101"/>
      <c r="AR144" s="101"/>
      <c r="AS144" s="101"/>
      <c r="AT144" s="101"/>
      <c r="AU144" s="101"/>
      <c r="AV144" s="101"/>
      <c r="AW144" s="101"/>
      <c r="AX144" s="101"/>
      <c r="AY144" s="101"/>
      <c r="AZ144" s="101"/>
      <c r="BA144" s="101"/>
      <c r="BB144" s="101"/>
      <c r="BC144" s="101"/>
      <c r="BD144" s="101"/>
      <c r="BE144" s="101"/>
      <c r="BF144" s="101"/>
      <c r="BG144" s="101"/>
      <c r="BH144" s="101"/>
      <c r="BI144" s="101"/>
      <c r="BJ144" s="101"/>
      <c r="BK144" s="101"/>
      <c r="BL144" s="101"/>
      <c r="BM144" s="101"/>
      <c r="BN144" s="101"/>
      <c r="BO144" s="101"/>
      <c r="BP144" s="101"/>
      <c r="BQ144" s="101"/>
      <c r="BR144" s="101"/>
      <c r="BS144" s="101"/>
      <c r="BT144" s="101"/>
      <c r="BU144" s="101"/>
      <c r="BV144" s="101"/>
      <c r="BW144" s="101"/>
      <c r="BX144" s="101"/>
      <c r="BY144" s="101"/>
      <c r="BZ144" s="101"/>
      <c r="CA144" s="101"/>
      <c r="CB144" s="101"/>
      <c r="CC144" s="101"/>
      <c r="CD144" s="101"/>
      <c r="CE144" s="101"/>
      <c r="CF144" s="101"/>
      <c r="CG144" s="101"/>
      <c r="CH144" s="101"/>
      <c r="CI144" s="101"/>
      <c r="CJ144" s="101"/>
      <c r="CK144" s="101"/>
      <c r="CL144" s="101"/>
      <c r="CM144" s="101"/>
      <c r="CN144" s="101"/>
      <c r="CO144" s="101"/>
      <c r="CP144" s="101"/>
      <c r="CQ144" s="101"/>
      <c r="CR144" s="101"/>
      <c r="CS144" s="101"/>
      <c r="CT144" s="101"/>
      <c r="CU144" s="101"/>
      <c r="CV144" s="101"/>
      <c r="CW144" s="101"/>
      <c r="CX144" s="101"/>
      <c r="CY144" s="101"/>
      <c r="CZ144" s="101"/>
      <c r="DA144" s="101"/>
      <c r="DB144" s="101"/>
      <c r="DC144" s="101"/>
      <c r="DD144" s="101"/>
      <c r="DE144" s="101"/>
      <c r="DF144" s="101"/>
      <c r="DG144" s="101"/>
      <c r="DH144" s="101"/>
      <c r="DI144" s="101"/>
      <c r="DJ144" s="101"/>
      <c r="DK144" s="101"/>
      <c r="DL144" s="101"/>
      <c r="DM144" s="101"/>
      <c r="DN144" s="101"/>
      <c r="DO144" s="101"/>
      <c r="DP144" s="101"/>
      <c r="DQ144" s="101"/>
      <c r="DR144" s="101"/>
      <c r="DS144" s="101"/>
      <c r="DT144" s="101"/>
      <c r="DU144" s="101"/>
      <c r="DV144" s="101"/>
      <c r="DW144" s="101"/>
      <c r="DX144" s="101"/>
      <c r="DY144" s="101"/>
      <c r="DZ144" s="101"/>
      <c r="EA144" s="101"/>
      <c r="EB144" s="101"/>
      <c r="EC144" s="101"/>
      <c r="ED144" s="101"/>
      <c r="EE144" s="101"/>
      <c r="EF144" s="101"/>
      <c r="EG144" s="101"/>
      <c r="EH144" s="101"/>
      <c r="EI144" s="101"/>
      <c r="EJ144" s="101"/>
      <c r="EK144" s="101"/>
      <c r="EL144" s="101"/>
      <c r="EM144" s="101"/>
      <c r="EN144" s="101"/>
      <c r="EO144" s="101"/>
      <c r="EP144" s="101"/>
      <c r="EQ144" s="101"/>
      <c r="ER144" s="101"/>
      <c r="ES144" s="101"/>
      <c r="ET144" s="101"/>
      <c r="EU144" s="101"/>
      <c r="EV144" s="101"/>
      <c r="EW144" s="101"/>
      <c r="EX144" s="101"/>
      <c r="EY144" s="101"/>
      <c r="EZ144" s="101"/>
      <c r="FA144" s="101"/>
      <c r="FB144" s="101"/>
      <c r="FC144" s="101"/>
      <c r="FD144" s="101"/>
      <c r="FE144" s="101"/>
      <c r="FF144" s="101"/>
      <c r="FG144" s="101"/>
      <c r="FH144" s="101"/>
      <c r="FI144" s="101"/>
      <c r="FJ144" s="101"/>
      <c r="FK144" s="101"/>
      <c r="FL144" s="101"/>
      <c r="FM144" s="101"/>
      <c r="FN144" s="101"/>
      <c r="FO144" s="101"/>
      <c r="FP144" s="101"/>
      <c r="FQ144" s="101"/>
      <c r="FR144" s="101"/>
      <c r="FS144" s="101"/>
      <c r="FT144" s="101"/>
      <c r="FU144" s="101"/>
      <c r="FV144" s="101"/>
      <c r="FW144" s="101"/>
      <c r="FX144" s="101"/>
      <c r="FY144" s="101"/>
      <c r="FZ144" s="101"/>
      <c r="GA144" s="101"/>
      <c r="GB144" s="101"/>
      <c r="GC144" s="101"/>
      <c r="GD144" s="101"/>
      <c r="GE144" s="101"/>
      <c r="GF144" s="101"/>
      <c r="GG144" s="101"/>
      <c r="GH144" s="101"/>
      <c r="GI144" s="101"/>
      <c r="GJ144" s="101"/>
      <c r="GK144" s="101"/>
      <c r="GL144" s="101"/>
      <c r="GM144" s="101"/>
      <c r="GN144" s="101"/>
      <c r="GO144" s="101"/>
      <c r="GP144" s="101"/>
      <c r="GQ144" s="101"/>
      <c r="GR144" s="101"/>
      <c r="GS144" s="101"/>
      <c r="GT144" s="101"/>
      <c r="GU144" s="101"/>
      <c r="GV144" s="101"/>
      <c r="GW144" s="101"/>
      <c r="GX144" s="101"/>
      <c r="GY144" s="101"/>
      <c r="GZ144" s="101"/>
      <c r="HA144" s="101"/>
      <c r="HB144" s="101"/>
      <c r="HC144" s="101"/>
      <c r="HD144" s="101"/>
      <c r="HE144" s="101"/>
      <c r="HF144" s="101"/>
      <c r="HG144" s="101"/>
      <c r="HH144" s="101"/>
      <c r="HI144" s="101"/>
      <c r="HJ144" s="101"/>
      <c r="HK144" s="101"/>
      <c r="HL144" s="101"/>
      <c r="HM144" s="101"/>
      <c r="HN144" s="101"/>
      <c r="HO144" s="101"/>
      <c r="HP144" s="101"/>
      <c r="HQ144" s="101"/>
      <c r="HR144" s="101"/>
      <c r="HS144" s="101"/>
      <c r="HT144" s="101"/>
      <c r="HU144" s="101"/>
      <c r="HV144" s="101"/>
      <c r="HW144" s="101"/>
      <c r="HX144" s="101"/>
      <c r="HY144" s="101"/>
      <c r="HZ144" s="101"/>
      <c r="IA144" s="101"/>
      <c r="IB144" s="101"/>
      <c r="IC144" s="101"/>
      <c r="ID144" s="101"/>
      <c r="IE144" s="101"/>
      <c r="IF144" s="101"/>
      <c r="IG144" s="101"/>
      <c r="IH144" s="101"/>
      <c r="II144" s="101"/>
      <c r="IJ144" s="101"/>
      <c r="IK144" s="101"/>
      <c r="IL144" s="101"/>
      <c r="IM144" s="101"/>
      <c r="IN144" s="101"/>
      <c r="IO144" s="101"/>
      <c r="IP144" s="101"/>
      <c r="IQ144" s="101"/>
      <c r="IR144" s="101"/>
      <c r="IS144" s="101"/>
      <c r="IT144" s="101"/>
    </row>
    <row r="145" spans="1:254">
      <c r="A145" s="101"/>
      <c r="B145" s="101"/>
      <c r="C145" s="101"/>
      <c r="D145" s="101"/>
      <c r="F145" s="7"/>
      <c r="G145" s="7"/>
      <c r="H145" s="7"/>
      <c r="I145" s="7"/>
      <c r="J145" s="7"/>
      <c r="K145" s="7"/>
      <c r="L145" s="7"/>
      <c r="M145" s="52"/>
      <c r="N145" s="52"/>
      <c r="O145" s="7"/>
      <c r="P145" s="52"/>
      <c r="Q145" s="52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  <c r="AN145" s="101"/>
      <c r="AO145" s="101"/>
      <c r="AP145" s="101"/>
      <c r="AQ145" s="101"/>
      <c r="AR145" s="101"/>
      <c r="AS145" s="101"/>
      <c r="AT145" s="101"/>
      <c r="AU145" s="101"/>
      <c r="AV145" s="101"/>
      <c r="AW145" s="101"/>
      <c r="AX145" s="101"/>
      <c r="AY145" s="101"/>
      <c r="AZ145" s="101"/>
      <c r="BA145" s="101"/>
      <c r="BB145" s="101"/>
      <c r="BC145" s="101"/>
      <c r="BD145" s="101"/>
      <c r="BE145" s="101"/>
      <c r="BF145" s="101"/>
      <c r="BG145" s="101"/>
      <c r="BH145" s="101"/>
      <c r="BI145" s="101"/>
      <c r="BJ145" s="101"/>
      <c r="BK145" s="101"/>
      <c r="BL145" s="101"/>
      <c r="BM145" s="101"/>
      <c r="BN145" s="101"/>
      <c r="BO145" s="101"/>
      <c r="BP145" s="101"/>
      <c r="BQ145" s="101"/>
      <c r="BR145" s="101"/>
      <c r="BS145" s="101"/>
      <c r="BT145" s="101"/>
      <c r="BU145" s="101"/>
      <c r="BV145" s="101"/>
      <c r="BW145" s="101"/>
      <c r="BX145" s="101"/>
      <c r="BY145" s="101"/>
      <c r="BZ145" s="101"/>
      <c r="CA145" s="101"/>
      <c r="CB145" s="101"/>
      <c r="CC145" s="101"/>
      <c r="CD145" s="101"/>
      <c r="CE145" s="101"/>
      <c r="CF145" s="101"/>
      <c r="CG145" s="101"/>
      <c r="CH145" s="101"/>
      <c r="CI145" s="101"/>
      <c r="CJ145" s="101"/>
      <c r="CK145" s="101"/>
      <c r="CL145" s="101"/>
      <c r="CM145" s="101"/>
      <c r="CN145" s="101"/>
      <c r="CO145" s="101"/>
      <c r="CP145" s="101"/>
      <c r="CQ145" s="101"/>
      <c r="CR145" s="101"/>
      <c r="CS145" s="101"/>
      <c r="CT145" s="101"/>
      <c r="CU145" s="101"/>
      <c r="CV145" s="101"/>
      <c r="CW145" s="101"/>
      <c r="CX145" s="101"/>
      <c r="CY145" s="101"/>
      <c r="CZ145" s="101"/>
      <c r="DA145" s="101"/>
      <c r="DB145" s="101"/>
      <c r="DC145" s="101"/>
      <c r="DD145" s="101"/>
      <c r="DE145" s="101"/>
      <c r="DF145" s="101"/>
      <c r="DG145" s="101"/>
      <c r="DH145" s="101"/>
      <c r="DI145" s="101"/>
      <c r="DJ145" s="101"/>
      <c r="DK145" s="101"/>
      <c r="DL145" s="101"/>
      <c r="DM145" s="101"/>
      <c r="DN145" s="101"/>
      <c r="DO145" s="101"/>
      <c r="DP145" s="101"/>
      <c r="DQ145" s="101"/>
      <c r="DR145" s="101"/>
      <c r="DS145" s="101"/>
      <c r="DT145" s="101"/>
      <c r="DU145" s="101"/>
      <c r="DV145" s="101"/>
      <c r="DW145" s="101"/>
      <c r="DX145" s="101"/>
      <c r="DY145" s="101"/>
      <c r="DZ145" s="101"/>
      <c r="EA145" s="101"/>
      <c r="EB145" s="101"/>
      <c r="EC145" s="101"/>
      <c r="ED145" s="101"/>
      <c r="EE145" s="101"/>
      <c r="EF145" s="101"/>
      <c r="EG145" s="101"/>
      <c r="EH145" s="101"/>
      <c r="EI145" s="101"/>
      <c r="EJ145" s="101"/>
      <c r="EK145" s="101"/>
      <c r="EL145" s="101"/>
      <c r="EM145" s="101"/>
      <c r="EN145" s="101"/>
      <c r="EO145" s="101"/>
      <c r="EP145" s="101"/>
      <c r="EQ145" s="101"/>
      <c r="ER145" s="101"/>
      <c r="ES145" s="101"/>
      <c r="ET145" s="101"/>
      <c r="EU145" s="101"/>
      <c r="EV145" s="101"/>
      <c r="EW145" s="101"/>
      <c r="EX145" s="101"/>
      <c r="EY145" s="101"/>
      <c r="EZ145" s="101"/>
      <c r="FA145" s="101"/>
      <c r="FB145" s="101"/>
      <c r="FC145" s="101"/>
      <c r="FD145" s="101"/>
      <c r="FE145" s="101"/>
      <c r="FF145" s="101"/>
      <c r="FG145" s="101"/>
      <c r="FH145" s="101"/>
      <c r="FI145" s="101"/>
      <c r="FJ145" s="101"/>
      <c r="FK145" s="101"/>
      <c r="FL145" s="101"/>
      <c r="FM145" s="101"/>
      <c r="FN145" s="101"/>
      <c r="FO145" s="101"/>
      <c r="FP145" s="101"/>
      <c r="FQ145" s="101"/>
      <c r="FR145" s="101"/>
      <c r="FS145" s="101"/>
      <c r="FT145" s="101"/>
      <c r="FU145" s="101"/>
      <c r="FV145" s="101"/>
      <c r="FW145" s="101"/>
      <c r="FX145" s="101"/>
      <c r="FY145" s="101"/>
      <c r="FZ145" s="101"/>
      <c r="GA145" s="101"/>
      <c r="GB145" s="101"/>
      <c r="GC145" s="101"/>
      <c r="GD145" s="101"/>
      <c r="GE145" s="101"/>
      <c r="GF145" s="101"/>
      <c r="GG145" s="101"/>
      <c r="GH145" s="101"/>
      <c r="GI145" s="101"/>
      <c r="GJ145" s="101"/>
      <c r="GK145" s="101"/>
      <c r="GL145" s="101"/>
      <c r="GM145" s="101"/>
      <c r="GN145" s="101"/>
      <c r="GO145" s="101"/>
      <c r="GP145" s="101"/>
      <c r="GQ145" s="101"/>
      <c r="GR145" s="101"/>
      <c r="GS145" s="101"/>
      <c r="GT145" s="101"/>
      <c r="GU145" s="101"/>
      <c r="GV145" s="101"/>
      <c r="GW145" s="101"/>
      <c r="GX145" s="101"/>
      <c r="GY145" s="101"/>
      <c r="GZ145" s="101"/>
      <c r="HA145" s="101"/>
      <c r="HB145" s="101"/>
      <c r="HC145" s="101"/>
      <c r="HD145" s="101"/>
      <c r="HE145" s="101"/>
      <c r="HF145" s="101"/>
      <c r="HG145" s="101"/>
      <c r="HH145" s="101"/>
      <c r="HI145" s="101"/>
      <c r="HJ145" s="101"/>
      <c r="HK145" s="101"/>
      <c r="HL145" s="101"/>
      <c r="HM145" s="101"/>
      <c r="HN145" s="101"/>
      <c r="HO145" s="101"/>
      <c r="HP145" s="101"/>
      <c r="HQ145" s="101"/>
      <c r="HR145" s="101"/>
      <c r="HS145" s="101"/>
      <c r="HT145" s="101"/>
      <c r="HU145" s="101"/>
      <c r="HV145" s="101"/>
      <c r="HW145" s="101"/>
      <c r="HX145" s="101"/>
      <c r="HY145" s="101"/>
      <c r="HZ145" s="101"/>
      <c r="IA145" s="101"/>
      <c r="IB145" s="101"/>
      <c r="IC145" s="101"/>
      <c r="ID145" s="101"/>
      <c r="IE145" s="101"/>
      <c r="IF145" s="101"/>
      <c r="IG145" s="101"/>
      <c r="IH145" s="101"/>
      <c r="II145" s="101"/>
      <c r="IJ145" s="101"/>
      <c r="IK145" s="101"/>
      <c r="IL145" s="101"/>
      <c r="IM145" s="101"/>
      <c r="IN145" s="101"/>
      <c r="IO145" s="101"/>
      <c r="IP145" s="101"/>
      <c r="IQ145" s="101"/>
      <c r="IR145" s="101"/>
      <c r="IS145" s="101"/>
      <c r="IT145" s="101"/>
    </row>
    <row r="146" spans="1:254">
      <c r="A146" s="101"/>
      <c r="B146" s="101"/>
      <c r="C146" s="101"/>
      <c r="D146" s="101"/>
      <c r="F146" s="7"/>
      <c r="G146" s="7"/>
      <c r="H146" s="7"/>
      <c r="I146" s="7"/>
      <c r="J146" s="7"/>
      <c r="K146" s="7"/>
      <c r="L146" s="7"/>
      <c r="M146" s="52"/>
      <c r="N146" s="52"/>
      <c r="O146" s="7"/>
      <c r="P146" s="52"/>
      <c r="Q146" s="52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  <c r="AN146" s="101"/>
      <c r="AO146" s="101"/>
      <c r="AP146" s="101"/>
      <c r="AQ146" s="101"/>
      <c r="AR146" s="101"/>
      <c r="AS146" s="101"/>
      <c r="AT146" s="101"/>
      <c r="AU146" s="101"/>
      <c r="AV146" s="101"/>
      <c r="AW146" s="101"/>
      <c r="AX146" s="101"/>
      <c r="AY146" s="101"/>
      <c r="AZ146" s="101"/>
      <c r="BA146" s="101"/>
      <c r="BB146" s="101"/>
      <c r="BC146" s="101"/>
      <c r="BD146" s="101"/>
      <c r="BE146" s="101"/>
      <c r="BF146" s="101"/>
      <c r="BG146" s="101"/>
      <c r="BH146" s="101"/>
      <c r="BI146" s="101"/>
      <c r="BJ146" s="101"/>
      <c r="BK146" s="101"/>
      <c r="BL146" s="101"/>
      <c r="BM146" s="101"/>
      <c r="BN146" s="101"/>
      <c r="BO146" s="101"/>
      <c r="BP146" s="101"/>
      <c r="BQ146" s="101"/>
      <c r="BR146" s="101"/>
      <c r="BS146" s="101"/>
      <c r="BT146" s="101"/>
      <c r="BU146" s="101"/>
      <c r="BV146" s="101"/>
      <c r="BW146" s="101"/>
      <c r="BX146" s="101"/>
      <c r="BY146" s="101"/>
      <c r="BZ146" s="101"/>
      <c r="CA146" s="101"/>
      <c r="CB146" s="101"/>
      <c r="CC146" s="101"/>
      <c r="CD146" s="101"/>
      <c r="CE146" s="101"/>
      <c r="CF146" s="101"/>
      <c r="CG146" s="101"/>
      <c r="CH146" s="101"/>
      <c r="CI146" s="101"/>
      <c r="CJ146" s="101"/>
      <c r="CK146" s="101"/>
      <c r="CL146" s="101"/>
      <c r="CM146" s="101"/>
      <c r="CN146" s="101"/>
      <c r="CO146" s="101"/>
      <c r="CP146" s="101"/>
      <c r="CQ146" s="101"/>
      <c r="CR146" s="101"/>
      <c r="CS146" s="101"/>
      <c r="CT146" s="101"/>
      <c r="CU146" s="101"/>
      <c r="CV146" s="101"/>
      <c r="CW146" s="101"/>
      <c r="CX146" s="101"/>
      <c r="CY146" s="101"/>
      <c r="CZ146" s="101"/>
      <c r="DA146" s="101"/>
      <c r="DB146" s="101"/>
      <c r="DC146" s="101"/>
      <c r="DD146" s="101"/>
      <c r="DE146" s="101"/>
      <c r="DF146" s="101"/>
      <c r="DG146" s="101"/>
      <c r="DH146" s="101"/>
      <c r="DI146" s="101"/>
      <c r="DJ146" s="101"/>
      <c r="DK146" s="101"/>
      <c r="DL146" s="101"/>
      <c r="DM146" s="101"/>
      <c r="DN146" s="101"/>
      <c r="DO146" s="101"/>
      <c r="DP146" s="101"/>
      <c r="DQ146" s="101"/>
      <c r="DR146" s="101"/>
      <c r="DS146" s="101"/>
      <c r="DT146" s="101"/>
      <c r="DU146" s="101"/>
      <c r="DV146" s="101"/>
      <c r="DW146" s="101"/>
      <c r="DX146" s="101"/>
      <c r="DY146" s="101"/>
      <c r="DZ146" s="101"/>
      <c r="EA146" s="101"/>
      <c r="EB146" s="101"/>
      <c r="EC146" s="101"/>
      <c r="ED146" s="101"/>
      <c r="EE146" s="101"/>
      <c r="EF146" s="101"/>
      <c r="EG146" s="101"/>
      <c r="EH146" s="101"/>
      <c r="EI146" s="101"/>
      <c r="EJ146" s="101"/>
      <c r="EK146" s="101"/>
      <c r="EL146" s="101"/>
      <c r="EM146" s="101"/>
      <c r="EN146" s="101"/>
      <c r="EO146" s="101"/>
      <c r="EP146" s="101"/>
      <c r="EQ146" s="101"/>
      <c r="ER146" s="101"/>
      <c r="ES146" s="101"/>
      <c r="ET146" s="101"/>
      <c r="EU146" s="101"/>
      <c r="EV146" s="101"/>
      <c r="EW146" s="101"/>
      <c r="EX146" s="101"/>
      <c r="EY146" s="101"/>
      <c r="EZ146" s="101"/>
      <c r="FA146" s="101"/>
      <c r="FB146" s="101"/>
      <c r="FC146" s="101"/>
      <c r="FD146" s="101"/>
      <c r="FE146" s="101"/>
      <c r="FF146" s="101"/>
      <c r="FG146" s="101"/>
      <c r="FH146" s="101"/>
      <c r="FI146" s="101"/>
      <c r="FJ146" s="101"/>
      <c r="FK146" s="101"/>
      <c r="FL146" s="101"/>
      <c r="FM146" s="101"/>
      <c r="FN146" s="101"/>
      <c r="FO146" s="101"/>
      <c r="FP146" s="101"/>
      <c r="FQ146" s="101"/>
      <c r="FR146" s="101"/>
      <c r="FS146" s="101"/>
      <c r="FT146" s="101"/>
      <c r="FU146" s="101"/>
      <c r="FV146" s="101"/>
      <c r="FW146" s="101"/>
      <c r="FX146" s="101"/>
      <c r="FY146" s="101"/>
      <c r="FZ146" s="101"/>
      <c r="GA146" s="101"/>
      <c r="GB146" s="101"/>
      <c r="GC146" s="101"/>
      <c r="GD146" s="101"/>
      <c r="GE146" s="101"/>
      <c r="GF146" s="101"/>
      <c r="GG146" s="101"/>
      <c r="GH146" s="101"/>
      <c r="GI146" s="101"/>
      <c r="GJ146" s="101"/>
      <c r="GK146" s="101"/>
      <c r="GL146" s="101"/>
      <c r="GM146" s="101"/>
      <c r="GN146" s="101"/>
      <c r="GO146" s="101"/>
      <c r="GP146" s="101"/>
      <c r="GQ146" s="101"/>
      <c r="GR146" s="101"/>
      <c r="GS146" s="101"/>
      <c r="GT146" s="101"/>
      <c r="GU146" s="101"/>
      <c r="GV146" s="101"/>
      <c r="GW146" s="101"/>
      <c r="GX146" s="101"/>
      <c r="GY146" s="101"/>
      <c r="GZ146" s="101"/>
      <c r="HA146" s="101"/>
      <c r="HB146" s="101"/>
      <c r="HC146" s="101"/>
      <c r="HD146" s="101"/>
      <c r="HE146" s="101"/>
      <c r="HF146" s="101"/>
      <c r="HG146" s="101"/>
      <c r="HH146" s="101"/>
      <c r="HI146" s="101"/>
      <c r="HJ146" s="101"/>
      <c r="HK146" s="101"/>
      <c r="HL146" s="101"/>
      <c r="HM146" s="101"/>
      <c r="HN146" s="101"/>
      <c r="HO146" s="101"/>
      <c r="HP146" s="101"/>
      <c r="HQ146" s="101"/>
      <c r="HR146" s="101"/>
      <c r="HS146" s="101"/>
      <c r="HT146" s="101"/>
      <c r="HU146" s="101"/>
      <c r="HV146" s="101"/>
      <c r="HW146" s="101"/>
      <c r="HX146" s="101"/>
      <c r="HY146" s="101"/>
      <c r="HZ146" s="101"/>
      <c r="IA146" s="101"/>
      <c r="IB146" s="101"/>
      <c r="IC146" s="101"/>
      <c r="ID146" s="101"/>
      <c r="IE146" s="101"/>
      <c r="IF146" s="101"/>
      <c r="IG146" s="101"/>
      <c r="IH146" s="101"/>
      <c r="II146" s="101"/>
      <c r="IJ146" s="101"/>
      <c r="IK146" s="101"/>
      <c r="IL146" s="101"/>
      <c r="IM146" s="101"/>
      <c r="IN146" s="101"/>
      <c r="IO146" s="101"/>
      <c r="IP146" s="101"/>
      <c r="IQ146" s="101"/>
      <c r="IR146" s="101"/>
      <c r="IS146" s="101"/>
      <c r="IT146" s="101"/>
    </row>
    <row r="147" spans="1:254">
      <c r="A147" s="101"/>
      <c r="B147" s="101"/>
      <c r="C147" s="101"/>
      <c r="D147" s="101"/>
      <c r="F147" s="7"/>
      <c r="G147" s="7"/>
      <c r="H147" s="7"/>
      <c r="I147" s="7"/>
      <c r="J147" s="7"/>
      <c r="K147" s="7"/>
      <c r="L147" s="7"/>
      <c r="M147" s="52"/>
      <c r="N147" s="52"/>
      <c r="O147" s="7"/>
      <c r="P147" s="52"/>
      <c r="Q147" s="52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  <c r="AN147" s="101"/>
      <c r="AO147" s="101"/>
      <c r="AP147" s="101"/>
      <c r="AQ147" s="101"/>
      <c r="AR147" s="101"/>
      <c r="AS147" s="101"/>
      <c r="AT147" s="101"/>
      <c r="AU147" s="101"/>
      <c r="AV147" s="101"/>
      <c r="AW147" s="101"/>
      <c r="AX147" s="101"/>
      <c r="AY147" s="101"/>
      <c r="AZ147" s="101"/>
      <c r="BA147" s="101"/>
      <c r="BB147" s="101"/>
      <c r="BC147" s="101"/>
      <c r="BD147" s="101"/>
      <c r="BE147" s="101"/>
      <c r="BF147" s="101"/>
      <c r="BG147" s="101"/>
      <c r="BH147" s="101"/>
      <c r="BI147" s="101"/>
      <c r="BJ147" s="101"/>
      <c r="BK147" s="101"/>
      <c r="BL147" s="101"/>
      <c r="BM147" s="101"/>
      <c r="BN147" s="101"/>
      <c r="BO147" s="101"/>
      <c r="BP147" s="101"/>
      <c r="BQ147" s="101"/>
      <c r="BR147" s="101"/>
      <c r="BS147" s="101"/>
      <c r="BT147" s="101"/>
      <c r="BU147" s="101"/>
      <c r="BV147" s="101"/>
      <c r="BW147" s="101"/>
      <c r="BX147" s="101"/>
      <c r="BY147" s="101"/>
      <c r="BZ147" s="101"/>
      <c r="CA147" s="101"/>
      <c r="CB147" s="101"/>
      <c r="CC147" s="101"/>
      <c r="CD147" s="101"/>
      <c r="CE147" s="101"/>
      <c r="CF147" s="101"/>
      <c r="CG147" s="101"/>
      <c r="CH147" s="101"/>
      <c r="CI147" s="101"/>
      <c r="CJ147" s="101"/>
      <c r="CK147" s="101"/>
      <c r="CL147" s="101"/>
      <c r="CM147" s="101"/>
      <c r="CN147" s="101"/>
      <c r="CO147" s="101"/>
      <c r="CP147" s="101"/>
      <c r="CQ147" s="101"/>
      <c r="CR147" s="101"/>
      <c r="CS147" s="101"/>
      <c r="CT147" s="101"/>
      <c r="CU147" s="101"/>
      <c r="CV147" s="101"/>
      <c r="CW147" s="101"/>
      <c r="CX147" s="101"/>
      <c r="CY147" s="101"/>
      <c r="CZ147" s="101"/>
      <c r="DA147" s="101"/>
      <c r="DB147" s="101"/>
      <c r="DC147" s="101"/>
      <c r="DD147" s="101"/>
      <c r="DE147" s="101"/>
      <c r="DF147" s="101"/>
      <c r="DG147" s="101"/>
      <c r="DH147" s="101"/>
      <c r="DI147" s="101"/>
      <c r="DJ147" s="101"/>
      <c r="DK147" s="101"/>
      <c r="DL147" s="101"/>
      <c r="DM147" s="101"/>
      <c r="DN147" s="101"/>
      <c r="DO147" s="101"/>
      <c r="DP147" s="101"/>
      <c r="DQ147" s="101"/>
      <c r="DR147" s="101"/>
      <c r="DS147" s="101"/>
      <c r="DT147" s="101"/>
      <c r="DU147" s="101"/>
      <c r="DV147" s="101"/>
      <c r="DW147" s="101"/>
      <c r="DX147" s="101"/>
      <c r="DY147" s="101"/>
      <c r="DZ147" s="101"/>
      <c r="EA147" s="101"/>
      <c r="EB147" s="101"/>
      <c r="EC147" s="101"/>
      <c r="ED147" s="101"/>
      <c r="EE147" s="101"/>
      <c r="EF147" s="101"/>
      <c r="EG147" s="101"/>
      <c r="EH147" s="101"/>
      <c r="EI147" s="101"/>
      <c r="EJ147" s="101"/>
      <c r="EK147" s="101"/>
      <c r="EL147" s="101"/>
      <c r="EM147" s="101"/>
      <c r="EN147" s="101"/>
      <c r="EO147" s="101"/>
      <c r="EP147" s="101"/>
      <c r="EQ147" s="101"/>
      <c r="ER147" s="101"/>
      <c r="ES147" s="101"/>
      <c r="ET147" s="101"/>
      <c r="EU147" s="101"/>
      <c r="EV147" s="101"/>
      <c r="EW147" s="101"/>
      <c r="EX147" s="101"/>
      <c r="EY147" s="101"/>
      <c r="EZ147" s="101"/>
      <c r="FA147" s="101"/>
      <c r="FB147" s="101"/>
      <c r="FC147" s="101"/>
      <c r="FD147" s="101"/>
      <c r="FE147" s="101"/>
      <c r="FF147" s="101"/>
      <c r="FG147" s="101"/>
      <c r="FH147" s="101"/>
      <c r="FI147" s="101"/>
      <c r="FJ147" s="101"/>
      <c r="FK147" s="101"/>
      <c r="FL147" s="101"/>
      <c r="FM147" s="101"/>
      <c r="FN147" s="101"/>
      <c r="FO147" s="101"/>
      <c r="FP147" s="101"/>
      <c r="FQ147" s="101"/>
      <c r="FR147" s="101"/>
      <c r="FS147" s="101"/>
      <c r="FT147" s="101"/>
      <c r="FU147" s="101"/>
      <c r="FV147" s="101"/>
      <c r="FW147" s="101"/>
      <c r="FX147" s="101"/>
      <c r="FY147" s="101"/>
      <c r="FZ147" s="101"/>
      <c r="GA147" s="101"/>
      <c r="GB147" s="101"/>
      <c r="GC147" s="101"/>
      <c r="GD147" s="101"/>
      <c r="GE147" s="101"/>
      <c r="GF147" s="101"/>
      <c r="GG147" s="101"/>
      <c r="GH147" s="101"/>
      <c r="GI147" s="101"/>
      <c r="GJ147" s="101"/>
      <c r="GK147" s="101"/>
      <c r="GL147" s="101"/>
      <c r="GM147" s="101"/>
      <c r="GN147" s="101"/>
      <c r="GO147" s="101"/>
      <c r="GP147" s="101"/>
      <c r="GQ147" s="101"/>
      <c r="GR147" s="101"/>
      <c r="GS147" s="101"/>
      <c r="GT147" s="101"/>
      <c r="GU147" s="101"/>
      <c r="GV147" s="101"/>
      <c r="GW147" s="101"/>
      <c r="GX147" s="101"/>
      <c r="GY147" s="101"/>
      <c r="GZ147" s="101"/>
      <c r="HA147" s="101"/>
      <c r="HB147" s="101"/>
      <c r="HC147" s="101"/>
      <c r="HD147" s="101"/>
      <c r="HE147" s="101"/>
      <c r="HF147" s="101"/>
      <c r="HG147" s="101"/>
      <c r="HH147" s="101"/>
      <c r="HI147" s="101"/>
      <c r="HJ147" s="101"/>
      <c r="HK147" s="101"/>
      <c r="HL147" s="101"/>
      <c r="HM147" s="101"/>
      <c r="HN147" s="101"/>
      <c r="HO147" s="101"/>
      <c r="HP147" s="101"/>
      <c r="HQ147" s="101"/>
      <c r="HR147" s="101"/>
      <c r="HS147" s="101"/>
      <c r="HT147" s="101"/>
      <c r="HU147" s="101"/>
      <c r="HV147" s="101"/>
      <c r="HW147" s="101"/>
      <c r="HX147" s="101"/>
      <c r="HY147" s="101"/>
      <c r="HZ147" s="101"/>
      <c r="IA147" s="101"/>
      <c r="IB147" s="101"/>
      <c r="IC147" s="101"/>
      <c r="ID147" s="101"/>
      <c r="IE147" s="101"/>
      <c r="IF147" s="101"/>
      <c r="IG147" s="101"/>
      <c r="IH147" s="101"/>
      <c r="II147" s="101"/>
      <c r="IJ147" s="101"/>
      <c r="IK147" s="101"/>
      <c r="IL147" s="101"/>
      <c r="IM147" s="101"/>
      <c r="IN147" s="101"/>
      <c r="IO147" s="101"/>
      <c r="IP147" s="101"/>
      <c r="IQ147" s="101"/>
      <c r="IR147" s="101"/>
      <c r="IS147" s="101"/>
      <c r="IT147" s="101"/>
    </row>
    <row r="148" spans="1:254">
      <c r="A148" s="101"/>
      <c r="B148" s="101"/>
      <c r="C148" s="101"/>
      <c r="D148" s="101"/>
      <c r="F148" s="7"/>
      <c r="G148" s="7"/>
      <c r="H148" s="7"/>
      <c r="I148" s="7"/>
      <c r="J148" s="7"/>
      <c r="K148" s="7"/>
      <c r="L148" s="7"/>
      <c r="M148" s="52"/>
      <c r="N148" s="52"/>
      <c r="O148" s="7"/>
      <c r="P148" s="52"/>
      <c r="Q148" s="52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  <c r="AK148" s="101"/>
      <c r="AL148" s="101"/>
      <c r="AM148" s="101"/>
      <c r="AN148" s="101"/>
      <c r="AO148" s="101"/>
      <c r="AP148" s="101"/>
      <c r="AQ148" s="101"/>
      <c r="AR148" s="101"/>
      <c r="AS148" s="101"/>
      <c r="AT148" s="101"/>
      <c r="AU148" s="101"/>
      <c r="AV148" s="101"/>
      <c r="AW148" s="101"/>
      <c r="AX148" s="101"/>
      <c r="AY148" s="101"/>
      <c r="AZ148" s="101"/>
      <c r="BA148" s="101"/>
      <c r="BB148" s="101"/>
      <c r="BC148" s="101"/>
      <c r="BD148" s="101"/>
      <c r="BE148" s="101"/>
      <c r="BF148" s="101"/>
      <c r="BG148" s="101"/>
      <c r="BH148" s="101"/>
      <c r="BI148" s="101"/>
      <c r="BJ148" s="101"/>
      <c r="BK148" s="101"/>
      <c r="BL148" s="101"/>
      <c r="BM148" s="101"/>
      <c r="BN148" s="101"/>
      <c r="BO148" s="101"/>
      <c r="BP148" s="101"/>
      <c r="BQ148" s="101"/>
      <c r="BR148" s="101"/>
      <c r="BS148" s="101"/>
      <c r="BT148" s="101"/>
      <c r="BU148" s="101"/>
      <c r="BV148" s="101"/>
      <c r="BW148" s="101"/>
      <c r="BX148" s="101"/>
      <c r="BY148" s="101"/>
      <c r="BZ148" s="101"/>
      <c r="CA148" s="101"/>
      <c r="CB148" s="101"/>
      <c r="CC148" s="101"/>
      <c r="CD148" s="101"/>
      <c r="CE148" s="101"/>
      <c r="CF148" s="101"/>
      <c r="CG148" s="101"/>
      <c r="CH148" s="101"/>
      <c r="CI148" s="101"/>
      <c r="CJ148" s="101"/>
      <c r="CK148" s="101"/>
      <c r="CL148" s="101"/>
      <c r="CM148" s="101"/>
      <c r="CN148" s="101"/>
      <c r="CO148" s="101"/>
      <c r="CP148" s="101"/>
      <c r="CQ148" s="101"/>
      <c r="CR148" s="101"/>
      <c r="CS148" s="101"/>
      <c r="CT148" s="101"/>
      <c r="CU148" s="101"/>
      <c r="CV148" s="101"/>
      <c r="CW148" s="101"/>
      <c r="CX148" s="101"/>
      <c r="CY148" s="101"/>
      <c r="CZ148" s="101"/>
      <c r="DA148" s="101"/>
      <c r="DB148" s="101"/>
      <c r="DC148" s="101"/>
      <c r="DD148" s="101"/>
      <c r="DE148" s="101"/>
      <c r="DF148" s="101"/>
      <c r="DG148" s="101"/>
      <c r="DH148" s="101"/>
      <c r="DI148" s="101"/>
      <c r="DJ148" s="101"/>
      <c r="DK148" s="101"/>
      <c r="DL148" s="101"/>
      <c r="DM148" s="101"/>
      <c r="DN148" s="101"/>
      <c r="DO148" s="101"/>
      <c r="DP148" s="101"/>
      <c r="DQ148" s="101"/>
      <c r="DR148" s="101"/>
      <c r="DS148" s="101"/>
      <c r="DT148" s="101"/>
      <c r="DU148" s="101"/>
      <c r="DV148" s="101"/>
      <c r="DW148" s="101"/>
      <c r="DX148" s="101"/>
      <c r="DY148" s="101"/>
      <c r="DZ148" s="101"/>
      <c r="EA148" s="101"/>
      <c r="EB148" s="101"/>
      <c r="EC148" s="101"/>
      <c r="ED148" s="101"/>
      <c r="EE148" s="101"/>
      <c r="EF148" s="101"/>
      <c r="EG148" s="101"/>
      <c r="EH148" s="101"/>
      <c r="EI148" s="101"/>
      <c r="EJ148" s="101"/>
      <c r="EK148" s="101"/>
      <c r="EL148" s="101"/>
      <c r="EM148" s="101"/>
      <c r="EN148" s="101"/>
      <c r="EO148" s="101"/>
      <c r="EP148" s="101"/>
      <c r="EQ148" s="101"/>
      <c r="ER148" s="101"/>
      <c r="ES148" s="101"/>
      <c r="ET148" s="101"/>
      <c r="EU148" s="101"/>
      <c r="EV148" s="101"/>
      <c r="EW148" s="101"/>
      <c r="EX148" s="101"/>
      <c r="EY148" s="101"/>
      <c r="EZ148" s="101"/>
      <c r="FA148" s="101"/>
      <c r="FB148" s="101"/>
      <c r="FC148" s="101"/>
      <c r="FD148" s="101"/>
      <c r="FE148" s="101"/>
      <c r="FF148" s="101"/>
      <c r="FG148" s="101"/>
      <c r="FH148" s="101"/>
      <c r="FI148" s="101"/>
      <c r="FJ148" s="101"/>
      <c r="FK148" s="101"/>
      <c r="FL148" s="101"/>
      <c r="FM148" s="101"/>
      <c r="FN148" s="101"/>
      <c r="FO148" s="101"/>
      <c r="FP148" s="101"/>
      <c r="FQ148" s="101"/>
      <c r="FR148" s="101"/>
      <c r="FS148" s="101"/>
      <c r="FT148" s="101"/>
      <c r="FU148" s="101"/>
      <c r="FV148" s="101"/>
      <c r="FW148" s="101"/>
      <c r="FX148" s="101"/>
      <c r="FY148" s="101"/>
      <c r="FZ148" s="101"/>
      <c r="GA148" s="101"/>
      <c r="GB148" s="101"/>
      <c r="GC148" s="101"/>
      <c r="GD148" s="101"/>
      <c r="GE148" s="101"/>
      <c r="GF148" s="101"/>
      <c r="GG148" s="101"/>
      <c r="GH148" s="101"/>
      <c r="GI148" s="101"/>
      <c r="GJ148" s="101"/>
      <c r="GK148" s="101"/>
      <c r="GL148" s="101"/>
      <c r="GM148" s="101"/>
      <c r="GN148" s="101"/>
      <c r="GO148" s="101"/>
      <c r="GP148" s="101"/>
      <c r="GQ148" s="101"/>
      <c r="GR148" s="101"/>
      <c r="GS148" s="101"/>
      <c r="GT148" s="101"/>
      <c r="GU148" s="101"/>
      <c r="GV148" s="101"/>
      <c r="GW148" s="101"/>
      <c r="GX148" s="101"/>
      <c r="GY148" s="101"/>
      <c r="GZ148" s="101"/>
      <c r="HA148" s="101"/>
      <c r="HB148" s="101"/>
      <c r="HC148" s="101"/>
      <c r="HD148" s="101"/>
      <c r="HE148" s="101"/>
      <c r="HF148" s="101"/>
      <c r="HG148" s="101"/>
      <c r="HH148" s="101"/>
      <c r="HI148" s="101"/>
      <c r="HJ148" s="101"/>
      <c r="HK148" s="101"/>
      <c r="HL148" s="101"/>
      <c r="HM148" s="101"/>
      <c r="HN148" s="101"/>
      <c r="HO148" s="101"/>
      <c r="HP148" s="101"/>
      <c r="HQ148" s="101"/>
      <c r="HR148" s="101"/>
      <c r="HS148" s="101"/>
      <c r="HT148" s="101"/>
      <c r="HU148" s="101"/>
      <c r="HV148" s="101"/>
      <c r="HW148" s="101"/>
      <c r="HX148" s="101"/>
      <c r="HY148" s="101"/>
      <c r="HZ148" s="101"/>
      <c r="IA148" s="101"/>
      <c r="IB148" s="101"/>
      <c r="IC148" s="101"/>
      <c r="ID148" s="101"/>
      <c r="IE148" s="101"/>
      <c r="IF148" s="101"/>
      <c r="IG148" s="101"/>
      <c r="IH148" s="101"/>
      <c r="II148" s="101"/>
      <c r="IJ148" s="101"/>
      <c r="IK148" s="101"/>
      <c r="IL148" s="101"/>
      <c r="IM148" s="101"/>
      <c r="IN148" s="101"/>
      <c r="IO148" s="101"/>
      <c r="IP148" s="101"/>
      <c r="IQ148" s="101"/>
      <c r="IR148" s="101"/>
      <c r="IS148" s="101"/>
      <c r="IT148" s="101"/>
    </row>
    <row r="149" spans="1:254">
      <c r="A149" s="101"/>
      <c r="B149" s="101"/>
      <c r="C149" s="101"/>
      <c r="D149" s="101"/>
      <c r="F149" s="7"/>
      <c r="G149" s="7"/>
      <c r="H149" s="7"/>
      <c r="I149" s="7"/>
      <c r="J149" s="7"/>
      <c r="K149" s="7"/>
      <c r="L149" s="7"/>
      <c r="M149" s="52"/>
      <c r="N149" s="52"/>
      <c r="O149" s="7"/>
      <c r="P149" s="52"/>
      <c r="Q149" s="52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1"/>
      <c r="AR149" s="101"/>
      <c r="AS149" s="101"/>
      <c r="AT149" s="101"/>
      <c r="AU149" s="101"/>
      <c r="AV149" s="101"/>
      <c r="AW149" s="101"/>
      <c r="AX149" s="101"/>
      <c r="AY149" s="101"/>
      <c r="AZ149" s="101"/>
      <c r="BA149" s="101"/>
      <c r="BB149" s="101"/>
      <c r="BC149" s="101"/>
      <c r="BD149" s="101"/>
      <c r="BE149" s="101"/>
      <c r="BF149" s="101"/>
      <c r="BG149" s="101"/>
      <c r="BH149" s="101"/>
      <c r="BI149" s="101"/>
      <c r="BJ149" s="101"/>
      <c r="BK149" s="101"/>
      <c r="BL149" s="101"/>
      <c r="BM149" s="101"/>
      <c r="BN149" s="101"/>
      <c r="BO149" s="101"/>
      <c r="BP149" s="101"/>
      <c r="BQ149" s="101"/>
      <c r="BR149" s="101"/>
      <c r="BS149" s="101"/>
      <c r="BT149" s="101"/>
      <c r="BU149" s="101"/>
      <c r="BV149" s="101"/>
      <c r="BW149" s="101"/>
      <c r="BX149" s="101"/>
      <c r="BY149" s="101"/>
      <c r="BZ149" s="101"/>
      <c r="CA149" s="101"/>
      <c r="CB149" s="101"/>
      <c r="CC149" s="101"/>
      <c r="CD149" s="101"/>
      <c r="CE149" s="101"/>
      <c r="CF149" s="101"/>
      <c r="CG149" s="101"/>
      <c r="CH149" s="101"/>
      <c r="CI149" s="101"/>
      <c r="CJ149" s="101"/>
      <c r="CK149" s="101"/>
      <c r="CL149" s="101"/>
      <c r="CM149" s="101"/>
      <c r="CN149" s="101"/>
      <c r="CO149" s="101"/>
      <c r="CP149" s="101"/>
      <c r="CQ149" s="101"/>
      <c r="CR149" s="101"/>
      <c r="CS149" s="101"/>
      <c r="CT149" s="101"/>
      <c r="CU149" s="101"/>
      <c r="CV149" s="101"/>
      <c r="CW149" s="101"/>
      <c r="CX149" s="101"/>
      <c r="CY149" s="101"/>
      <c r="CZ149" s="101"/>
      <c r="DA149" s="101"/>
      <c r="DB149" s="101"/>
      <c r="DC149" s="101"/>
      <c r="DD149" s="101"/>
      <c r="DE149" s="101"/>
      <c r="DF149" s="101"/>
      <c r="DG149" s="101"/>
      <c r="DH149" s="101"/>
      <c r="DI149" s="101"/>
      <c r="DJ149" s="101"/>
      <c r="DK149" s="101"/>
      <c r="DL149" s="101"/>
      <c r="DM149" s="101"/>
      <c r="DN149" s="101"/>
      <c r="DO149" s="101"/>
      <c r="DP149" s="101"/>
      <c r="DQ149" s="101"/>
      <c r="DR149" s="101"/>
      <c r="DS149" s="101"/>
      <c r="DT149" s="101"/>
      <c r="DU149" s="101"/>
      <c r="DV149" s="101"/>
      <c r="DW149" s="101"/>
      <c r="DX149" s="101"/>
      <c r="DY149" s="101"/>
      <c r="DZ149" s="101"/>
      <c r="EA149" s="101"/>
      <c r="EB149" s="101"/>
      <c r="EC149" s="101"/>
      <c r="ED149" s="101"/>
      <c r="EE149" s="101"/>
      <c r="EF149" s="101"/>
      <c r="EG149" s="101"/>
      <c r="EH149" s="101"/>
      <c r="EI149" s="101"/>
      <c r="EJ149" s="101"/>
      <c r="EK149" s="101"/>
      <c r="EL149" s="101"/>
      <c r="EM149" s="101"/>
      <c r="EN149" s="101"/>
      <c r="EO149" s="101"/>
      <c r="EP149" s="101"/>
      <c r="EQ149" s="101"/>
      <c r="ER149" s="101"/>
      <c r="ES149" s="101"/>
      <c r="ET149" s="101"/>
      <c r="EU149" s="101"/>
      <c r="EV149" s="101"/>
      <c r="EW149" s="101"/>
      <c r="EX149" s="101"/>
      <c r="EY149" s="101"/>
      <c r="EZ149" s="101"/>
      <c r="FA149" s="101"/>
      <c r="FB149" s="101"/>
      <c r="FC149" s="101"/>
      <c r="FD149" s="101"/>
      <c r="FE149" s="101"/>
      <c r="FF149" s="101"/>
      <c r="FG149" s="101"/>
      <c r="FH149" s="101"/>
      <c r="FI149" s="101"/>
      <c r="FJ149" s="101"/>
      <c r="FK149" s="101"/>
      <c r="FL149" s="101"/>
      <c r="FM149" s="101"/>
      <c r="FN149" s="101"/>
      <c r="FO149" s="101"/>
      <c r="FP149" s="101"/>
      <c r="FQ149" s="101"/>
      <c r="FR149" s="101"/>
      <c r="FS149" s="101"/>
      <c r="FT149" s="101"/>
      <c r="FU149" s="101"/>
      <c r="FV149" s="101"/>
      <c r="FW149" s="101"/>
      <c r="FX149" s="101"/>
      <c r="FY149" s="101"/>
      <c r="FZ149" s="101"/>
      <c r="GA149" s="101"/>
      <c r="GB149" s="101"/>
      <c r="GC149" s="101"/>
      <c r="GD149" s="101"/>
      <c r="GE149" s="101"/>
      <c r="GF149" s="101"/>
      <c r="GG149" s="101"/>
      <c r="GH149" s="101"/>
      <c r="GI149" s="101"/>
      <c r="GJ149" s="101"/>
      <c r="GK149" s="101"/>
      <c r="GL149" s="101"/>
      <c r="GM149" s="101"/>
      <c r="GN149" s="101"/>
      <c r="GO149" s="101"/>
      <c r="GP149" s="101"/>
      <c r="GQ149" s="101"/>
      <c r="GR149" s="101"/>
      <c r="GS149" s="101"/>
      <c r="GT149" s="101"/>
      <c r="GU149" s="101"/>
      <c r="GV149" s="101"/>
      <c r="GW149" s="101"/>
      <c r="GX149" s="101"/>
      <c r="GY149" s="101"/>
      <c r="GZ149" s="101"/>
      <c r="HA149" s="101"/>
      <c r="HB149" s="101"/>
      <c r="HC149" s="101"/>
      <c r="HD149" s="101"/>
      <c r="HE149" s="101"/>
      <c r="HF149" s="101"/>
      <c r="HG149" s="101"/>
      <c r="HH149" s="101"/>
      <c r="HI149" s="101"/>
      <c r="HJ149" s="101"/>
      <c r="HK149" s="101"/>
      <c r="HL149" s="101"/>
      <c r="HM149" s="101"/>
      <c r="HN149" s="101"/>
      <c r="HO149" s="101"/>
      <c r="HP149" s="101"/>
      <c r="HQ149" s="101"/>
      <c r="HR149" s="101"/>
      <c r="HS149" s="101"/>
      <c r="HT149" s="101"/>
      <c r="HU149" s="101"/>
      <c r="HV149" s="101"/>
      <c r="HW149" s="101"/>
      <c r="HX149" s="101"/>
      <c r="HY149" s="101"/>
      <c r="HZ149" s="101"/>
      <c r="IA149" s="101"/>
      <c r="IB149" s="101"/>
      <c r="IC149" s="101"/>
      <c r="ID149" s="101"/>
      <c r="IE149" s="101"/>
      <c r="IF149" s="101"/>
      <c r="IG149" s="101"/>
      <c r="IH149" s="101"/>
      <c r="II149" s="101"/>
      <c r="IJ149" s="101"/>
      <c r="IK149" s="101"/>
      <c r="IL149" s="101"/>
      <c r="IM149" s="101"/>
      <c r="IN149" s="101"/>
      <c r="IO149" s="101"/>
      <c r="IP149" s="101"/>
      <c r="IQ149" s="101"/>
      <c r="IR149" s="101"/>
      <c r="IS149" s="101"/>
      <c r="IT149" s="101"/>
    </row>
    <row r="150" spans="1:254">
      <c r="A150" s="101"/>
      <c r="B150" s="101"/>
      <c r="C150" s="101"/>
      <c r="D150" s="101"/>
      <c r="F150" s="7"/>
      <c r="G150" s="7"/>
      <c r="H150" s="7"/>
      <c r="I150" s="7"/>
      <c r="J150" s="7"/>
      <c r="K150" s="7"/>
      <c r="L150" s="7"/>
      <c r="M150" s="52"/>
      <c r="N150" s="52"/>
      <c r="O150" s="7"/>
      <c r="P150" s="52"/>
      <c r="Q150" s="52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/>
      <c r="AK150" s="101"/>
      <c r="AL150" s="101"/>
      <c r="AM150" s="101"/>
      <c r="AN150" s="101"/>
      <c r="AO150" s="101"/>
      <c r="AP150" s="101"/>
      <c r="AQ150" s="101"/>
      <c r="AR150" s="101"/>
      <c r="AS150" s="101"/>
      <c r="AT150" s="101"/>
      <c r="AU150" s="101"/>
      <c r="AV150" s="101"/>
      <c r="AW150" s="101"/>
      <c r="AX150" s="101"/>
      <c r="AY150" s="101"/>
      <c r="AZ150" s="101"/>
      <c r="BA150" s="101"/>
      <c r="BB150" s="101"/>
      <c r="BC150" s="101"/>
      <c r="BD150" s="101"/>
      <c r="BE150" s="101"/>
      <c r="BF150" s="101"/>
      <c r="BG150" s="101"/>
      <c r="BH150" s="101"/>
      <c r="BI150" s="101"/>
      <c r="BJ150" s="101"/>
      <c r="BK150" s="101"/>
      <c r="BL150" s="101"/>
      <c r="BM150" s="101"/>
      <c r="BN150" s="101"/>
      <c r="BO150" s="101"/>
      <c r="BP150" s="101"/>
      <c r="BQ150" s="101"/>
      <c r="BR150" s="101"/>
      <c r="BS150" s="101"/>
      <c r="BT150" s="101"/>
      <c r="BU150" s="101"/>
      <c r="BV150" s="101"/>
      <c r="BW150" s="101"/>
      <c r="BX150" s="101"/>
      <c r="BY150" s="101"/>
      <c r="BZ150" s="101"/>
      <c r="CA150" s="101"/>
      <c r="CB150" s="101"/>
      <c r="CC150" s="101"/>
      <c r="CD150" s="101"/>
      <c r="CE150" s="101"/>
      <c r="CF150" s="101"/>
      <c r="CG150" s="101"/>
      <c r="CH150" s="101"/>
      <c r="CI150" s="101"/>
      <c r="CJ150" s="101"/>
      <c r="CK150" s="101"/>
      <c r="CL150" s="101"/>
      <c r="CM150" s="101"/>
      <c r="CN150" s="101"/>
      <c r="CO150" s="101"/>
      <c r="CP150" s="101"/>
      <c r="CQ150" s="101"/>
      <c r="CR150" s="101"/>
      <c r="CS150" s="101"/>
      <c r="CT150" s="101"/>
      <c r="CU150" s="101"/>
      <c r="CV150" s="101"/>
      <c r="CW150" s="101"/>
      <c r="CX150" s="101"/>
      <c r="CY150" s="101"/>
      <c r="CZ150" s="101"/>
      <c r="DA150" s="101"/>
      <c r="DB150" s="101"/>
      <c r="DC150" s="101"/>
      <c r="DD150" s="101"/>
      <c r="DE150" s="101"/>
      <c r="DF150" s="101"/>
      <c r="DG150" s="101"/>
      <c r="DH150" s="101"/>
      <c r="DI150" s="101"/>
      <c r="DJ150" s="101"/>
      <c r="DK150" s="101"/>
      <c r="DL150" s="101"/>
      <c r="DM150" s="101"/>
      <c r="DN150" s="101"/>
      <c r="DO150" s="101"/>
      <c r="DP150" s="101"/>
      <c r="DQ150" s="101"/>
      <c r="DR150" s="101"/>
      <c r="DS150" s="101"/>
      <c r="DT150" s="101"/>
      <c r="DU150" s="101"/>
      <c r="DV150" s="101"/>
      <c r="DW150" s="101"/>
      <c r="DX150" s="101"/>
      <c r="DY150" s="101"/>
      <c r="DZ150" s="101"/>
      <c r="EA150" s="101"/>
      <c r="EB150" s="101"/>
      <c r="EC150" s="101"/>
      <c r="ED150" s="101"/>
      <c r="EE150" s="101"/>
      <c r="EF150" s="101"/>
      <c r="EG150" s="101"/>
      <c r="EH150" s="101"/>
      <c r="EI150" s="101"/>
      <c r="EJ150" s="101"/>
      <c r="EK150" s="101"/>
      <c r="EL150" s="101"/>
      <c r="EM150" s="101"/>
      <c r="EN150" s="101"/>
      <c r="EO150" s="101"/>
      <c r="EP150" s="101"/>
      <c r="EQ150" s="101"/>
      <c r="ER150" s="101"/>
      <c r="ES150" s="101"/>
      <c r="ET150" s="101"/>
      <c r="EU150" s="101"/>
      <c r="EV150" s="101"/>
      <c r="EW150" s="101"/>
      <c r="EX150" s="101"/>
      <c r="EY150" s="101"/>
      <c r="EZ150" s="101"/>
      <c r="FA150" s="101"/>
      <c r="FB150" s="101"/>
      <c r="FC150" s="101"/>
      <c r="FD150" s="101"/>
      <c r="FE150" s="101"/>
      <c r="FF150" s="101"/>
      <c r="FG150" s="101"/>
      <c r="FH150" s="101"/>
      <c r="FI150" s="101"/>
      <c r="FJ150" s="101"/>
      <c r="FK150" s="101"/>
      <c r="FL150" s="101"/>
      <c r="FM150" s="101"/>
      <c r="FN150" s="101"/>
      <c r="FO150" s="101"/>
      <c r="FP150" s="101"/>
      <c r="FQ150" s="101"/>
      <c r="FR150" s="101"/>
      <c r="FS150" s="101"/>
      <c r="FT150" s="101"/>
      <c r="FU150" s="101"/>
      <c r="FV150" s="101"/>
      <c r="FW150" s="101"/>
      <c r="FX150" s="101"/>
      <c r="FY150" s="101"/>
      <c r="FZ150" s="101"/>
      <c r="GA150" s="101"/>
      <c r="GB150" s="101"/>
      <c r="GC150" s="101"/>
      <c r="GD150" s="101"/>
      <c r="GE150" s="101"/>
      <c r="GF150" s="101"/>
      <c r="GG150" s="101"/>
      <c r="GH150" s="101"/>
      <c r="GI150" s="101"/>
      <c r="GJ150" s="101"/>
      <c r="GK150" s="101"/>
      <c r="GL150" s="101"/>
      <c r="GM150" s="101"/>
      <c r="GN150" s="101"/>
      <c r="GO150" s="101"/>
      <c r="GP150" s="101"/>
      <c r="GQ150" s="101"/>
      <c r="GR150" s="101"/>
      <c r="GS150" s="101"/>
      <c r="GT150" s="101"/>
      <c r="GU150" s="101"/>
      <c r="GV150" s="101"/>
      <c r="GW150" s="101"/>
      <c r="GX150" s="101"/>
      <c r="GY150" s="101"/>
      <c r="GZ150" s="101"/>
      <c r="HA150" s="101"/>
      <c r="HB150" s="101"/>
      <c r="HC150" s="101"/>
      <c r="HD150" s="101"/>
      <c r="HE150" s="101"/>
      <c r="HF150" s="101"/>
      <c r="HG150" s="101"/>
      <c r="HH150" s="101"/>
      <c r="HI150" s="101"/>
      <c r="HJ150" s="101"/>
      <c r="HK150" s="101"/>
      <c r="HL150" s="101"/>
      <c r="HM150" s="101"/>
      <c r="HN150" s="101"/>
      <c r="HO150" s="101"/>
      <c r="HP150" s="101"/>
      <c r="HQ150" s="101"/>
      <c r="HR150" s="101"/>
      <c r="HS150" s="101"/>
      <c r="HT150" s="101"/>
      <c r="HU150" s="101"/>
      <c r="HV150" s="101"/>
      <c r="HW150" s="101"/>
      <c r="HX150" s="101"/>
      <c r="HY150" s="101"/>
      <c r="HZ150" s="101"/>
      <c r="IA150" s="101"/>
      <c r="IB150" s="101"/>
      <c r="IC150" s="101"/>
      <c r="ID150" s="101"/>
      <c r="IE150" s="101"/>
      <c r="IF150" s="101"/>
      <c r="IG150" s="101"/>
      <c r="IH150" s="101"/>
      <c r="II150" s="101"/>
      <c r="IJ150" s="101"/>
      <c r="IK150" s="101"/>
      <c r="IL150" s="101"/>
      <c r="IM150" s="101"/>
      <c r="IN150" s="101"/>
      <c r="IO150" s="101"/>
      <c r="IP150" s="101"/>
      <c r="IQ150" s="101"/>
      <c r="IR150" s="101"/>
      <c r="IS150" s="101"/>
      <c r="IT150" s="101"/>
    </row>
    <row r="151" spans="1:254">
      <c r="A151" s="101"/>
      <c r="B151" s="101"/>
      <c r="C151" s="101"/>
      <c r="D151" s="101"/>
      <c r="F151" s="7"/>
      <c r="G151" s="7"/>
      <c r="H151" s="7"/>
      <c r="I151" s="7"/>
      <c r="J151" s="7"/>
      <c r="K151" s="7"/>
      <c r="L151" s="7"/>
      <c r="M151" s="52"/>
      <c r="N151" s="52"/>
      <c r="O151" s="7"/>
      <c r="P151" s="52"/>
      <c r="Q151" s="52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  <c r="AK151" s="101"/>
      <c r="AL151" s="101"/>
      <c r="AM151" s="101"/>
      <c r="AN151" s="101"/>
      <c r="AO151" s="101"/>
      <c r="AP151" s="101"/>
      <c r="AQ151" s="101"/>
      <c r="AR151" s="101"/>
      <c r="AS151" s="101"/>
      <c r="AT151" s="101"/>
      <c r="AU151" s="101"/>
      <c r="AV151" s="101"/>
      <c r="AW151" s="101"/>
      <c r="AX151" s="101"/>
      <c r="AY151" s="101"/>
      <c r="AZ151" s="101"/>
      <c r="BA151" s="101"/>
      <c r="BB151" s="101"/>
      <c r="BC151" s="101"/>
      <c r="BD151" s="101"/>
      <c r="BE151" s="101"/>
      <c r="BF151" s="101"/>
      <c r="BG151" s="101"/>
      <c r="BH151" s="101"/>
      <c r="BI151" s="101"/>
      <c r="BJ151" s="101"/>
      <c r="BK151" s="101"/>
      <c r="BL151" s="101"/>
      <c r="BM151" s="101"/>
      <c r="BN151" s="101"/>
      <c r="BO151" s="101"/>
      <c r="BP151" s="101"/>
      <c r="BQ151" s="101"/>
      <c r="BR151" s="101"/>
      <c r="BS151" s="101"/>
      <c r="BT151" s="101"/>
      <c r="BU151" s="101"/>
      <c r="BV151" s="101"/>
      <c r="BW151" s="101"/>
      <c r="BX151" s="101"/>
      <c r="BY151" s="101"/>
      <c r="BZ151" s="101"/>
      <c r="CA151" s="101"/>
      <c r="CB151" s="101"/>
      <c r="CC151" s="101"/>
      <c r="CD151" s="101"/>
      <c r="CE151" s="101"/>
      <c r="CF151" s="101"/>
      <c r="CG151" s="101"/>
      <c r="CH151" s="101"/>
      <c r="CI151" s="101"/>
      <c r="CJ151" s="101"/>
      <c r="CK151" s="101"/>
      <c r="CL151" s="101"/>
      <c r="CM151" s="101"/>
      <c r="CN151" s="101"/>
      <c r="CO151" s="101"/>
      <c r="CP151" s="101"/>
      <c r="CQ151" s="101"/>
      <c r="CR151" s="101"/>
      <c r="CS151" s="101"/>
      <c r="CT151" s="101"/>
      <c r="CU151" s="101"/>
      <c r="CV151" s="101"/>
      <c r="CW151" s="101"/>
      <c r="CX151" s="101"/>
      <c r="CY151" s="101"/>
      <c r="CZ151" s="101"/>
      <c r="DA151" s="101"/>
      <c r="DB151" s="101"/>
      <c r="DC151" s="101"/>
      <c r="DD151" s="101"/>
      <c r="DE151" s="101"/>
      <c r="DF151" s="101"/>
      <c r="DG151" s="101"/>
      <c r="DH151" s="101"/>
      <c r="DI151" s="101"/>
      <c r="DJ151" s="101"/>
      <c r="DK151" s="101"/>
      <c r="DL151" s="101"/>
      <c r="DM151" s="101"/>
      <c r="DN151" s="101"/>
      <c r="DO151" s="101"/>
      <c r="DP151" s="101"/>
      <c r="DQ151" s="101"/>
      <c r="DR151" s="101"/>
      <c r="DS151" s="101"/>
      <c r="DT151" s="101"/>
      <c r="DU151" s="101"/>
      <c r="DV151" s="101"/>
      <c r="DW151" s="101"/>
      <c r="DX151" s="101"/>
      <c r="DY151" s="101"/>
      <c r="DZ151" s="101"/>
      <c r="EA151" s="101"/>
      <c r="EB151" s="101"/>
      <c r="EC151" s="101"/>
      <c r="ED151" s="101"/>
      <c r="EE151" s="101"/>
      <c r="EF151" s="101"/>
      <c r="EG151" s="101"/>
      <c r="EH151" s="101"/>
      <c r="EI151" s="101"/>
      <c r="EJ151" s="101"/>
      <c r="EK151" s="101"/>
      <c r="EL151" s="101"/>
      <c r="EM151" s="101"/>
      <c r="EN151" s="101"/>
      <c r="EO151" s="101"/>
      <c r="EP151" s="101"/>
      <c r="EQ151" s="101"/>
      <c r="ER151" s="101"/>
      <c r="ES151" s="101"/>
      <c r="ET151" s="101"/>
      <c r="EU151" s="101"/>
      <c r="EV151" s="101"/>
      <c r="EW151" s="101"/>
      <c r="EX151" s="101"/>
      <c r="EY151" s="101"/>
      <c r="EZ151" s="101"/>
      <c r="FA151" s="101"/>
      <c r="FB151" s="101"/>
      <c r="FC151" s="101"/>
      <c r="FD151" s="101"/>
      <c r="FE151" s="101"/>
      <c r="FF151" s="101"/>
      <c r="FG151" s="101"/>
      <c r="FH151" s="101"/>
      <c r="FI151" s="101"/>
      <c r="FJ151" s="101"/>
      <c r="FK151" s="101"/>
      <c r="FL151" s="101"/>
      <c r="FM151" s="101"/>
      <c r="FN151" s="101"/>
      <c r="FO151" s="101"/>
      <c r="FP151" s="101"/>
      <c r="FQ151" s="101"/>
      <c r="FR151" s="101"/>
      <c r="FS151" s="101"/>
      <c r="FT151" s="101"/>
      <c r="FU151" s="101"/>
      <c r="FV151" s="101"/>
      <c r="FW151" s="101"/>
      <c r="FX151" s="101"/>
      <c r="FY151" s="101"/>
      <c r="FZ151" s="101"/>
      <c r="GA151" s="101"/>
      <c r="GB151" s="101"/>
      <c r="GC151" s="101"/>
      <c r="GD151" s="101"/>
      <c r="GE151" s="101"/>
      <c r="GF151" s="101"/>
      <c r="GG151" s="101"/>
      <c r="GH151" s="101"/>
      <c r="GI151" s="101"/>
      <c r="GJ151" s="101"/>
      <c r="GK151" s="101"/>
      <c r="GL151" s="101"/>
      <c r="GM151" s="101"/>
      <c r="GN151" s="101"/>
      <c r="GO151" s="101"/>
      <c r="GP151" s="101"/>
      <c r="GQ151" s="101"/>
      <c r="GR151" s="101"/>
      <c r="GS151" s="101"/>
      <c r="GT151" s="101"/>
      <c r="GU151" s="101"/>
      <c r="GV151" s="101"/>
      <c r="GW151" s="101"/>
      <c r="GX151" s="101"/>
      <c r="GY151" s="101"/>
      <c r="GZ151" s="101"/>
      <c r="HA151" s="101"/>
      <c r="HB151" s="101"/>
      <c r="HC151" s="101"/>
      <c r="HD151" s="101"/>
      <c r="HE151" s="101"/>
      <c r="HF151" s="101"/>
      <c r="HG151" s="101"/>
      <c r="HH151" s="101"/>
      <c r="HI151" s="101"/>
      <c r="HJ151" s="101"/>
      <c r="HK151" s="101"/>
      <c r="HL151" s="101"/>
      <c r="HM151" s="101"/>
      <c r="HN151" s="101"/>
      <c r="HO151" s="101"/>
      <c r="HP151" s="101"/>
      <c r="HQ151" s="101"/>
      <c r="HR151" s="101"/>
      <c r="HS151" s="101"/>
      <c r="HT151" s="101"/>
      <c r="HU151" s="101"/>
      <c r="HV151" s="101"/>
      <c r="HW151" s="101"/>
      <c r="HX151" s="101"/>
      <c r="HY151" s="101"/>
      <c r="HZ151" s="101"/>
      <c r="IA151" s="101"/>
      <c r="IB151" s="101"/>
      <c r="IC151" s="101"/>
      <c r="ID151" s="101"/>
      <c r="IE151" s="101"/>
      <c r="IF151" s="101"/>
      <c r="IG151" s="101"/>
      <c r="IH151" s="101"/>
      <c r="II151" s="101"/>
      <c r="IJ151" s="101"/>
      <c r="IK151" s="101"/>
      <c r="IL151" s="101"/>
      <c r="IM151" s="101"/>
      <c r="IN151" s="101"/>
      <c r="IO151" s="101"/>
      <c r="IP151" s="101"/>
      <c r="IQ151" s="101"/>
      <c r="IR151" s="101"/>
      <c r="IS151" s="101"/>
      <c r="IT151" s="101"/>
    </row>
    <row r="152" spans="1:254">
      <c r="A152" s="101"/>
      <c r="B152" s="101"/>
      <c r="C152" s="101"/>
      <c r="D152" s="101"/>
      <c r="F152" s="7"/>
      <c r="G152" s="7"/>
      <c r="H152" s="7"/>
      <c r="I152" s="7"/>
      <c r="J152" s="7"/>
      <c r="K152" s="7"/>
      <c r="L152" s="7"/>
      <c r="M152" s="52"/>
      <c r="N152" s="52"/>
      <c r="O152" s="7"/>
      <c r="P152" s="52"/>
      <c r="Q152" s="52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  <c r="AK152" s="101"/>
      <c r="AL152" s="101"/>
      <c r="AM152" s="101"/>
      <c r="AN152" s="101"/>
      <c r="AO152" s="101"/>
      <c r="AP152" s="101"/>
      <c r="AQ152" s="101"/>
      <c r="AR152" s="101"/>
      <c r="AS152" s="101"/>
      <c r="AT152" s="101"/>
      <c r="AU152" s="101"/>
      <c r="AV152" s="101"/>
      <c r="AW152" s="101"/>
      <c r="AX152" s="101"/>
      <c r="AY152" s="101"/>
      <c r="AZ152" s="101"/>
      <c r="BA152" s="101"/>
      <c r="BB152" s="101"/>
      <c r="BC152" s="101"/>
      <c r="BD152" s="101"/>
      <c r="BE152" s="101"/>
      <c r="BF152" s="101"/>
      <c r="BG152" s="101"/>
      <c r="BH152" s="101"/>
      <c r="BI152" s="101"/>
      <c r="BJ152" s="101"/>
      <c r="BK152" s="101"/>
      <c r="BL152" s="101"/>
      <c r="BM152" s="101"/>
      <c r="BN152" s="101"/>
      <c r="BO152" s="101"/>
      <c r="BP152" s="101"/>
      <c r="BQ152" s="101"/>
      <c r="BR152" s="101"/>
      <c r="BS152" s="101"/>
      <c r="BT152" s="101"/>
      <c r="BU152" s="101"/>
      <c r="BV152" s="101"/>
      <c r="BW152" s="101"/>
      <c r="BX152" s="101"/>
      <c r="BY152" s="101"/>
      <c r="BZ152" s="101"/>
      <c r="CA152" s="101"/>
      <c r="CB152" s="101"/>
      <c r="CC152" s="101"/>
      <c r="CD152" s="101"/>
      <c r="CE152" s="101"/>
      <c r="CF152" s="101"/>
      <c r="CG152" s="101"/>
      <c r="CH152" s="101"/>
      <c r="CI152" s="101"/>
      <c r="CJ152" s="101"/>
      <c r="CK152" s="101"/>
      <c r="CL152" s="101"/>
      <c r="CM152" s="101"/>
      <c r="CN152" s="101"/>
      <c r="CO152" s="101"/>
      <c r="CP152" s="101"/>
      <c r="CQ152" s="101"/>
      <c r="CR152" s="101"/>
      <c r="CS152" s="101"/>
      <c r="CT152" s="101"/>
      <c r="CU152" s="101"/>
      <c r="CV152" s="101"/>
      <c r="CW152" s="101"/>
      <c r="CX152" s="101"/>
      <c r="CY152" s="101"/>
      <c r="CZ152" s="101"/>
      <c r="DA152" s="101"/>
      <c r="DB152" s="101"/>
      <c r="DC152" s="101"/>
      <c r="DD152" s="101"/>
      <c r="DE152" s="101"/>
      <c r="DF152" s="101"/>
      <c r="DG152" s="101"/>
      <c r="DH152" s="101"/>
      <c r="DI152" s="101"/>
      <c r="DJ152" s="101"/>
      <c r="DK152" s="101"/>
      <c r="DL152" s="101"/>
      <c r="DM152" s="101"/>
      <c r="DN152" s="101"/>
      <c r="DO152" s="101"/>
      <c r="DP152" s="101"/>
      <c r="DQ152" s="101"/>
      <c r="DR152" s="101"/>
      <c r="DS152" s="101"/>
      <c r="DT152" s="101"/>
      <c r="DU152" s="101"/>
      <c r="DV152" s="101"/>
      <c r="DW152" s="101"/>
      <c r="DX152" s="101"/>
      <c r="DY152" s="101"/>
      <c r="DZ152" s="101"/>
      <c r="EA152" s="101"/>
      <c r="EB152" s="101"/>
      <c r="EC152" s="101"/>
      <c r="ED152" s="101"/>
      <c r="EE152" s="101"/>
      <c r="EF152" s="101"/>
      <c r="EG152" s="101"/>
      <c r="EH152" s="101"/>
      <c r="EI152" s="101"/>
      <c r="EJ152" s="101"/>
      <c r="EK152" s="101"/>
      <c r="EL152" s="101"/>
      <c r="EM152" s="101"/>
      <c r="EN152" s="101"/>
      <c r="EO152" s="101"/>
      <c r="EP152" s="101"/>
      <c r="EQ152" s="101"/>
      <c r="ER152" s="101"/>
      <c r="ES152" s="101"/>
      <c r="ET152" s="101"/>
      <c r="EU152" s="101"/>
      <c r="EV152" s="101"/>
      <c r="EW152" s="101"/>
      <c r="EX152" s="101"/>
      <c r="EY152" s="101"/>
      <c r="EZ152" s="101"/>
      <c r="FA152" s="101"/>
      <c r="FB152" s="101"/>
      <c r="FC152" s="101"/>
      <c r="FD152" s="101"/>
      <c r="FE152" s="101"/>
      <c r="FF152" s="101"/>
      <c r="FG152" s="101"/>
      <c r="FH152" s="101"/>
      <c r="FI152" s="101"/>
      <c r="FJ152" s="101"/>
      <c r="FK152" s="101"/>
      <c r="FL152" s="101"/>
      <c r="FM152" s="101"/>
      <c r="FN152" s="101"/>
      <c r="FO152" s="101"/>
      <c r="FP152" s="101"/>
      <c r="FQ152" s="101"/>
      <c r="FR152" s="101"/>
      <c r="FS152" s="101"/>
      <c r="FT152" s="101"/>
      <c r="FU152" s="101"/>
      <c r="FV152" s="101"/>
      <c r="FW152" s="101"/>
      <c r="FX152" s="101"/>
      <c r="FY152" s="101"/>
      <c r="FZ152" s="101"/>
      <c r="GA152" s="101"/>
      <c r="GB152" s="101"/>
      <c r="GC152" s="101"/>
      <c r="GD152" s="101"/>
      <c r="GE152" s="101"/>
      <c r="GF152" s="101"/>
      <c r="GG152" s="101"/>
      <c r="GH152" s="101"/>
      <c r="GI152" s="101"/>
      <c r="GJ152" s="101"/>
      <c r="GK152" s="101"/>
      <c r="GL152" s="101"/>
      <c r="GM152" s="101"/>
      <c r="GN152" s="101"/>
      <c r="GO152" s="101"/>
      <c r="GP152" s="101"/>
      <c r="GQ152" s="101"/>
      <c r="GR152" s="101"/>
      <c r="GS152" s="101"/>
      <c r="GT152" s="101"/>
      <c r="GU152" s="101"/>
      <c r="GV152" s="101"/>
      <c r="GW152" s="101"/>
      <c r="GX152" s="101"/>
      <c r="GY152" s="101"/>
      <c r="GZ152" s="101"/>
      <c r="HA152" s="101"/>
      <c r="HB152" s="101"/>
      <c r="HC152" s="101"/>
      <c r="HD152" s="101"/>
      <c r="HE152" s="101"/>
      <c r="HF152" s="101"/>
      <c r="HG152" s="101"/>
      <c r="HH152" s="101"/>
      <c r="HI152" s="101"/>
      <c r="HJ152" s="101"/>
      <c r="HK152" s="101"/>
      <c r="HL152" s="101"/>
      <c r="HM152" s="101"/>
      <c r="HN152" s="101"/>
      <c r="HO152" s="101"/>
      <c r="HP152" s="101"/>
      <c r="HQ152" s="101"/>
      <c r="HR152" s="101"/>
      <c r="HS152" s="101"/>
      <c r="HT152" s="101"/>
      <c r="HU152" s="101"/>
      <c r="HV152" s="101"/>
      <c r="HW152" s="101"/>
      <c r="HX152" s="101"/>
      <c r="HY152" s="101"/>
      <c r="HZ152" s="101"/>
      <c r="IA152" s="101"/>
      <c r="IB152" s="101"/>
      <c r="IC152" s="101"/>
      <c r="ID152" s="101"/>
      <c r="IE152" s="101"/>
      <c r="IF152" s="101"/>
      <c r="IG152" s="101"/>
      <c r="IH152" s="101"/>
      <c r="II152" s="101"/>
      <c r="IJ152" s="101"/>
      <c r="IK152" s="101"/>
      <c r="IL152" s="101"/>
      <c r="IM152" s="101"/>
      <c r="IN152" s="101"/>
      <c r="IO152" s="101"/>
      <c r="IP152" s="101"/>
      <c r="IQ152" s="101"/>
      <c r="IR152" s="101"/>
      <c r="IS152" s="101"/>
      <c r="IT152" s="101"/>
    </row>
    <row r="153" spans="1:254">
      <c r="A153" s="101"/>
      <c r="B153" s="101"/>
      <c r="C153" s="101"/>
      <c r="D153" s="101"/>
      <c r="F153" s="7"/>
      <c r="G153" s="7"/>
      <c r="H153" s="7"/>
      <c r="I153" s="7"/>
      <c r="J153" s="7"/>
      <c r="K153" s="7"/>
      <c r="L153" s="7"/>
      <c r="M153" s="52"/>
      <c r="N153" s="52"/>
      <c r="O153" s="7"/>
      <c r="P153" s="52"/>
      <c r="Q153" s="52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  <c r="AK153" s="101"/>
      <c r="AL153" s="101"/>
      <c r="AM153" s="101"/>
      <c r="AN153" s="101"/>
      <c r="AO153" s="101"/>
      <c r="AP153" s="101"/>
      <c r="AQ153" s="101"/>
      <c r="AR153" s="101"/>
      <c r="AS153" s="101"/>
      <c r="AT153" s="101"/>
      <c r="AU153" s="101"/>
      <c r="AV153" s="101"/>
      <c r="AW153" s="101"/>
      <c r="AX153" s="101"/>
      <c r="AY153" s="101"/>
      <c r="AZ153" s="101"/>
      <c r="BA153" s="101"/>
      <c r="BB153" s="101"/>
      <c r="BC153" s="101"/>
      <c r="BD153" s="101"/>
      <c r="BE153" s="101"/>
      <c r="BF153" s="101"/>
      <c r="BG153" s="101"/>
      <c r="BH153" s="101"/>
      <c r="BI153" s="101"/>
      <c r="BJ153" s="101"/>
      <c r="BK153" s="101"/>
      <c r="BL153" s="101"/>
      <c r="BM153" s="101"/>
      <c r="BN153" s="101"/>
      <c r="BO153" s="101"/>
      <c r="BP153" s="101"/>
      <c r="BQ153" s="101"/>
      <c r="BR153" s="101"/>
      <c r="BS153" s="101"/>
      <c r="BT153" s="101"/>
      <c r="BU153" s="101"/>
      <c r="BV153" s="101"/>
      <c r="BW153" s="101"/>
      <c r="BX153" s="101"/>
      <c r="BY153" s="101"/>
      <c r="BZ153" s="101"/>
      <c r="CA153" s="101"/>
      <c r="CB153" s="101"/>
      <c r="CC153" s="101"/>
      <c r="CD153" s="101"/>
      <c r="CE153" s="101"/>
      <c r="CF153" s="101"/>
      <c r="CG153" s="101"/>
      <c r="CH153" s="101"/>
      <c r="CI153" s="101"/>
      <c r="CJ153" s="101"/>
      <c r="CK153" s="101"/>
      <c r="CL153" s="101"/>
      <c r="CM153" s="101"/>
      <c r="CN153" s="101"/>
      <c r="CO153" s="101"/>
      <c r="CP153" s="101"/>
      <c r="CQ153" s="101"/>
      <c r="CR153" s="101"/>
      <c r="CS153" s="101"/>
      <c r="CT153" s="101"/>
      <c r="CU153" s="101"/>
      <c r="CV153" s="101"/>
      <c r="CW153" s="101"/>
      <c r="CX153" s="101"/>
      <c r="CY153" s="101"/>
      <c r="CZ153" s="101"/>
      <c r="DA153" s="101"/>
      <c r="DB153" s="101"/>
      <c r="DC153" s="101"/>
      <c r="DD153" s="101"/>
      <c r="DE153" s="101"/>
      <c r="DF153" s="101"/>
      <c r="DG153" s="101"/>
      <c r="DH153" s="101"/>
      <c r="DI153" s="101"/>
      <c r="DJ153" s="101"/>
      <c r="DK153" s="101"/>
      <c r="DL153" s="101"/>
      <c r="DM153" s="101"/>
      <c r="DN153" s="101"/>
      <c r="DO153" s="101"/>
      <c r="DP153" s="101"/>
      <c r="DQ153" s="101"/>
      <c r="DR153" s="101"/>
      <c r="DS153" s="101"/>
      <c r="DT153" s="101"/>
      <c r="DU153" s="101"/>
      <c r="DV153" s="101"/>
      <c r="DW153" s="101"/>
      <c r="DX153" s="101"/>
      <c r="DY153" s="101"/>
      <c r="DZ153" s="101"/>
      <c r="EA153" s="101"/>
      <c r="EB153" s="101"/>
      <c r="EC153" s="101"/>
      <c r="ED153" s="101"/>
      <c r="EE153" s="101"/>
      <c r="EF153" s="101"/>
      <c r="EG153" s="101"/>
      <c r="EH153" s="101"/>
      <c r="EI153" s="101"/>
      <c r="EJ153" s="101"/>
      <c r="EK153" s="101"/>
      <c r="EL153" s="101"/>
      <c r="EM153" s="101"/>
      <c r="EN153" s="101"/>
      <c r="EO153" s="101"/>
      <c r="EP153" s="101"/>
      <c r="EQ153" s="101"/>
      <c r="ER153" s="101"/>
      <c r="ES153" s="101"/>
      <c r="ET153" s="101"/>
      <c r="EU153" s="101"/>
      <c r="EV153" s="101"/>
      <c r="EW153" s="101"/>
      <c r="EX153" s="101"/>
      <c r="EY153" s="101"/>
      <c r="EZ153" s="101"/>
      <c r="FA153" s="101"/>
      <c r="FB153" s="101"/>
      <c r="FC153" s="101"/>
      <c r="FD153" s="101"/>
      <c r="FE153" s="101"/>
      <c r="FF153" s="101"/>
      <c r="FG153" s="101"/>
      <c r="FH153" s="101"/>
      <c r="FI153" s="101"/>
      <c r="FJ153" s="101"/>
      <c r="FK153" s="101"/>
      <c r="FL153" s="101"/>
      <c r="FM153" s="101"/>
      <c r="FN153" s="101"/>
      <c r="FO153" s="101"/>
      <c r="FP153" s="101"/>
      <c r="FQ153" s="101"/>
      <c r="FR153" s="101"/>
      <c r="FS153" s="101"/>
      <c r="FT153" s="101"/>
      <c r="FU153" s="101"/>
      <c r="FV153" s="101"/>
      <c r="FW153" s="101"/>
      <c r="FX153" s="101"/>
      <c r="FY153" s="101"/>
      <c r="FZ153" s="101"/>
      <c r="GA153" s="101"/>
      <c r="GB153" s="101"/>
      <c r="GC153" s="101"/>
      <c r="GD153" s="101"/>
      <c r="GE153" s="101"/>
      <c r="GF153" s="101"/>
      <c r="GG153" s="101"/>
      <c r="GH153" s="101"/>
      <c r="GI153" s="101"/>
      <c r="GJ153" s="101"/>
      <c r="GK153" s="101"/>
      <c r="GL153" s="101"/>
      <c r="GM153" s="101"/>
      <c r="GN153" s="101"/>
      <c r="GO153" s="101"/>
      <c r="GP153" s="101"/>
      <c r="GQ153" s="101"/>
      <c r="GR153" s="101"/>
      <c r="GS153" s="101"/>
      <c r="GT153" s="101"/>
      <c r="GU153" s="101"/>
      <c r="GV153" s="101"/>
      <c r="GW153" s="101"/>
      <c r="GX153" s="101"/>
      <c r="GY153" s="101"/>
      <c r="GZ153" s="101"/>
      <c r="HA153" s="101"/>
      <c r="HB153" s="101"/>
      <c r="HC153" s="101"/>
      <c r="HD153" s="101"/>
      <c r="HE153" s="101"/>
      <c r="HF153" s="101"/>
      <c r="HG153" s="101"/>
      <c r="HH153" s="101"/>
      <c r="HI153" s="101"/>
      <c r="HJ153" s="101"/>
      <c r="HK153" s="101"/>
      <c r="HL153" s="101"/>
      <c r="HM153" s="101"/>
      <c r="HN153" s="101"/>
      <c r="HO153" s="101"/>
      <c r="HP153" s="101"/>
      <c r="HQ153" s="101"/>
      <c r="HR153" s="101"/>
      <c r="HS153" s="101"/>
      <c r="HT153" s="101"/>
      <c r="HU153" s="101"/>
      <c r="HV153" s="101"/>
      <c r="HW153" s="101"/>
      <c r="HX153" s="101"/>
      <c r="HY153" s="101"/>
      <c r="HZ153" s="101"/>
      <c r="IA153" s="101"/>
      <c r="IB153" s="101"/>
      <c r="IC153" s="101"/>
      <c r="ID153" s="101"/>
      <c r="IE153" s="101"/>
      <c r="IF153" s="101"/>
      <c r="IG153" s="101"/>
      <c r="IH153" s="101"/>
      <c r="II153" s="101"/>
      <c r="IJ153" s="101"/>
      <c r="IK153" s="101"/>
      <c r="IL153" s="101"/>
      <c r="IM153" s="101"/>
      <c r="IN153" s="101"/>
      <c r="IO153" s="101"/>
      <c r="IP153" s="101"/>
      <c r="IQ153" s="101"/>
      <c r="IR153" s="101"/>
      <c r="IS153" s="101"/>
      <c r="IT153" s="101"/>
    </row>
    <row r="154" spans="1:254">
      <c r="A154" s="101"/>
      <c r="B154" s="101"/>
      <c r="C154" s="101"/>
      <c r="D154" s="101"/>
      <c r="F154" s="7"/>
      <c r="G154" s="7"/>
      <c r="H154" s="7"/>
      <c r="I154" s="7"/>
      <c r="J154" s="7"/>
      <c r="K154" s="7"/>
      <c r="L154" s="7"/>
      <c r="M154" s="52"/>
      <c r="N154" s="52"/>
      <c r="O154" s="7"/>
      <c r="P154" s="52"/>
      <c r="Q154" s="52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  <c r="AJ154" s="101"/>
      <c r="AK154" s="101"/>
      <c r="AL154" s="101"/>
      <c r="AM154" s="101"/>
      <c r="AN154" s="101"/>
      <c r="AO154" s="101"/>
      <c r="AP154" s="101"/>
      <c r="AQ154" s="101"/>
      <c r="AR154" s="101"/>
      <c r="AS154" s="101"/>
      <c r="AT154" s="101"/>
      <c r="AU154" s="101"/>
      <c r="AV154" s="101"/>
      <c r="AW154" s="101"/>
      <c r="AX154" s="101"/>
      <c r="AY154" s="101"/>
      <c r="AZ154" s="101"/>
      <c r="BA154" s="101"/>
      <c r="BB154" s="101"/>
      <c r="BC154" s="101"/>
      <c r="BD154" s="101"/>
      <c r="BE154" s="101"/>
      <c r="BF154" s="101"/>
      <c r="BG154" s="101"/>
      <c r="BH154" s="101"/>
      <c r="BI154" s="101"/>
      <c r="BJ154" s="101"/>
      <c r="BK154" s="101"/>
      <c r="BL154" s="101"/>
      <c r="BM154" s="101"/>
      <c r="BN154" s="101"/>
      <c r="BO154" s="101"/>
      <c r="BP154" s="101"/>
      <c r="BQ154" s="101"/>
      <c r="BR154" s="101"/>
      <c r="BS154" s="101"/>
      <c r="BT154" s="101"/>
      <c r="BU154" s="101"/>
      <c r="BV154" s="101"/>
      <c r="BW154" s="101"/>
      <c r="BX154" s="101"/>
      <c r="BY154" s="101"/>
      <c r="BZ154" s="101"/>
      <c r="CA154" s="101"/>
      <c r="CB154" s="101"/>
      <c r="CC154" s="101"/>
      <c r="CD154" s="101"/>
      <c r="CE154" s="101"/>
      <c r="CF154" s="101"/>
      <c r="CG154" s="101"/>
      <c r="CH154" s="101"/>
      <c r="CI154" s="101"/>
      <c r="CJ154" s="101"/>
      <c r="CK154" s="101"/>
      <c r="CL154" s="101"/>
      <c r="CM154" s="101"/>
      <c r="CN154" s="101"/>
      <c r="CO154" s="101"/>
      <c r="CP154" s="101"/>
      <c r="CQ154" s="101"/>
      <c r="CR154" s="101"/>
      <c r="CS154" s="101"/>
      <c r="CT154" s="101"/>
      <c r="CU154" s="101"/>
      <c r="CV154" s="101"/>
      <c r="CW154" s="101"/>
      <c r="CX154" s="101"/>
      <c r="CY154" s="101"/>
      <c r="CZ154" s="101"/>
      <c r="DA154" s="101"/>
      <c r="DB154" s="101"/>
      <c r="DC154" s="101"/>
      <c r="DD154" s="101"/>
      <c r="DE154" s="101"/>
      <c r="DF154" s="101"/>
      <c r="DG154" s="101"/>
      <c r="DH154" s="101"/>
      <c r="DI154" s="101"/>
      <c r="DJ154" s="101"/>
      <c r="DK154" s="101"/>
      <c r="DL154" s="101"/>
      <c r="DM154" s="101"/>
      <c r="DN154" s="101"/>
      <c r="DO154" s="101"/>
      <c r="DP154" s="101"/>
      <c r="DQ154" s="101"/>
      <c r="DR154" s="101"/>
      <c r="DS154" s="101"/>
      <c r="DT154" s="101"/>
      <c r="DU154" s="101"/>
      <c r="DV154" s="101"/>
      <c r="DW154" s="101"/>
      <c r="DX154" s="101"/>
      <c r="DY154" s="101"/>
      <c r="DZ154" s="101"/>
      <c r="EA154" s="101"/>
      <c r="EB154" s="101"/>
      <c r="EC154" s="101"/>
      <c r="ED154" s="101"/>
      <c r="EE154" s="101"/>
      <c r="EF154" s="101"/>
      <c r="EG154" s="101"/>
      <c r="EH154" s="101"/>
      <c r="EI154" s="101"/>
      <c r="EJ154" s="101"/>
      <c r="EK154" s="101"/>
      <c r="EL154" s="101"/>
      <c r="EM154" s="101"/>
      <c r="EN154" s="101"/>
      <c r="EO154" s="101"/>
      <c r="EP154" s="101"/>
      <c r="EQ154" s="101"/>
      <c r="ER154" s="101"/>
      <c r="ES154" s="101"/>
      <c r="ET154" s="101"/>
      <c r="EU154" s="101"/>
      <c r="EV154" s="101"/>
      <c r="EW154" s="101"/>
      <c r="EX154" s="101"/>
      <c r="EY154" s="101"/>
      <c r="EZ154" s="101"/>
      <c r="FA154" s="101"/>
      <c r="FB154" s="101"/>
      <c r="FC154" s="101"/>
      <c r="FD154" s="101"/>
      <c r="FE154" s="101"/>
      <c r="FF154" s="101"/>
      <c r="FG154" s="101"/>
      <c r="FH154" s="101"/>
      <c r="FI154" s="101"/>
      <c r="FJ154" s="101"/>
      <c r="FK154" s="101"/>
      <c r="FL154" s="101"/>
      <c r="FM154" s="101"/>
      <c r="FN154" s="101"/>
      <c r="FO154" s="101"/>
      <c r="FP154" s="101"/>
      <c r="FQ154" s="101"/>
      <c r="FR154" s="101"/>
      <c r="FS154" s="101"/>
      <c r="FT154" s="101"/>
      <c r="FU154" s="101"/>
      <c r="FV154" s="101"/>
      <c r="FW154" s="101"/>
      <c r="FX154" s="101"/>
      <c r="FY154" s="101"/>
      <c r="FZ154" s="101"/>
      <c r="GA154" s="101"/>
      <c r="GB154" s="101"/>
      <c r="GC154" s="101"/>
      <c r="GD154" s="101"/>
      <c r="GE154" s="101"/>
      <c r="GF154" s="101"/>
      <c r="GG154" s="101"/>
      <c r="GH154" s="101"/>
      <c r="GI154" s="101"/>
      <c r="GJ154" s="101"/>
      <c r="GK154" s="101"/>
      <c r="GL154" s="101"/>
      <c r="GM154" s="101"/>
      <c r="GN154" s="101"/>
      <c r="GO154" s="101"/>
      <c r="GP154" s="101"/>
      <c r="GQ154" s="101"/>
      <c r="GR154" s="101"/>
      <c r="GS154" s="101"/>
      <c r="GT154" s="101"/>
      <c r="GU154" s="101"/>
      <c r="GV154" s="101"/>
      <c r="GW154" s="101"/>
      <c r="GX154" s="101"/>
      <c r="GY154" s="101"/>
      <c r="GZ154" s="101"/>
      <c r="HA154" s="101"/>
      <c r="HB154" s="101"/>
      <c r="HC154" s="101"/>
      <c r="HD154" s="101"/>
      <c r="HE154" s="101"/>
      <c r="HF154" s="101"/>
      <c r="HG154" s="101"/>
      <c r="HH154" s="101"/>
      <c r="HI154" s="101"/>
      <c r="HJ154" s="101"/>
      <c r="HK154" s="101"/>
      <c r="HL154" s="101"/>
      <c r="HM154" s="101"/>
      <c r="HN154" s="101"/>
      <c r="HO154" s="101"/>
      <c r="HP154" s="101"/>
      <c r="HQ154" s="101"/>
      <c r="HR154" s="101"/>
      <c r="HS154" s="101"/>
      <c r="HT154" s="101"/>
      <c r="HU154" s="101"/>
      <c r="HV154" s="101"/>
      <c r="HW154" s="101"/>
      <c r="HX154" s="101"/>
      <c r="HY154" s="101"/>
      <c r="HZ154" s="101"/>
      <c r="IA154" s="101"/>
      <c r="IB154" s="101"/>
      <c r="IC154" s="101"/>
      <c r="ID154" s="101"/>
      <c r="IE154" s="101"/>
      <c r="IF154" s="101"/>
      <c r="IG154" s="101"/>
      <c r="IH154" s="101"/>
      <c r="II154" s="101"/>
      <c r="IJ154" s="101"/>
      <c r="IK154" s="101"/>
      <c r="IL154" s="101"/>
      <c r="IM154" s="101"/>
      <c r="IN154" s="101"/>
      <c r="IO154" s="101"/>
      <c r="IP154" s="101"/>
      <c r="IQ154" s="101"/>
      <c r="IR154" s="101"/>
      <c r="IS154" s="101"/>
      <c r="IT154" s="101"/>
    </row>
    <row r="155" spans="1:254">
      <c r="A155" s="101"/>
      <c r="B155" s="101"/>
      <c r="C155" s="101"/>
      <c r="D155" s="101"/>
      <c r="F155" s="7"/>
      <c r="G155" s="7"/>
      <c r="H155" s="7"/>
      <c r="I155" s="7"/>
      <c r="J155" s="7"/>
      <c r="K155" s="7"/>
      <c r="L155" s="7"/>
      <c r="M155" s="52"/>
      <c r="N155" s="52"/>
      <c r="O155" s="7"/>
      <c r="P155" s="52"/>
      <c r="Q155" s="52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101"/>
      <c r="AJ155" s="101"/>
      <c r="AK155" s="101"/>
      <c r="AL155" s="101"/>
      <c r="AM155" s="101"/>
      <c r="AN155" s="101"/>
      <c r="AO155" s="101"/>
      <c r="AP155" s="101"/>
      <c r="AQ155" s="101"/>
      <c r="AR155" s="101"/>
      <c r="AS155" s="101"/>
      <c r="AT155" s="101"/>
      <c r="AU155" s="101"/>
      <c r="AV155" s="101"/>
      <c r="AW155" s="101"/>
      <c r="AX155" s="101"/>
      <c r="AY155" s="101"/>
      <c r="AZ155" s="101"/>
      <c r="BA155" s="101"/>
      <c r="BB155" s="101"/>
      <c r="BC155" s="101"/>
      <c r="BD155" s="101"/>
      <c r="BE155" s="101"/>
      <c r="BF155" s="101"/>
      <c r="BG155" s="101"/>
      <c r="BH155" s="101"/>
      <c r="BI155" s="101"/>
      <c r="BJ155" s="101"/>
      <c r="BK155" s="101"/>
      <c r="BL155" s="101"/>
      <c r="BM155" s="101"/>
      <c r="BN155" s="101"/>
      <c r="BO155" s="101"/>
      <c r="BP155" s="101"/>
      <c r="BQ155" s="101"/>
      <c r="BR155" s="101"/>
      <c r="BS155" s="101"/>
      <c r="BT155" s="101"/>
      <c r="BU155" s="101"/>
      <c r="BV155" s="101"/>
      <c r="BW155" s="101"/>
      <c r="BX155" s="101"/>
      <c r="BY155" s="101"/>
      <c r="BZ155" s="101"/>
      <c r="CA155" s="101"/>
      <c r="CB155" s="101"/>
      <c r="CC155" s="101"/>
      <c r="CD155" s="101"/>
      <c r="CE155" s="101"/>
      <c r="CF155" s="101"/>
      <c r="CG155" s="101"/>
      <c r="CH155" s="101"/>
      <c r="CI155" s="101"/>
      <c r="CJ155" s="101"/>
      <c r="CK155" s="101"/>
      <c r="CL155" s="101"/>
      <c r="CM155" s="101"/>
      <c r="CN155" s="101"/>
      <c r="CO155" s="101"/>
      <c r="CP155" s="101"/>
      <c r="CQ155" s="101"/>
      <c r="CR155" s="101"/>
      <c r="CS155" s="101"/>
      <c r="CT155" s="101"/>
      <c r="CU155" s="101"/>
      <c r="CV155" s="101"/>
      <c r="CW155" s="101"/>
      <c r="CX155" s="101"/>
      <c r="CY155" s="101"/>
      <c r="CZ155" s="101"/>
      <c r="DA155" s="101"/>
      <c r="DB155" s="101"/>
      <c r="DC155" s="101"/>
      <c r="DD155" s="101"/>
      <c r="DE155" s="101"/>
      <c r="DF155" s="101"/>
      <c r="DG155" s="101"/>
      <c r="DH155" s="101"/>
      <c r="DI155" s="101"/>
      <c r="DJ155" s="101"/>
      <c r="DK155" s="101"/>
      <c r="DL155" s="101"/>
      <c r="DM155" s="101"/>
      <c r="DN155" s="101"/>
      <c r="DO155" s="101"/>
      <c r="DP155" s="101"/>
      <c r="DQ155" s="101"/>
      <c r="DR155" s="101"/>
      <c r="DS155" s="101"/>
      <c r="DT155" s="101"/>
      <c r="DU155" s="101"/>
      <c r="DV155" s="101"/>
      <c r="DW155" s="101"/>
      <c r="DX155" s="101"/>
      <c r="DY155" s="101"/>
      <c r="DZ155" s="101"/>
      <c r="EA155" s="101"/>
      <c r="EB155" s="101"/>
      <c r="EC155" s="101"/>
      <c r="ED155" s="101"/>
      <c r="EE155" s="101"/>
      <c r="EF155" s="101"/>
      <c r="EG155" s="101"/>
      <c r="EH155" s="101"/>
      <c r="EI155" s="101"/>
      <c r="EJ155" s="101"/>
      <c r="EK155" s="101"/>
      <c r="EL155" s="101"/>
      <c r="EM155" s="101"/>
      <c r="EN155" s="101"/>
      <c r="EO155" s="101"/>
      <c r="EP155" s="101"/>
      <c r="EQ155" s="101"/>
      <c r="ER155" s="101"/>
      <c r="ES155" s="101"/>
      <c r="ET155" s="101"/>
      <c r="EU155" s="101"/>
      <c r="EV155" s="101"/>
      <c r="EW155" s="101"/>
      <c r="EX155" s="101"/>
      <c r="EY155" s="101"/>
      <c r="EZ155" s="101"/>
      <c r="FA155" s="101"/>
      <c r="FB155" s="101"/>
      <c r="FC155" s="101"/>
      <c r="FD155" s="101"/>
      <c r="FE155" s="101"/>
      <c r="FF155" s="101"/>
      <c r="FG155" s="101"/>
      <c r="FH155" s="101"/>
      <c r="FI155" s="101"/>
      <c r="FJ155" s="101"/>
      <c r="FK155" s="101"/>
      <c r="FL155" s="101"/>
      <c r="FM155" s="101"/>
      <c r="FN155" s="101"/>
      <c r="FO155" s="101"/>
      <c r="FP155" s="101"/>
      <c r="FQ155" s="101"/>
      <c r="FR155" s="101"/>
      <c r="FS155" s="101"/>
      <c r="FT155" s="101"/>
      <c r="FU155" s="101"/>
      <c r="FV155" s="101"/>
      <c r="FW155" s="101"/>
      <c r="FX155" s="101"/>
      <c r="FY155" s="101"/>
      <c r="FZ155" s="101"/>
      <c r="GA155" s="101"/>
      <c r="GB155" s="101"/>
      <c r="GC155" s="101"/>
      <c r="GD155" s="101"/>
      <c r="GE155" s="101"/>
      <c r="GF155" s="101"/>
      <c r="GG155" s="101"/>
      <c r="GH155" s="101"/>
      <c r="GI155" s="101"/>
      <c r="GJ155" s="101"/>
      <c r="GK155" s="101"/>
      <c r="GL155" s="101"/>
      <c r="GM155" s="101"/>
      <c r="GN155" s="101"/>
      <c r="GO155" s="101"/>
      <c r="GP155" s="101"/>
      <c r="GQ155" s="101"/>
      <c r="GR155" s="101"/>
      <c r="GS155" s="101"/>
      <c r="GT155" s="101"/>
      <c r="GU155" s="101"/>
      <c r="GV155" s="101"/>
      <c r="GW155" s="101"/>
      <c r="GX155" s="101"/>
      <c r="GY155" s="101"/>
      <c r="GZ155" s="101"/>
      <c r="HA155" s="101"/>
      <c r="HB155" s="101"/>
      <c r="HC155" s="101"/>
      <c r="HD155" s="101"/>
      <c r="HE155" s="101"/>
      <c r="HF155" s="101"/>
      <c r="HG155" s="101"/>
      <c r="HH155" s="101"/>
      <c r="HI155" s="101"/>
      <c r="HJ155" s="101"/>
      <c r="HK155" s="101"/>
      <c r="HL155" s="101"/>
      <c r="HM155" s="101"/>
      <c r="HN155" s="101"/>
      <c r="HO155" s="101"/>
      <c r="HP155" s="101"/>
      <c r="HQ155" s="101"/>
      <c r="HR155" s="101"/>
      <c r="HS155" s="101"/>
      <c r="HT155" s="101"/>
      <c r="HU155" s="101"/>
      <c r="HV155" s="101"/>
      <c r="HW155" s="101"/>
      <c r="HX155" s="101"/>
      <c r="HY155" s="101"/>
      <c r="HZ155" s="101"/>
      <c r="IA155" s="101"/>
      <c r="IB155" s="101"/>
      <c r="IC155" s="101"/>
      <c r="ID155" s="101"/>
      <c r="IE155" s="101"/>
      <c r="IF155" s="101"/>
      <c r="IG155" s="101"/>
      <c r="IH155" s="101"/>
      <c r="II155" s="101"/>
      <c r="IJ155" s="101"/>
      <c r="IK155" s="101"/>
      <c r="IL155" s="101"/>
      <c r="IM155" s="101"/>
      <c r="IN155" s="101"/>
      <c r="IO155" s="101"/>
      <c r="IP155" s="101"/>
      <c r="IQ155" s="101"/>
      <c r="IR155" s="101"/>
      <c r="IS155" s="101"/>
      <c r="IT155" s="101"/>
    </row>
    <row r="156" spans="1:254">
      <c r="A156" s="101"/>
      <c r="B156" s="101"/>
      <c r="C156" s="101"/>
      <c r="D156" s="101"/>
      <c r="F156" s="7"/>
      <c r="G156" s="7"/>
      <c r="H156" s="7"/>
      <c r="I156" s="7"/>
      <c r="J156" s="7"/>
      <c r="K156" s="7"/>
      <c r="L156" s="7"/>
      <c r="M156" s="52"/>
      <c r="N156" s="52"/>
      <c r="O156" s="7"/>
      <c r="P156" s="52"/>
      <c r="Q156" s="52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  <c r="BB156" s="101"/>
      <c r="BC156" s="101"/>
      <c r="BD156" s="101"/>
      <c r="BE156" s="101"/>
      <c r="BF156" s="101"/>
      <c r="BG156" s="101"/>
      <c r="BH156" s="101"/>
      <c r="BI156" s="101"/>
      <c r="BJ156" s="101"/>
      <c r="BK156" s="101"/>
      <c r="BL156" s="101"/>
      <c r="BM156" s="101"/>
      <c r="BN156" s="101"/>
      <c r="BO156" s="101"/>
      <c r="BP156" s="101"/>
      <c r="BQ156" s="101"/>
      <c r="BR156" s="101"/>
      <c r="BS156" s="101"/>
      <c r="BT156" s="101"/>
      <c r="BU156" s="101"/>
      <c r="BV156" s="101"/>
      <c r="BW156" s="101"/>
      <c r="BX156" s="101"/>
      <c r="BY156" s="101"/>
      <c r="BZ156" s="101"/>
      <c r="CA156" s="101"/>
      <c r="CB156" s="101"/>
      <c r="CC156" s="101"/>
      <c r="CD156" s="101"/>
      <c r="CE156" s="101"/>
      <c r="CF156" s="101"/>
      <c r="CG156" s="101"/>
      <c r="CH156" s="101"/>
      <c r="CI156" s="101"/>
      <c r="CJ156" s="101"/>
      <c r="CK156" s="101"/>
      <c r="CL156" s="101"/>
      <c r="CM156" s="101"/>
      <c r="CN156" s="101"/>
      <c r="CO156" s="101"/>
      <c r="CP156" s="101"/>
      <c r="CQ156" s="101"/>
      <c r="CR156" s="101"/>
      <c r="CS156" s="101"/>
      <c r="CT156" s="101"/>
      <c r="CU156" s="101"/>
      <c r="CV156" s="101"/>
      <c r="CW156" s="101"/>
      <c r="CX156" s="101"/>
      <c r="CY156" s="101"/>
      <c r="CZ156" s="101"/>
      <c r="DA156" s="101"/>
      <c r="DB156" s="101"/>
      <c r="DC156" s="101"/>
      <c r="DD156" s="101"/>
      <c r="DE156" s="101"/>
      <c r="DF156" s="101"/>
      <c r="DG156" s="101"/>
      <c r="DH156" s="101"/>
      <c r="DI156" s="101"/>
      <c r="DJ156" s="101"/>
      <c r="DK156" s="101"/>
      <c r="DL156" s="101"/>
      <c r="DM156" s="101"/>
      <c r="DN156" s="101"/>
      <c r="DO156" s="101"/>
      <c r="DP156" s="101"/>
      <c r="DQ156" s="101"/>
      <c r="DR156" s="101"/>
      <c r="DS156" s="101"/>
      <c r="DT156" s="101"/>
      <c r="DU156" s="101"/>
      <c r="DV156" s="101"/>
      <c r="DW156" s="101"/>
      <c r="DX156" s="101"/>
      <c r="DY156" s="101"/>
      <c r="DZ156" s="101"/>
      <c r="EA156" s="101"/>
      <c r="EB156" s="101"/>
      <c r="EC156" s="101"/>
      <c r="ED156" s="101"/>
      <c r="EE156" s="101"/>
      <c r="EF156" s="101"/>
      <c r="EG156" s="101"/>
      <c r="EH156" s="101"/>
      <c r="EI156" s="101"/>
      <c r="EJ156" s="101"/>
      <c r="EK156" s="101"/>
      <c r="EL156" s="101"/>
      <c r="EM156" s="101"/>
      <c r="EN156" s="101"/>
      <c r="EO156" s="101"/>
      <c r="EP156" s="101"/>
      <c r="EQ156" s="101"/>
      <c r="ER156" s="101"/>
      <c r="ES156" s="101"/>
      <c r="ET156" s="101"/>
      <c r="EU156" s="101"/>
      <c r="EV156" s="101"/>
      <c r="EW156" s="101"/>
      <c r="EX156" s="101"/>
      <c r="EY156" s="101"/>
      <c r="EZ156" s="101"/>
      <c r="FA156" s="101"/>
      <c r="FB156" s="101"/>
      <c r="FC156" s="101"/>
      <c r="FD156" s="101"/>
      <c r="FE156" s="101"/>
      <c r="FF156" s="101"/>
      <c r="FG156" s="101"/>
      <c r="FH156" s="101"/>
      <c r="FI156" s="101"/>
      <c r="FJ156" s="101"/>
      <c r="FK156" s="101"/>
      <c r="FL156" s="101"/>
      <c r="FM156" s="101"/>
      <c r="FN156" s="101"/>
      <c r="FO156" s="101"/>
      <c r="FP156" s="101"/>
      <c r="FQ156" s="101"/>
      <c r="FR156" s="101"/>
      <c r="FS156" s="101"/>
      <c r="FT156" s="101"/>
      <c r="FU156" s="101"/>
      <c r="FV156" s="101"/>
      <c r="FW156" s="101"/>
      <c r="FX156" s="101"/>
      <c r="FY156" s="101"/>
      <c r="FZ156" s="101"/>
      <c r="GA156" s="101"/>
      <c r="GB156" s="101"/>
      <c r="GC156" s="101"/>
      <c r="GD156" s="101"/>
      <c r="GE156" s="101"/>
      <c r="GF156" s="101"/>
      <c r="GG156" s="101"/>
      <c r="GH156" s="101"/>
      <c r="GI156" s="101"/>
      <c r="GJ156" s="101"/>
      <c r="GK156" s="101"/>
      <c r="GL156" s="101"/>
      <c r="GM156" s="101"/>
      <c r="GN156" s="101"/>
      <c r="GO156" s="101"/>
      <c r="GP156" s="101"/>
      <c r="GQ156" s="101"/>
      <c r="GR156" s="101"/>
      <c r="GS156" s="101"/>
      <c r="GT156" s="101"/>
      <c r="GU156" s="101"/>
      <c r="GV156" s="101"/>
      <c r="GW156" s="101"/>
      <c r="GX156" s="101"/>
      <c r="GY156" s="101"/>
      <c r="GZ156" s="101"/>
      <c r="HA156" s="101"/>
      <c r="HB156" s="101"/>
      <c r="HC156" s="101"/>
      <c r="HD156" s="101"/>
      <c r="HE156" s="101"/>
      <c r="HF156" s="101"/>
      <c r="HG156" s="101"/>
      <c r="HH156" s="101"/>
      <c r="HI156" s="101"/>
      <c r="HJ156" s="101"/>
      <c r="HK156" s="101"/>
      <c r="HL156" s="101"/>
      <c r="HM156" s="101"/>
      <c r="HN156" s="101"/>
      <c r="HO156" s="101"/>
      <c r="HP156" s="101"/>
      <c r="HQ156" s="101"/>
      <c r="HR156" s="101"/>
      <c r="HS156" s="101"/>
      <c r="HT156" s="101"/>
      <c r="HU156" s="101"/>
      <c r="HV156" s="101"/>
      <c r="HW156" s="101"/>
      <c r="HX156" s="101"/>
      <c r="HY156" s="101"/>
      <c r="HZ156" s="101"/>
      <c r="IA156" s="101"/>
      <c r="IB156" s="101"/>
      <c r="IC156" s="101"/>
      <c r="ID156" s="101"/>
      <c r="IE156" s="101"/>
      <c r="IF156" s="101"/>
      <c r="IG156" s="101"/>
      <c r="IH156" s="101"/>
      <c r="II156" s="101"/>
      <c r="IJ156" s="101"/>
      <c r="IK156" s="101"/>
      <c r="IL156" s="101"/>
      <c r="IM156" s="101"/>
      <c r="IN156" s="101"/>
      <c r="IO156" s="101"/>
      <c r="IP156" s="101"/>
      <c r="IQ156" s="101"/>
      <c r="IR156" s="101"/>
      <c r="IS156" s="101"/>
      <c r="IT156" s="101"/>
    </row>
    <row r="157" spans="1:254">
      <c r="A157" s="101"/>
      <c r="B157" s="101"/>
      <c r="C157" s="101"/>
      <c r="D157" s="101"/>
      <c r="F157" s="7"/>
      <c r="G157" s="7"/>
      <c r="H157" s="7"/>
      <c r="I157" s="7"/>
      <c r="J157" s="7"/>
      <c r="K157" s="7"/>
      <c r="L157" s="7"/>
      <c r="M157" s="52"/>
      <c r="N157" s="52"/>
      <c r="O157" s="7"/>
      <c r="P157" s="52"/>
      <c r="Q157" s="52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  <c r="AI157" s="101"/>
      <c r="AJ157" s="101"/>
      <c r="AK157" s="101"/>
      <c r="AL157" s="101"/>
      <c r="AM157" s="101"/>
      <c r="AN157" s="101"/>
      <c r="AO157" s="101"/>
      <c r="AP157" s="101"/>
      <c r="AQ157" s="101"/>
      <c r="AR157" s="101"/>
      <c r="AS157" s="101"/>
      <c r="AT157" s="101"/>
      <c r="AU157" s="101"/>
      <c r="AV157" s="101"/>
      <c r="AW157" s="101"/>
      <c r="AX157" s="101"/>
      <c r="AY157" s="101"/>
      <c r="AZ157" s="101"/>
      <c r="BA157" s="101"/>
      <c r="BB157" s="101"/>
      <c r="BC157" s="101"/>
      <c r="BD157" s="101"/>
      <c r="BE157" s="101"/>
      <c r="BF157" s="101"/>
      <c r="BG157" s="101"/>
      <c r="BH157" s="101"/>
      <c r="BI157" s="101"/>
      <c r="BJ157" s="101"/>
      <c r="BK157" s="101"/>
      <c r="BL157" s="101"/>
      <c r="BM157" s="101"/>
      <c r="BN157" s="101"/>
      <c r="BO157" s="101"/>
      <c r="BP157" s="101"/>
      <c r="BQ157" s="101"/>
      <c r="BR157" s="101"/>
      <c r="BS157" s="101"/>
      <c r="BT157" s="101"/>
      <c r="BU157" s="101"/>
      <c r="BV157" s="101"/>
      <c r="BW157" s="101"/>
      <c r="BX157" s="101"/>
      <c r="BY157" s="101"/>
      <c r="BZ157" s="101"/>
      <c r="CA157" s="101"/>
      <c r="CB157" s="101"/>
      <c r="CC157" s="101"/>
      <c r="CD157" s="101"/>
      <c r="CE157" s="101"/>
      <c r="CF157" s="101"/>
      <c r="CG157" s="101"/>
      <c r="CH157" s="101"/>
      <c r="CI157" s="101"/>
      <c r="CJ157" s="101"/>
      <c r="CK157" s="101"/>
      <c r="CL157" s="101"/>
      <c r="CM157" s="101"/>
      <c r="CN157" s="101"/>
      <c r="CO157" s="101"/>
      <c r="CP157" s="101"/>
      <c r="CQ157" s="101"/>
      <c r="CR157" s="101"/>
      <c r="CS157" s="101"/>
      <c r="CT157" s="101"/>
      <c r="CU157" s="101"/>
      <c r="CV157" s="101"/>
      <c r="CW157" s="101"/>
      <c r="CX157" s="101"/>
      <c r="CY157" s="101"/>
      <c r="CZ157" s="101"/>
      <c r="DA157" s="101"/>
      <c r="DB157" s="101"/>
      <c r="DC157" s="101"/>
      <c r="DD157" s="101"/>
      <c r="DE157" s="101"/>
      <c r="DF157" s="101"/>
      <c r="DG157" s="101"/>
      <c r="DH157" s="101"/>
      <c r="DI157" s="101"/>
      <c r="DJ157" s="101"/>
      <c r="DK157" s="101"/>
      <c r="DL157" s="101"/>
      <c r="DM157" s="101"/>
      <c r="DN157" s="101"/>
      <c r="DO157" s="101"/>
      <c r="DP157" s="101"/>
      <c r="DQ157" s="101"/>
      <c r="DR157" s="101"/>
      <c r="DS157" s="101"/>
      <c r="DT157" s="101"/>
      <c r="DU157" s="101"/>
      <c r="DV157" s="101"/>
      <c r="DW157" s="101"/>
      <c r="DX157" s="101"/>
      <c r="DY157" s="101"/>
      <c r="DZ157" s="101"/>
      <c r="EA157" s="101"/>
      <c r="EB157" s="101"/>
      <c r="EC157" s="101"/>
      <c r="ED157" s="101"/>
      <c r="EE157" s="101"/>
      <c r="EF157" s="101"/>
      <c r="EG157" s="101"/>
      <c r="EH157" s="101"/>
      <c r="EI157" s="101"/>
      <c r="EJ157" s="101"/>
      <c r="EK157" s="101"/>
      <c r="EL157" s="101"/>
      <c r="EM157" s="101"/>
      <c r="EN157" s="101"/>
      <c r="EO157" s="101"/>
      <c r="EP157" s="101"/>
      <c r="EQ157" s="101"/>
      <c r="ER157" s="101"/>
      <c r="ES157" s="101"/>
      <c r="ET157" s="101"/>
      <c r="EU157" s="101"/>
      <c r="EV157" s="101"/>
      <c r="EW157" s="101"/>
      <c r="EX157" s="101"/>
      <c r="EY157" s="101"/>
      <c r="EZ157" s="101"/>
      <c r="FA157" s="101"/>
      <c r="FB157" s="101"/>
      <c r="FC157" s="101"/>
      <c r="FD157" s="101"/>
      <c r="FE157" s="101"/>
      <c r="FF157" s="101"/>
      <c r="FG157" s="101"/>
      <c r="FH157" s="101"/>
      <c r="FI157" s="101"/>
      <c r="FJ157" s="101"/>
      <c r="FK157" s="101"/>
      <c r="FL157" s="101"/>
      <c r="FM157" s="101"/>
      <c r="FN157" s="101"/>
      <c r="FO157" s="101"/>
      <c r="FP157" s="101"/>
      <c r="FQ157" s="101"/>
      <c r="FR157" s="101"/>
      <c r="FS157" s="101"/>
      <c r="FT157" s="101"/>
      <c r="FU157" s="101"/>
      <c r="FV157" s="101"/>
      <c r="FW157" s="101"/>
      <c r="FX157" s="101"/>
      <c r="FY157" s="101"/>
      <c r="FZ157" s="101"/>
      <c r="GA157" s="101"/>
      <c r="GB157" s="101"/>
      <c r="GC157" s="101"/>
      <c r="GD157" s="101"/>
      <c r="GE157" s="101"/>
      <c r="GF157" s="101"/>
      <c r="GG157" s="101"/>
      <c r="GH157" s="101"/>
      <c r="GI157" s="101"/>
      <c r="GJ157" s="101"/>
      <c r="GK157" s="101"/>
      <c r="GL157" s="101"/>
      <c r="GM157" s="101"/>
      <c r="GN157" s="101"/>
      <c r="GO157" s="101"/>
      <c r="GP157" s="101"/>
      <c r="GQ157" s="101"/>
      <c r="GR157" s="101"/>
      <c r="GS157" s="101"/>
      <c r="GT157" s="101"/>
      <c r="GU157" s="101"/>
      <c r="GV157" s="101"/>
      <c r="GW157" s="101"/>
      <c r="GX157" s="101"/>
      <c r="GY157" s="101"/>
      <c r="GZ157" s="101"/>
      <c r="HA157" s="101"/>
      <c r="HB157" s="101"/>
      <c r="HC157" s="101"/>
      <c r="HD157" s="101"/>
      <c r="HE157" s="101"/>
      <c r="HF157" s="101"/>
      <c r="HG157" s="101"/>
      <c r="HH157" s="101"/>
      <c r="HI157" s="101"/>
      <c r="HJ157" s="101"/>
      <c r="HK157" s="101"/>
      <c r="HL157" s="101"/>
      <c r="HM157" s="101"/>
      <c r="HN157" s="101"/>
      <c r="HO157" s="101"/>
      <c r="HP157" s="101"/>
      <c r="HQ157" s="101"/>
      <c r="HR157" s="101"/>
      <c r="HS157" s="101"/>
      <c r="HT157" s="101"/>
      <c r="HU157" s="101"/>
      <c r="HV157" s="101"/>
      <c r="HW157" s="101"/>
      <c r="HX157" s="101"/>
      <c r="HY157" s="101"/>
      <c r="HZ157" s="101"/>
      <c r="IA157" s="101"/>
      <c r="IB157" s="101"/>
      <c r="IC157" s="101"/>
      <c r="ID157" s="101"/>
      <c r="IE157" s="101"/>
      <c r="IF157" s="101"/>
      <c r="IG157" s="101"/>
      <c r="IH157" s="101"/>
      <c r="II157" s="101"/>
      <c r="IJ157" s="101"/>
      <c r="IK157" s="101"/>
      <c r="IL157" s="101"/>
      <c r="IM157" s="101"/>
      <c r="IN157" s="101"/>
      <c r="IO157" s="101"/>
      <c r="IP157" s="101"/>
      <c r="IQ157" s="101"/>
      <c r="IR157" s="101"/>
      <c r="IS157" s="101"/>
      <c r="IT157" s="101"/>
    </row>
    <row r="158" spans="1:254">
      <c r="A158" s="101"/>
      <c r="B158" s="101"/>
      <c r="C158" s="101"/>
      <c r="D158" s="101"/>
      <c r="F158" s="7"/>
      <c r="G158" s="7"/>
      <c r="H158" s="7"/>
      <c r="I158" s="7"/>
      <c r="J158" s="7"/>
      <c r="K158" s="7"/>
      <c r="L158" s="7"/>
      <c r="M158" s="52"/>
      <c r="N158" s="52"/>
      <c r="O158" s="7"/>
      <c r="P158" s="52"/>
      <c r="Q158" s="52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101"/>
      <c r="AJ158" s="101"/>
      <c r="AK158" s="101"/>
      <c r="AL158" s="101"/>
      <c r="AM158" s="101"/>
      <c r="AN158" s="101"/>
      <c r="AO158" s="101"/>
      <c r="AP158" s="101"/>
      <c r="AQ158" s="101"/>
      <c r="AR158" s="101"/>
      <c r="AS158" s="101"/>
      <c r="AT158" s="101"/>
      <c r="AU158" s="101"/>
      <c r="AV158" s="101"/>
      <c r="AW158" s="101"/>
      <c r="AX158" s="101"/>
      <c r="AY158" s="101"/>
      <c r="AZ158" s="101"/>
      <c r="BA158" s="101"/>
      <c r="BB158" s="101"/>
      <c r="BC158" s="101"/>
      <c r="BD158" s="101"/>
      <c r="BE158" s="101"/>
      <c r="BF158" s="101"/>
      <c r="BG158" s="101"/>
      <c r="BH158" s="101"/>
      <c r="BI158" s="101"/>
      <c r="BJ158" s="101"/>
      <c r="BK158" s="101"/>
      <c r="BL158" s="101"/>
      <c r="BM158" s="101"/>
      <c r="BN158" s="101"/>
      <c r="BO158" s="101"/>
      <c r="BP158" s="101"/>
      <c r="BQ158" s="101"/>
      <c r="BR158" s="101"/>
      <c r="BS158" s="101"/>
      <c r="BT158" s="101"/>
      <c r="BU158" s="101"/>
      <c r="BV158" s="101"/>
      <c r="BW158" s="101"/>
      <c r="BX158" s="101"/>
      <c r="BY158" s="101"/>
      <c r="BZ158" s="101"/>
      <c r="CA158" s="101"/>
      <c r="CB158" s="101"/>
      <c r="CC158" s="101"/>
      <c r="CD158" s="101"/>
      <c r="CE158" s="101"/>
      <c r="CF158" s="101"/>
      <c r="CG158" s="101"/>
      <c r="CH158" s="101"/>
      <c r="CI158" s="101"/>
      <c r="CJ158" s="101"/>
      <c r="CK158" s="101"/>
      <c r="CL158" s="101"/>
      <c r="CM158" s="101"/>
      <c r="CN158" s="101"/>
      <c r="CO158" s="101"/>
      <c r="CP158" s="101"/>
      <c r="CQ158" s="101"/>
      <c r="CR158" s="101"/>
      <c r="CS158" s="101"/>
      <c r="CT158" s="101"/>
      <c r="CU158" s="101"/>
      <c r="CV158" s="101"/>
      <c r="CW158" s="101"/>
      <c r="CX158" s="101"/>
      <c r="CY158" s="101"/>
      <c r="CZ158" s="101"/>
      <c r="DA158" s="101"/>
      <c r="DB158" s="101"/>
      <c r="DC158" s="101"/>
      <c r="DD158" s="101"/>
      <c r="DE158" s="101"/>
      <c r="DF158" s="101"/>
      <c r="DG158" s="101"/>
      <c r="DH158" s="101"/>
      <c r="DI158" s="101"/>
      <c r="DJ158" s="101"/>
      <c r="DK158" s="101"/>
      <c r="DL158" s="101"/>
      <c r="DM158" s="101"/>
      <c r="DN158" s="101"/>
      <c r="DO158" s="101"/>
      <c r="DP158" s="101"/>
      <c r="DQ158" s="101"/>
      <c r="DR158" s="101"/>
      <c r="DS158" s="101"/>
      <c r="DT158" s="101"/>
      <c r="DU158" s="101"/>
      <c r="DV158" s="101"/>
      <c r="DW158" s="101"/>
      <c r="DX158" s="101"/>
      <c r="DY158" s="101"/>
      <c r="DZ158" s="101"/>
      <c r="EA158" s="101"/>
      <c r="EB158" s="101"/>
      <c r="EC158" s="101"/>
      <c r="ED158" s="101"/>
      <c r="EE158" s="101"/>
      <c r="EF158" s="101"/>
      <c r="EG158" s="101"/>
      <c r="EH158" s="101"/>
      <c r="EI158" s="101"/>
      <c r="EJ158" s="101"/>
      <c r="EK158" s="101"/>
      <c r="EL158" s="101"/>
      <c r="EM158" s="101"/>
      <c r="EN158" s="101"/>
      <c r="EO158" s="101"/>
      <c r="EP158" s="101"/>
      <c r="EQ158" s="101"/>
      <c r="ER158" s="101"/>
      <c r="ES158" s="101"/>
      <c r="ET158" s="101"/>
      <c r="EU158" s="101"/>
      <c r="EV158" s="101"/>
      <c r="EW158" s="101"/>
      <c r="EX158" s="101"/>
      <c r="EY158" s="101"/>
      <c r="EZ158" s="101"/>
      <c r="FA158" s="101"/>
      <c r="FB158" s="101"/>
      <c r="FC158" s="101"/>
      <c r="FD158" s="101"/>
      <c r="FE158" s="101"/>
      <c r="FF158" s="101"/>
      <c r="FG158" s="101"/>
      <c r="FH158" s="101"/>
      <c r="FI158" s="101"/>
      <c r="FJ158" s="101"/>
      <c r="FK158" s="101"/>
      <c r="FL158" s="101"/>
      <c r="FM158" s="101"/>
      <c r="FN158" s="101"/>
      <c r="FO158" s="101"/>
      <c r="FP158" s="101"/>
      <c r="FQ158" s="101"/>
      <c r="FR158" s="101"/>
      <c r="FS158" s="101"/>
      <c r="FT158" s="101"/>
      <c r="FU158" s="101"/>
      <c r="FV158" s="101"/>
      <c r="FW158" s="101"/>
      <c r="FX158" s="101"/>
      <c r="FY158" s="101"/>
      <c r="FZ158" s="101"/>
      <c r="GA158" s="101"/>
      <c r="GB158" s="101"/>
      <c r="GC158" s="101"/>
      <c r="GD158" s="101"/>
      <c r="GE158" s="101"/>
      <c r="GF158" s="101"/>
      <c r="GG158" s="101"/>
      <c r="GH158" s="101"/>
      <c r="GI158" s="101"/>
      <c r="GJ158" s="101"/>
      <c r="GK158" s="101"/>
      <c r="GL158" s="101"/>
      <c r="GM158" s="101"/>
      <c r="GN158" s="101"/>
      <c r="GO158" s="101"/>
      <c r="GP158" s="101"/>
      <c r="GQ158" s="101"/>
      <c r="GR158" s="101"/>
      <c r="GS158" s="101"/>
      <c r="GT158" s="101"/>
      <c r="GU158" s="101"/>
      <c r="GV158" s="101"/>
      <c r="GW158" s="101"/>
      <c r="GX158" s="101"/>
      <c r="GY158" s="101"/>
      <c r="GZ158" s="101"/>
      <c r="HA158" s="101"/>
      <c r="HB158" s="101"/>
      <c r="HC158" s="101"/>
      <c r="HD158" s="101"/>
      <c r="HE158" s="101"/>
      <c r="HF158" s="101"/>
      <c r="HG158" s="101"/>
      <c r="HH158" s="101"/>
      <c r="HI158" s="101"/>
      <c r="HJ158" s="101"/>
      <c r="HK158" s="101"/>
      <c r="HL158" s="101"/>
      <c r="HM158" s="101"/>
      <c r="HN158" s="101"/>
      <c r="HO158" s="101"/>
      <c r="HP158" s="101"/>
      <c r="HQ158" s="101"/>
      <c r="HR158" s="101"/>
      <c r="HS158" s="101"/>
      <c r="HT158" s="101"/>
      <c r="HU158" s="101"/>
      <c r="HV158" s="101"/>
      <c r="HW158" s="101"/>
      <c r="HX158" s="101"/>
      <c r="HY158" s="101"/>
      <c r="HZ158" s="101"/>
      <c r="IA158" s="101"/>
      <c r="IB158" s="101"/>
      <c r="IC158" s="101"/>
      <c r="ID158" s="101"/>
      <c r="IE158" s="101"/>
      <c r="IF158" s="101"/>
      <c r="IG158" s="101"/>
      <c r="IH158" s="101"/>
      <c r="II158" s="101"/>
      <c r="IJ158" s="101"/>
      <c r="IK158" s="101"/>
      <c r="IL158" s="101"/>
      <c r="IM158" s="101"/>
      <c r="IN158" s="101"/>
      <c r="IO158" s="101"/>
      <c r="IP158" s="101"/>
      <c r="IQ158" s="101"/>
      <c r="IR158" s="101"/>
      <c r="IS158" s="101"/>
      <c r="IT158" s="101"/>
    </row>
    <row r="159" spans="1:254">
      <c r="A159" s="101"/>
      <c r="B159" s="101"/>
      <c r="C159" s="101"/>
      <c r="D159" s="101"/>
      <c r="F159" s="7"/>
      <c r="G159" s="7"/>
      <c r="H159" s="7"/>
      <c r="I159" s="7"/>
      <c r="J159" s="7"/>
      <c r="K159" s="7"/>
      <c r="L159" s="7"/>
      <c r="M159" s="52"/>
      <c r="N159" s="52"/>
      <c r="O159" s="7"/>
      <c r="P159" s="52"/>
      <c r="Q159" s="52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01"/>
      <c r="AF159" s="101"/>
      <c r="AG159" s="101"/>
      <c r="AH159" s="101"/>
      <c r="AI159" s="101"/>
      <c r="AJ159" s="101"/>
      <c r="AK159" s="101"/>
      <c r="AL159" s="101"/>
      <c r="AM159" s="101"/>
      <c r="AN159" s="101"/>
      <c r="AO159" s="101"/>
      <c r="AP159" s="101"/>
      <c r="AQ159" s="101"/>
      <c r="AR159" s="101"/>
      <c r="AS159" s="101"/>
      <c r="AT159" s="101"/>
      <c r="AU159" s="101"/>
      <c r="AV159" s="101"/>
      <c r="AW159" s="101"/>
      <c r="AX159" s="101"/>
      <c r="AY159" s="101"/>
      <c r="AZ159" s="101"/>
      <c r="BA159" s="101"/>
      <c r="BB159" s="101"/>
      <c r="BC159" s="101"/>
      <c r="BD159" s="101"/>
      <c r="BE159" s="101"/>
      <c r="BF159" s="101"/>
      <c r="BG159" s="101"/>
      <c r="BH159" s="101"/>
      <c r="BI159" s="101"/>
      <c r="BJ159" s="101"/>
      <c r="BK159" s="101"/>
      <c r="BL159" s="101"/>
      <c r="BM159" s="101"/>
      <c r="BN159" s="101"/>
      <c r="BO159" s="101"/>
      <c r="BP159" s="101"/>
      <c r="BQ159" s="101"/>
      <c r="BR159" s="101"/>
      <c r="BS159" s="101"/>
      <c r="BT159" s="101"/>
      <c r="BU159" s="101"/>
      <c r="BV159" s="101"/>
      <c r="BW159" s="101"/>
      <c r="BX159" s="101"/>
      <c r="BY159" s="101"/>
      <c r="BZ159" s="101"/>
      <c r="CA159" s="101"/>
      <c r="CB159" s="101"/>
      <c r="CC159" s="101"/>
      <c r="CD159" s="101"/>
      <c r="CE159" s="101"/>
      <c r="CF159" s="101"/>
      <c r="CG159" s="101"/>
      <c r="CH159" s="101"/>
      <c r="CI159" s="101"/>
      <c r="CJ159" s="101"/>
      <c r="CK159" s="101"/>
      <c r="CL159" s="101"/>
      <c r="CM159" s="101"/>
      <c r="CN159" s="101"/>
      <c r="CO159" s="101"/>
      <c r="CP159" s="101"/>
      <c r="CQ159" s="101"/>
      <c r="CR159" s="101"/>
      <c r="CS159" s="101"/>
      <c r="CT159" s="101"/>
      <c r="CU159" s="101"/>
      <c r="CV159" s="101"/>
      <c r="CW159" s="101"/>
      <c r="CX159" s="101"/>
      <c r="CY159" s="101"/>
      <c r="CZ159" s="101"/>
      <c r="DA159" s="101"/>
      <c r="DB159" s="101"/>
      <c r="DC159" s="101"/>
      <c r="DD159" s="101"/>
      <c r="DE159" s="101"/>
      <c r="DF159" s="101"/>
      <c r="DG159" s="101"/>
      <c r="DH159" s="101"/>
      <c r="DI159" s="101"/>
      <c r="DJ159" s="101"/>
      <c r="DK159" s="101"/>
      <c r="DL159" s="101"/>
      <c r="DM159" s="101"/>
      <c r="DN159" s="101"/>
      <c r="DO159" s="101"/>
      <c r="DP159" s="101"/>
      <c r="DQ159" s="101"/>
      <c r="DR159" s="101"/>
      <c r="DS159" s="101"/>
      <c r="DT159" s="101"/>
      <c r="DU159" s="101"/>
      <c r="DV159" s="101"/>
      <c r="DW159" s="101"/>
      <c r="DX159" s="101"/>
      <c r="DY159" s="101"/>
      <c r="DZ159" s="101"/>
      <c r="EA159" s="101"/>
      <c r="EB159" s="101"/>
      <c r="EC159" s="101"/>
      <c r="ED159" s="101"/>
      <c r="EE159" s="101"/>
      <c r="EF159" s="101"/>
      <c r="EG159" s="101"/>
      <c r="EH159" s="101"/>
      <c r="EI159" s="101"/>
      <c r="EJ159" s="101"/>
      <c r="EK159" s="101"/>
      <c r="EL159" s="101"/>
      <c r="EM159" s="101"/>
      <c r="EN159" s="101"/>
      <c r="EO159" s="101"/>
      <c r="EP159" s="101"/>
      <c r="EQ159" s="101"/>
      <c r="ER159" s="101"/>
      <c r="ES159" s="101"/>
      <c r="ET159" s="101"/>
      <c r="EU159" s="101"/>
      <c r="EV159" s="101"/>
      <c r="EW159" s="101"/>
      <c r="EX159" s="101"/>
      <c r="EY159" s="101"/>
      <c r="EZ159" s="101"/>
      <c r="FA159" s="101"/>
      <c r="FB159" s="101"/>
      <c r="FC159" s="101"/>
      <c r="FD159" s="101"/>
      <c r="FE159" s="101"/>
      <c r="FF159" s="101"/>
      <c r="FG159" s="101"/>
      <c r="FH159" s="101"/>
      <c r="FI159" s="101"/>
      <c r="FJ159" s="101"/>
      <c r="FK159" s="101"/>
      <c r="FL159" s="101"/>
      <c r="FM159" s="101"/>
      <c r="FN159" s="101"/>
      <c r="FO159" s="101"/>
      <c r="FP159" s="101"/>
      <c r="FQ159" s="101"/>
      <c r="FR159" s="101"/>
      <c r="FS159" s="101"/>
      <c r="FT159" s="101"/>
      <c r="FU159" s="101"/>
      <c r="FV159" s="101"/>
      <c r="FW159" s="101"/>
      <c r="FX159" s="101"/>
      <c r="FY159" s="101"/>
      <c r="FZ159" s="101"/>
      <c r="GA159" s="101"/>
      <c r="GB159" s="101"/>
      <c r="GC159" s="101"/>
      <c r="GD159" s="101"/>
      <c r="GE159" s="101"/>
      <c r="GF159" s="101"/>
      <c r="GG159" s="101"/>
      <c r="GH159" s="101"/>
      <c r="GI159" s="101"/>
      <c r="GJ159" s="101"/>
      <c r="GK159" s="101"/>
      <c r="GL159" s="101"/>
      <c r="GM159" s="101"/>
      <c r="GN159" s="101"/>
      <c r="GO159" s="101"/>
      <c r="GP159" s="101"/>
      <c r="GQ159" s="101"/>
      <c r="GR159" s="101"/>
      <c r="GS159" s="101"/>
      <c r="GT159" s="101"/>
      <c r="GU159" s="101"/>
      <c r="GV159" s="101"/>
      <c r="GW159" s="101"/>
      <c r="GX159" s="101"/>
      <c r="GY159" s="101"/>
      <c r="GZ159" s="101"/>
      <c r="HA159" s="101"/>
      <c r="HB159" s="101"/>
      <c r="HC159" s="101"/>
      <c r="HD159" s="101"/>
      <c r="HE159" s="101"/>
      <c r="HF159" s="101"/>
      <c r="HG159" s="101"/>
      <c r="HH159" s="101"/>
      <c r="HI159" s="101"/>
      <c r="HJ159" s="101"/>
      <c r="HK159" s="101"/>
      <c r="HL159" s="101"/>
      <c r="HM159" s="101"/>
      <c r="HN159" s="101"/>
      <c r="HO159" s="101"/>
      <c r="HP159" s="101"/>
      <c r="HQ159" s="101"/>
      <c r="HR159" s="101"/>
      <c r="HS159" s="101"/>
      <c r="HT159" s="101"/>
      <c r="HU159" s="101"/>
      <c r="HV159" s="101"/>
      <c r="HW159" s="101"/>
      <c r="HX159" s="101"/>
      <c r="HY159" s="101"/>
      <c r="HZ159" s="101"/>
      <c r="IA159" s="101"/>
      <c r="IB159" s="101"/>
      <c r="IC159" s="101"/>
      <c r="ID159" s="101"/>
      <c r="IE159" s="101"/>
      <c r="IF159" s="101"/>
      <c r="IG159" s="101"/>
      <c r="IH159" s="101"/>
      <c r="II159" s="101"/>
      <c r="IJ159" s="101"/>
      <c r="IK159" s="101"/>
      <c r="IL159" s="101"/>
      <c r="IM159" s="101"/>
      <c r="IN159" s="101"/>
      <c r="IO159" s="101"/>
      <c r="IP159" s="101"/>
      <c r="IQ159" s="101"/>
      <c r="IR159" s="101"/>
      <c r="IS159" s="101"/>
      <c r="IT159" s="101"/>
    </row>
    <row r="160" spans="1:254">
      <c r="A160" s="101"/>
      <c r="B160" s="101"/>
      <c r="C160" s="101"/>
      <c r="D160" s="101"/>
      <c r="F160" s="7"/>
      <c r="G160" s="7"/>
      <c r="H160" s="7"/>
      <c r="I160" s="7"/>
      <c r="J160" s="7"/>
      <c r="K160" s="7"/>
      <c r="L160" s="7"/>
      <c r="M160" s="52"/>
      <c r="N160" s="52"/>
      <c r="O160" s="7"/>
      <c r="P160" s="52"/>
      <c r="Q160" s="52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  <c r="AF160" s="101"/>
      <c r="AG160" s="101"/>
      <c r="AH160" s="101"/>
      <c r="AI160" s="101"/>
      <c r="AJ160" s="101"/>
      <c r="AK160" s="101"/>
      <c r="AL160" s="101"/>
      <c r="AM160" s="101"/>
      <c r="AN160" s="101"/>
      <c r="AO160" s="101"/>
      <c r="AP160" s="101"/>
      <c r="AQ160" s="101"/>
      <c r="AR160" s="101"/>
      <c r="AS160" s="101"/>
      <c r="AT160" s="101"/>
      <c r="AU160" s="101"/>
      <c r="AV160" s="101"/>
      <c r="AW160" s="101"/>
      <c r="AX160" s="101"/>
      <c r="AY160" s="101"/>
      <c r="AZ160" s="101"/>
      <c r="BA160" s="101"/>
      <c r="BB160" s="101"/>
      <c r="BC160" s="101"/>
      <c r="BD160" s="101"/>
      <c r="BE160" s="101"/>
      <c r="BF160" s="101"/>
      <c r="BG160" s="101"/>
      <c r="BH160" s="101"/>
      <c r="BI160" s="101"/>
      <c r="BJ160" s="101"/>
      <c r="BK160" s="101"/>
      <c r="BL160" s="101"/>
      <c r="BM160" s="101"/>
      <c r="BN160" s="101"/>
      <c r="BO160" s="101"/>
      <c r="BP160" s="101"/>
      <c r="BQ160" s="101"/>
      <c r="BR160" s="101"/>
      <c r="BS160" s="101"/>
      <c r="BT160" s="101"/>
      <c r="BU160" s="101"/>
      <c r="BV160" s="101"/>
      <c r="BW160" s="101"/>
      <c r="BX160" s="101"/>
      <c r="BY160" s="101"/>
      <c r="BZ160" s="101"/>
      <c r="CA160" s="101"/>
      <c r="CB160" s="101"/>
      <c r="CC160" s="101"/>
      <c r="CD160" s="101"/>
      <c r="CE160" s="101"/>
      <c r="CF160" s="101"/>
      <c r="CG160" s="101"/>
      <c r="CH160" s="101"/>
      <c r="CI160" s="101"/>
      <c r="CJ160" s="101"/>
      <c r="CK160" s="101"/>
      <c r="CL160" s="101"/>
      <c r="CM160" s="101"/>
      <c r="CN160" s="101"/>
      <c r="CO160" s="101"/>
      <c r="CP160" s="101"/>
      <c r="CQ160" s="101"/>
      <c r="CR160" s="101"/>
      <c r="CS160" s="101"/>
      <c r="CT160" s="101"/>
      <c r="CU160" s="101"/>
      <c r="CV160" s="101"/>
      <c r="CW160" s="101"/>
      <c r="CX160" s="101"/>
      <c r="CY160" s="101"/>
      <c r="CZ160" s="101"/>
      <c r="DA160" s="101"/>
      <c r="DB160" s="101"/>
      <c r="DC160" s="101"/>
      <c r="DD160" s="101"/>
      <c r="DE160" s="101"/>
      <c r="DF160" s="101"/>
      <c r="DG160" s="101"/>
      <c r="DH160" s="101"/>
      <c r="DI160" s="101"/>
      <c r="DJ160" s="101"/>
      <c r="DK160" s="101"/>
      <c r="DL160" s="101"/>
      <c r="DM160" s="101"/>
      <c r="DN160" s="101"/>
      <c r="DO160" s="101"/>
      <c r="DP160" s="101"/>
      <c r="DQ160" s="101"/>
      <c r="DR160" s="101"/>
      <c r="DS160" s="101"/>
      <c r="DT160" s="101"/>
      <c r="DU160" s="101"/>
      <c r="DV160" s="101"/>
      <c r="DW160" s="101"/>
      <c r="DX160" s="101"/>
      <c r="DY160" s="101"/>
      <c r="DZ160" s="101"/>
      <c r="EA160" s="101"/>
      <c r="EB160" s="101"/>
      <c r="EC160" s="101"/>
      <c r="ED160" s="101"/>
      <c r="EE160" s="101"/>
      <c r="EF160" s="101"/>
      <c r="EG160" s="101"/>
      <c r="EH160" s="101"/>
      <c r="EI160" s="101"/>
      <c r="EJ160" s="101"/>
      <c r="EK160" s="101"/>
      <c r="EL160" s="101"/>
      <c r="EM160" s="101"/>
      <c r="EN160" s="101"/>
      <c r="EO160" s="101"/>
      <c r="EP160" s="101"/>
      <c r="EQ160" s="101"/>
      <c r="ER160" s="101"/>
      <c r="ES160" s="101"/>
      <c r="ET160" s="101"/>
      <c r="EU160" s="101"/>
      <c r="EV160" s="101"/>
      <c r="EW160" s="101"/>
      <c r="EX160" s="101"/>
      <c r="EY160" s="101"/>
      <c r="EZ160" s="101"/>
      <c r="FA160" s="101"/>
      <c r="FB160" s="101"/>
      <c r="FC160" s="101"/>
      <c r="FD160" s="101"/>
      <c r="FE160" s="101"/>
      <c r="FF160" s="101"/>
      <c r="FG160" s="101"/>
      <c r="FH160" s="101"/>
      <c r="FI160" s="101"/>
      <c r="FJ160" s="101"/>
      <c r="FK160" s="101"/>
      <c r="FL160" s="101"/>
      <c r="FM160" s="101"/>
      <c r="FN160" s="101"/>
      <c r="FO160" s="101"/>
      <c r="FP160" s="101"/>
      <c r="FQ160" s="101"/>
      <c r="FR160" s="101"/>
      <c r="FS160" s="101"/>
      <c r="FT160" s="101"/>
      <c r="FU160" s="101"/>
      <c r="FV160" s="101"/>
      <c r="FW160" s="101"/>
      <c r="FX160" s="101"/>
      <c r="FY160" s="101"/>
      <c r="FZ160" s="101"/>
      <c r="GA160" s="101"/>
      <c r="GB160" s="101"/>
      <c r="GC160" s="101"/>
      <c r="GD160" s="101"/>
      <c r="GE160" s="101"/>
      <c r="GF160" s="101"/>
      <c r="GG160" s="101"/>
      <c r="GH160" s="101"/>
      <c r="GI160" s="101"/>
      <c r="GJ160" s="101"/>
      <c r="GK160" s="101"/>
      <c r="GL160" s="101"/>
      <c r="GM160" s="101"/>
      <c r="GN160" s="101"/>
      <c r="GO160" s="101"/>
      <c r="GP160" s="101"/>
      <c r="GQ160" s="101"/>
      <c r="GR160" s="101"/>
      <c r="GS160" s="101"/>
      <c r="GT160" s="101"/>
      <c r="GU160" s="101"/>
      <c r="GV160" s="101"/>
      <c r="GW160" s="101"/>
      <c r="GX160" s="101"/>
      <c r="GY160" s="101"/>
      <c r="GZ160" s="101"/>
      <c r="HA160" s="101"/>
      <c r="HB160" s="101"/>
      <c r="HC160" s="101"/>
      <c r="HD160" s="101"/>
      <c r="HE160" s="101"/>
      <c r="HF160" s="101"/>
      <c r="HG160" s="101"/>
      <c r="HH160" s="101"/>
      <c r="HI160" s="101"/>
      <c r="HJ160" s="101"/>
      <c r="HK160" s="101"/>
      <c r="HL160" s="101"/>
      <c r="HM160" s="101"/>
      <c r="HN160" s="101"/>
      <c r="HO160" s="101"/>
      <c r="HP160" s="101"/>
      <c r="HQ160" s="101"/>
      <c r="HR160" s="101"/>
      <c r="HS160" s="101"/>
      <c r="HT160" s="101"/>
      <c r="HU160" s="101"/>
      <c r="HV160" s="101"/>
      <c r="HW160" s="101"/>
      <c r="HX160" s="101"/>
      <c r="HY160" s="101"/>
      <c r="HZ160" s="101"/>
      <c r="IA160" s="101"/>
      <c r="IB160" s="101"/>
      <c r="IC160" s="101"/>
      <c r="ID160" s="101"/>
      <c r="IE160" s="101"/>
      <c r="IF160" s="101"/>
      <c r="IG160" s="101"/>
      <c r="IH160" s="101"/>
      <c r="II160" s="101"/>
      <c r="IJ160" s="101"/>
      <c r="IK160" s="101"/>
      <c r="IL160" s="101"/>
      <c r="IM160" s="101"/>
      <c r="IN160" s="101"/>
      <c r="IO160" s="101"/>
      <c r="IP160" s="101"/>
      <c r="IQ160" s="101"/>
      <c r="IR160" s="101"/>
      <c r="IS160" s="101"/>
      <c r="IT160" s="101"/>
    </row>
    <row r="161" spans="1:254">
      <c r="A161" s="101"/>
      <c r="B161" s="101"/>
      <c r="C161" s="101"/>
      <c r="D161" s="101"/>
      <c r="F161" s="7"/>
      <c r="G161" s="7"/>
      <c r="H161" s="7"/>
      <c r="I161" s="7"/>
      <c r="J161" s="7"/>
      <c r="K161" s="7"/>
      <c r="L161" s="7"/>
      <c r="M161" s="52"/>
      <c r="N161" s="52"/>
      <c r="O161" s="7"/>
      <c r="P161" s="52"/>
      <c r="Q161" s="52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1"/>
      <c r="AK161" s="101"/>
      <c r="AL161" s="101"/>
      <c r="AM161" s="101"/>
      <c r="AN161" s="101"/>
      <c r="AO161" s="101"/>
      <c r="AP161" s="101"/>
      <c r="AQ161" s="101"/>
      <c r="AR161" s="101"/>
      <c r="AS161" s="101"/>
      <c r="AT161" s="101"/>
      <c r="AU161" s="101"/>
      <c r="AV161" s="101"/>
      <c r="AW161" s="101"/>
      <c r="AX161" s="101"/>
      <c r="AY161" s="101"/>
      <c r="AZ161" s="101"/>
      <c r="BA161" s="101"/>
      <c r="BB161" s="101"/>
      <c r="BC161" s="101"/>
      <c r="BD161" s="101"/>
      <c r="BE161" s="101"/>
      <c r="BF161" s="101"/>
      <c r="BG161" s="101"/>
      <c r="BH161" s="101"/>
      <c r="BI161" s="101"/>
      <c r="BJ161" s="101"/>
      <c r="BK161" s="101"/>
      <c r="BL161" s="101"/>
      <c r="BM161" s="101"/>
      <c r="BN161" s="101"/>
      <c r="BO161" s="101"/>
      <c r="BP161" s="101"/>
      <c r="BQ161" s="101"/>
      <c r="BR161" s="101"/>
      <c r="BS161" s="101"/>
      <c r="BT161" s="101"/>
      <c r="BU161" s="101"/>
      <c r="BV161" s="101"/>
      <c r="BW161" s="101"/>
      <c r="BX161" s="101"/>
      <c r="BY161" s="101"/>
      <c r="BZ161" s="101"/>
      <c r="CA161" s="101"/>
      <c r="CB161" s="101"/>
      <c r="CC161" s="101"/>
      <c r="CD161" s="101"/>
      <c r="CE161" s="101"/>
      <c r="CF161" s="101"/>
      <c r="CG161" s="101"/>
      <c r="CH161" s="101"/>
      <c r="CI161" s="101"/>
      <c r="CJ161" s="101"/>
      <c r="CK161" s="101"/>
      <c r="CL161" s="101"/>
      <c r="CM161" s="101"/>
      <c r="CN161" s="101"/>
      <c r="CO161" s="101"/>
      <c r="CP161" s="101"/>
      <c r="CQ161" s="101"/>
      <c r="CR161" s="101"/>
      <c r="CS161" s="101"/>
      <c r="CT161" s="101"/>
      <c r="CU161" s="101"/>
      <c r="CV161" s="101"/>
      <c r="CW161" s="101"/>
      <c r="CX161" s="101"/>
      <c r="CY161" s="101"/>
      <c r="CZ161" s="101"/>
      <c r="DA161" s="101"/>
      <c r="DB161" s="101"/>
      <c r="DC161" s="101"/>
      <c r="DD161" s="101"/>
      <c r="DE161" s="101"/>
      <c r="DF161" s="101"/>
      <c r="DG161" s="101"/>
      <c r="DH161" s="101"/>
      <c r="DI161" s="101"/>
      <c r="DJ161" s="101"/>
      <c r="DK161" s="101"/>
      <c r="DL161" s="101"/>
      <c r="DM161" s="101"/>
      <c r="DN161" s="101"/>
      <c r="DO161" s="101"/>
      <c r="DP161" s="101"/>
      <c r="DQ161" s="101"/>
      <c r="DR161" s="101"/>
      <c r="DS161" s="101"/>
      <c r="DT161" s="101"/>
      <c r="DU161" s="101"/>
      <c r="DV161" s="101"/>
      <c r="DW161" s="101"/>
      <c r="DX161" s="101"/>
      <c r="DY161" s="101"/>
      <c r="DZ161" s="101"/>
      <c r="EA161" s="101"/>
      <c r="EB161" s="101"/>
      <c r="EC161" s="101"/>
      <c r="ED161" s="101"/>
      <c r="EE161" s="101"/>
      <c r="EF161" s="101"/>
      <c r="EG161" s="101"/>
      <c r="EH161" s="101"/>
      <c r="EI161" s="101"/>
      <c r="EJ161" s="101"/>
      <c r="EK161" s="101"/>
      <c r="EL161" s="101"/>
      <c r="EM161" s="101"/>
      <c r="EN161" s="101"/>
      <c r="EO161" s="101"/>
      <c r="EP161" s="101"/>
      <c r="EQ161" s="101"/>
      <c r="ER161" s="101"/>
      <c r="ES161" s="101"/>
      <c r="ET161" s="101"/>
      <c r="EU161" s="101"/>
      <c r="EV161" s="101"/>
      <c r="EW161" s="101"/>
      <c r="EX161" s="101"/>
      <c r="EY161" s="101"/>
      <c r="EZ161" s="101"/>
      <c r="FA161" s="101"/>
      <c r="FB161" s="101"/>
      <c r="FC161" s="101"/>
      <c r="FD161" s="101"/>
      <c r="FE161" s="101"/>
      <c r="FF161" s="101"/>
      <c r="FG161" s="101"/>
      <c r="FH161" s="101"/>
      <c r="FI161" s="101"/>
      <c r="FJ161" s="101"/>
      <c r="FK161" s="101"/>
      <c r="FL161" s="101"/>
      <c r="FM161" s="101"/>
      <c r="FN161" s="101"/>
      <c r="FO161" s="101"/>
      <c r="FP161" s="101"/>
      <c r="FQ161" s="101"/>
      <c r="FR161" s="101"/>
      <c r="FS161" s="101"/>
      <c r="FT161" s="101"/>
      <c r="FU161" s="101"/>
      <c r="FV161" s="101"/>
      <c r="FW161" s="101"/>
      <c r="FX161" s="101"/>
      <c r="FY161" s="101"/>
      <c r="FZ161" s="101"/>
      <c r="GA161" s="101"/>
      <c r="GB161" s="101"/>
      <c r="GC161" s="101"/>
      <c r="GD161" s="101"/>
      <c r="GE161" s="101"/>
      <c r="GF161" s="101"/>
      <c r="GG161" s="101"/>
      <c r="GH161" s="101"/>
      <c r="GI161" s="101"/>
      <c r="GJ161" s="101"/>
      <c r="GK161" s="101"/>
      <c r="GL161" s="101"/>
      <c r="GM161" s="101"/>
      <c r="GN161" s="101"/>
      <c r="GO161" s="101"/>
      <c r="GP161" s="101"/>
      <c r="GQ161" s="101"/>
      <c r="GR161" s="101"/>
      <c r="GS161" s="101"/>
      <c r="GT161" s="101"/>
      <c r="GU161" s="101"/>
      <c r="GV161" s="101"/>
      <c r="GW161" s="101"/>
      <c r="GX161" s="101"/>
      <c r="GY161" s="101"/>
      <c r="GZ161" s="101"/>
      <c r="HA161" s="101"/>
      <c r="HB161" s="101"/>
      <c r="HC161" s="101"/>
      <c r="HD161" s="101"/>
      <c r="HE161" s="101"/>
      <c r="HF161" s="101"/>
      <c r="HG161" s="101"/>
      <c r="HH161" s="101"/>
      <c r="HI161" s="101"/>
      <c r="HJ161" s="101"/>
      <c r="HK161" s="101"/>
      <c r="HL161" s="101"/>
      <c r="HM161" s="101"/>
      <c r="HN161" s="101"/>
      <c r="HO161" s="101"/>
      <c r="HP161" s="101"/>
      <c r="HQ161" s="101"/>
      <c r="HR161" s="101"/>
      <c r="HS161" s="101"/>
      <c r="HT161" s="101"/>
      <c r="HU161" s="101"/>
      <c r="HV161" s="101"/>
      <c r="HW161" s="101"/>
      <c r="HX161" s="101"/>
      <c r="HY161" s="101"/>
      <c r="HZ161" s="101"/>
      <c r="IA161" s="101"/>
      <c r="IB161" s="101"/>
      <c r="IC161" s="101"/>
      <c r="ID161" s="101"/>
      <c r="IE161" s="101"/>
      <c r="IF161" s="101"/>
      <c r="IG161" s="101"/>
      <c r="IH161" s="101"/>
      <c r="II161" s="101"/>
      <c r="IJ161" s="101"/>
      <c r="IK161" s="101"/>
      <c r="IL161" s="101"/>
      <c r="IM161" s="101"/>
      <c r="IN161" s="101"/>
      <c r="IO161" s="101"/>
      <c r="IP161" s="101"/>
      <c r="IQ161" s="101"/>
      <c r="IR161" s="101"/>
      <c r="IS161" s="101"/>
      <c r="IT161" s="101"/>
    </row>
    <row r="162" spans="1:254">
      <c r="A162" s="101"/>
      <c r="B162" s="101"/>
      <c r="C162" s="101"/>
      <c r="D162" s="101"/>
      <c r="F162" s="7"/>
      <c r="G162" s="7"/>
      <c r="H162" s="7"/>
      <c r="I162" s="7"/>
      <c r="J162" s="7"/>
      <c r="K162" s="7"/>
      <c r="L162" s="7"/>
      <c r="M162" s="52"/>
      <c r="N162" s="52"/>
      <c r="O162" s="7"/>
      <c r="P162" s="52"/>
      <c r="Q162" s="52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01"/>
      <c r="AG162" s="101"/>
      <c r="AH162" s="101"/>
      <c r="AI162" s="101"/>
      <c r="AJ162" s="101"/>
      <c r="AK162" s="101"/>
      <c r="AL162" s="101"/>
      <c r="AM162" s="101"/>
      <c r="AN162" s="101"/>
      <c r="AO162" s="101"/>
      <c r="AP162" s="101"/>
      <c r="AQ162" s="101"/>
      <c r="AR162" s="101"/>
      <c r="AS162" s="101"/>
      <c r="AT162" s="101"/>
      <c r="AU162" s="101"/>
      <c r="AV162" s="101"/>
      <c r="AW162" s="101"/>
      <c r="AX162" s="101"/>
      <c r="AY162" s="101"/>
      <c r="AZ162" s="101"/>
      <c r="BA162" s="101"/>
      <c r="BB162" s="101"/>
      <c r="BC162" s="101"/>
      <c r="BD162" s="101"/>
      <c r="BE162" s="101"/>
      <c r="BF162" s="101"/>
      <c r="BG162" s="101"/>
      <c r="BH162" s="101"/>
      <c r="BI162" s="101"/>
      <c r="BJ162" s="101"/>
      <c r="BK162" s="101"/>
      <c r="BL162" s="101"/>
      <c r="BM162" s="101"/>
      <c r="BN162" s="101"/>
      <c r="BO162" s="101"/>
      <c r="BP162" s="101"/>
      <c r="BQ162" s="101"/>
      <c r="BR162" s="101"/>
      <c r="BS162" s="101"/>
      <c r="BT162" s="101"/>
      <c r="BU162" s="101"/>
      <c r="BV162" s="101"/>
      <c r="BW162" s="101"/>
      <c r="BX162" s="101"/>
      <c r="BY162" s="101"/>
      <c r="BZ162" s="101"/>
      <c r="CA162" s="101"/>
      <c r="CB162" s="101"/>
      <c r="CC162" s="101"/>
      <c r="CD162" s="101"/>
      <c r="CE162" s="101"/>
      <c r="CF162" s="101"/>
      <c r="CG162" s="101"/>
      <c r="CH162" s="101"/>
      <c r="CI162" s="101"/>
      <c r="CJ162" s="101"/>
      <c r="CK162" s="101"/>
      <c r="CL162" s="101"/>
      <c r="CM162" s="101"/>
      <c r="CN162" s="101"/>
      <c r="CO162" s="101"/>
      <c r="CP162" s="101"/>
      <c r="CQ162" s="101"/>
      <c r="CR162" s="101"/>
      <c r="CS162" s="101"/>
      <c r="CT162" s="101"/>
      <c r="CU162" s="101"/>
      <c r="CV162" s="101"/>
      <c r="CW162" s="101"/>
      <c r="CX162" s="101"/>
      <c r="CY162" s="101"/>
      <c r="CZ162" s="101"/>
      <c r="DA162" s="101"/>
      <c r="DB162" s="101"/>
      <c r="DC162" s="101"/>
      <c r="DD162" s="101"/>
      <c r="DE162" s="101"/>
      <c r="DF162" s="101"/>
      <c r="DG162" s="101"/>
      <c r="DH162" s="101"/>
      <c r="DI162" s="101"/>
      <c r="DJ162" s="101"/>
      <c r="DK162" s="101"/>
      <c r="DL162" s="101"/>
      <c r="DM162" s="101"/>
      <c r="DN162" s="101"/>
      <c r="DO162" s="101"/>
      <c r="DP162" s="101"/>
      <c r="DQ162" s="101"/>
      <c r="DR162" s="101"/>
      <c r="DS162" s="101"/>
      <c r="DT162" s="101"/>
      <c r="DU162" s="101"/>
      <c r="DV162" s="101"/>
      <c r="DW162" s="101"/>
      <c r="DX162" s="101"/>
      <c r="DY162" s="101"/>
      <c r="DZ162" s="101"/>
      <c r="EA162" s="101"/>
      <c r="EB162" s="101"/>
      <c r="EC162" s="101"/>
      <c r="ED162" s="101"/>
      <c r="EE162" s="101"/>
      <c r="EF162" s="101"/>
      <c r="EG162" s="101"/>
      <c r="EH162" s="101"/>
      <c r="EI162" s="101"/>
      <c r="EJ162" s="101"/>
      <c r="EK162" s="101"/>
      <c r="EL162" s="101"/>
      <c r="EM162" s="101"/>
      <c r="EN162" s="101"/>
      <c r="EO162" s="101"/>
      <c r="EP162" s="101"/>
      <c r="EQ162" s="101"/>
      <c r="ER162" s="101"/>
      <c r="ES162" s="101"/>
      <c r="ET162" s="101"/>
      <c r="EU162" s="101"/>
      <c r="EV162" s="101"/>
      <c r="EW162" s="101"/>
      <c r="EX162" s="101"/>
      <c r="EY162" s="101"/>
      <c r="EZ162" s="101"/>
      <c r="FA162" s="101"/>
      <c r="FB162" s="101"/>
      <c r="FC162" s="101"/>
      <c r="FD162" s="101"/>
      <c r="FE162" s="101"/>
      <c r="FF162" s="101"/>
      <c r="FG162" s="101"/>
      <c r="FH162" s="101"/>
      <c r="FI162" s="101"/>
      <c r="FJ162" s="101"/>
      <c r="FK162" s="101"/>
      <c r="FL162" s="101"/>
      <c r="FM162" s="101"/>
      <c r="FN162" s="101"/>
      <c r="FO162" s="101"/>
      <c r="FP162" s="101"/>
      <c r="FQ162" s="101"/>
      <c r="FR162" s="101"/>
      <c r="FS162" s="101"/>
      <c r="FT162" s="101"/>
      <c r="FU162" s="101"/>
      <c r="FV162" s="101"/>
      <c r="FW162" s="101"/>
      <c r="FX162" s="101"/>
      <c r="FY162" s="101"/>
      <c r="FZ162" s="101"/>
      <c r="GA162" s="101"/>
      <c r="GB162" s="101"/>
      <c r="GC162" s="101"/>
      <c r="GD162" s="101"/>
      <c r="GE162" s="101"/>
      <c r="GF162" s="101"/>
      <c r="GG162" s="101"/>
      <c r="GH162" s="101"/>
      <c r="GI162" s="101"/>
      <c r="GJ162" s="101"/>
      <c r="GK162" s="101"/>
      <c r="GL162" s="101"/>
      <c r="GM162" s="101"/>
      <c r="GN162" s="101"/>
      <c r="GO162" s="101"/>
      <c r="GP162" s="101"/>
      <c r="GQ162" s="101"/>
      <c r="GR162" s="101"/>
      <c r="GS162" s="101"/>
      <c r="GT162" s="101"/>
      <c r="GU162" s="101"/>
      <c r="GV162" s="101"/>
      <c r="GW162" s="101"/>
      <c r="GX162" s="101"/>
      <c r="GY162" s="101"/>
      <c r="GZ162" s="101"/>
      <c r="HA162" s="101"/>
      <c r="HB162" s="101"/>
      <c r="HC162" s="101"/>
      <c r="HD162" s="101"/>
      <c r="HE162" s="101"/>
      <c r="HF162" s="101"/>
      <c r="HG162" s="101"/>
      <c r="HH162" s="101"/>
      <c r="HI162" s="101"/>
      <c r="HJ162" s="101"/>
      <c r="HK162" s="101"/>
      <c r="HL162" s="101"/>
      <c r="HM162" s="101"/>
      <c r="HN162" s="101"/>
      <c r="HO162" s="101"/>
      <c r="HP162" s="101"/>
      <c r="HQ162" s="101"/>
      <c r="HR162" s="101"/>
      <c r="HS162" s="101"/>
      <c r="HT162" s="101"/>
      <c r="HU162" s="101"/>
      <c r="HV162" s="101"/>
      <c r="HW162" s="101"/>
      <c r="HX162" s="101"/>
      <c r="HY162" s="101"/>
      <c r="HZ162" s="101"/>
      <c r="IA162" s="101"/>
      <c r="IB162" s="101"/>
      <c r="IC162" s="101"/>
      <c r="ID162" s="101"/>
      <c r="IE162" s="101"/>
      <c r="IF162" s="101"/>
      <c r="IG162" s="101"/>
      <c r="IH162" s="101"/>
      <c r="II162" s="101"/>
      <c r="IJ162" s="101"/>
      <c r="IK162" s="101"/>
      <c r="IL162" s="101"/>
      <c r="IM162" s="101"/>
      <c r="IN162" s="101"/>
      <c r="IO162" s="101"/>
      <c r="IP162" s="101"/>
      <c r="IQ162" s="101"/>
      <c r="IR162" s="101"/>
      <c r="IS162" s="101"/>
      <c r="IT162" s="101"/>
    </row>
    <row r="163" spans="1:254">
      <c r="A163" s="101"/>
      <c r="B163" s="101"/>
      <c r="C163" s="101"/>
      <c r="D163" s="101"/>
      <c r="F163" s="7"/>
      <c r="G163" s="7"/>
      <c r="H163" s="7"/>
      <c r="I163" s="7"/>
      <c r="J163" s="7"/>
      <c r="K163" s="7"/>
      <c r="L163" s="7"/>
      <c r="M163" s="52"/>
      <c r="N163" s="52"/>
      <c r="O163" s="7"/>
      <c r="P163" s="52"/>
      <c r="Q163" s="52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101"/>
      <c r="AJ163" s="101"/>
      <c r="AK163" s="101"/>
      <c r="AL163" s="101"/>
      <c r="AM163" s="101"/>
      <c r="AN163" s="101"/>
      <c r="AO163" s="101"/>
      <c r="AP163" s="101"/>
      <c r="AQ163" s="101"/>
      <c r="AR163" s="101"/>
      <c r="AS163" s="101"/>
      <c r="AT163" s="101"/>
      <c r="AU163" s="101"/>
      <c r="AV163" s="101"/>
      <c r="AW163" s="101"/>
      <c r="AX163" s="101"/>
      <c r="AY163" s="101"/>
      <c r="AZ163" s="101"/>
      <c r="BA163" s="101"/>
      <c r="BB163" s="101"/>
      <c r="BC163" s="101"/>
      <c r="BD163" s="101"/>
      <c r="BE163" s="101"/>
      <c r="BF163" s="101"/>
      <c r="BG163" s="101"/>
      <c r="BH163" s="101"/>
      <c r="BI163" s="101"/>
      <c r="BJ163" s="101"/>
      <c r="BK163" s="101"/>
      <c r="BL163" s="101"/>
      <c r="BM163" s="101"/>
      <c r="BN163" s="101"/>
      <c r="BO163" s="101"/>
      <c r="BP163" s="101"/>
      <c r="BQ163" s="101"/>
      <c r="BR163" s="101"/>
      <c r="BS163" s="101"/>
      <c r="BT163" s="101"/>
      <c r="BU163" s="101"/>
      <c r="BV163" s="101"/>
      <c r="BW163" s="101"/>
      <c r="BX163" s="101"/>
      <c r="BY163" s="101"/>
      <c r="BZ163" s="101"/>
      <c r="CA163" s="101"/>
      <c r="CB163" s="101"/>
      <c r="CC163" s="101"/>
      <c r="CD163" s="101"/>
      <c r="CE163" s="101"/>
      <c r="CF163" s="101"/>
      <c r="CG163" s="101"/>
      <c r="CH163" s="101"/>
      <c r="CI163" s="101"/>
      <c r="CJ163" s="101"/>
      <c r="CK163" s="101"/>
      <c r="CL163" s="101"/>
      <c r="CM163" s="101"/>
      <c r="CN163" s="101"/>
      <c r="CO163" s="101"/>
      <c r="CP163" s="101"/>
      <c r="CQ163" s="101"/>
      <c r="CR163" s="101"/>
      <c r="CS163" s="101"/>
      <c r="CT163" s="101"/>
      <c r="CU163" s="101"/>
      <c r="CV163" s="101"/>
      <c r="CW163" s="101"/>
      <c r="CX163" s="101"/>
      <c r="CY163" s="101"/>
      <c r="CZ163" s="101"/>
      <c r="DA163" s="101"/>
      <c r="DB163" s="101"/>
      <c r="DC163" s="101"/>
      <c r="DD163" s="101"/>
      <c r="DE163" s="101"/>
      <c r="DF163" s="101"/>
      <c r="DG163" s="101"/>
      <c r="DH163" s="101"/>
      <c r="DI163" s="101"/>
      <c r="DJ163" s="101"/>
      <c r="DK163" s="101"/>
      <c r="DL163" s="101"/>
      <c r="DM163" s="101"/>
      <c r="DN163" s="101"/>
      <c r="DO163" s="101"/>
      <c r="DP163" s="101"/>
      <c r="DQ163" s="101"/>
      <c r="DR163" s="101"/>
      <c r="DS163" s="101"/>
      <c r="DT163" s="101"/>
      <c r="DU163" s="101"/>
      <c r="DV163" s="101"/>
      <c r="DW163" s="101"/>
      <c r="DX163" s="101"/>
      <c r="DY163" s="101"/>
      <c r="DZ163" s="101"/>
      <c r="EA163" s="101"/>
      <c r="EB163" s="101"/>
      <c r="EC163" s="101"/>
      <c r="ED163" s="101"/>
      <c r="EE163" s="101"/>
      <c r="EF163" s="101"/>
      <c r="EG163" s="101"/>
      <c r="EH163" s="101"/>
      <c r="EI163" s="101"/>
      <c r="EJ163" s="101"/>
      <c r="EK163" s="101"/>
      <c r="EL163" s="101"/>
      <c r="EM163" s="101"/>
      <c r="EN163" s="101"/>
      <c r="EO163" s="101"/>
      <c r="EP163" s="101"/>
      <c r="EQ163" s="101"/>
      <c r="ER163" s="101"/>
      <c r="ES163" s="101"/>
      <c r="ET163" s="101"/>
      <c r="EU163" s="101"/>
      <c r="EV163" s="101"/>
      <c r="EW163" s="101"/>
      <c r="EX163" s="101"/>
      <c r="EY163" s="101"/>
      <c r="EZ163" s="101"/>
      <c r="FA163" s="101"/>
      <c r="FB163" s="101"/>
      <c r="FC163" s="101"/>
      <c r="FD163" s="101"/>
      <c r="FE163" s="101"/>
      <c r="FF163" s="101"/>
      <c r="FG163" s="101"/>
      <c r="FH163" s="101"/>
      <c r="FI163" s="101"/>
      <c r="FJ163" s="101"/>
      <c r="FK163" s="101"/>
      <c r="FL163" s="101"/>
      <c r="FM163" s="101"/>
      <c r="FN163" s="101"/>
      <c r="FO163" s="101"/>
      <c r="FP163" s="101"/>
      <c r="FQ163" s="101"/>
      <c r="FR163" s="101"/>
      <c r="FS163" s="101"/>
      <c r="FT163" s="101"/>
      <c r="FU163" s="101"/>
      <c r="FV163" s="101"/>
      <c r="FW163" s="101"/>
      <c r="FX163" s="101"/>
      <c r="FY163" s="101"/>
      <c r="FZ163" s="101"/>
      <c r="GA163" s="101"/>
      <c r="GB163" s="101"/>
      <c r="GC163" s="101"/>
      <c r="GD163" s="101"/>
      <c r="GE163" s="101"/>
      <c r="GF163" s="101"/>
      <c r="GG163" s="101"/>
      <c r="GH163" s="101"/>
      <c r="GI163" s="101"/>
      <c r="GJ163" s="101"/>
      <c r="GK163" s="101"/>
      <c r="GL163" s="101"/>
      <c r="GM163" s="101"/>
      <c r="GN163" s="101"/>
      <c r="GO163" s="101"/>
      <c r="GP163" s="101"/>
      <c r="GQ163" s="101"/>
      <c r="GR163" s="101"/>
      <c r="GS163" s="101"/>
      <c r="GT163" s="101"/>
      <c r="GU163" s="101"/>
      <c r="GV163" s="101"/>
      <c r="GW163" s="101"/>
      <c r="GX163" s="101"/>
      <c r="GY163" s="101"/>
      <c r="GZ163" s="101"/>
      <c r="HA163" s="101"/>
      <c r="HB163" s="101"/>
      <c r="HC163" s="101"/>
      <c r="HD163" s="101"/>
      <c r="HE163" s="101"/>
      <c r="HF163" s="101"/>
      <c r="HG163" s="101"/>
      <c r="HH163" s="101"/>
      <c r="HI163" s="101"/>
      <c r="HJ163" s="101"/>
      <c r="HK163" s="101"/>
      <c r="HL163" s="101"/>
      <c r="HM163" s="101"/>
      <c r="HN163" s="101"/>
      <c r="HO163" s="101"/>
      <c r="HP163" s="101"/>
      <c r="HQ163" s="101"/>
      <c r="HR163" s="101"/>
      <c r="HS163" s="101"/>
      <c r="HT163" s="101"/>
      <c r="HU163" s="101"/>
      <c r="HV163" s="101"/>
      <c r="HW163" s="101"/>
      <c r="HX163" s="101"/>
      <c r="HY163" s="101"/>
      <c r="HZ163" s="101"/>
      <c r="IA163" s="101"/>
      <c r="IB163" s="101"/>
      <c r="IC163" s="101"/>
      <c r="ID163" s="101"/>
      <c r="IE163" s="101"/>
      <c r="IF163" s="101"/>
      <c r="IG163" s="101"/>
      <c r="IH163" s="101"/>
      <c r="II163" s="101"/>
      <c r="IJ163" s="101"/>
      <c r="IK163" s="101"/>
      <c r="IL163" s="101"/>
      <c r="IM163" s="101"/>
      <c r="IN163" s="101"/>
      <c r="IO163" s="101"/>
      <c r="IP163" s="101"/>
      <c r="IQ163" s="101"/>
      <c r="IR163" s="101"/>
      <c r="IS163" s="101"/>
      <c r="IT163" s="101"/>
    </row>
    <row r="164" spans="1:254">
      <c r="A164" s="101"/>
      <c r="B164" s="101"/>
      <c r="C164" s="101"/>
      <c r="D164" s="101"/>
      <c r="F164" s="7"/>
      <c r="G164" s="7"/>
      <c r="H164" s="7"/>
      <c r="I164" s="7"/>
      <c r="J164" s="7"/>
      <c r="K164" s="7"/>
      <c r="L164" s="7"/>
      <c r="M164" s="52"/>
      <c r="N164" s="52"/>
      <c r="O164" s="7"/>
      <c r="P164" s="52"/>
      <c r="Q164" s="52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  <c r="AI164" s="101"/>
      <c r="AJ164" s="101"/>
      <c r="AK164" s="101"/>
      <c r="AL164" s="101"/>
      <c r="AM164" s="101"/>
      <c r="AN164" s="101"/>
      <c r="AO164" s="101"/>
      <c r="AP164" s="101"/>
      <c r="AQ164" s="101"/>
      <c r="AR164" s="101"/>
      <c r="AS164" s="101"/>
      <c r="AT164" s="101"/>
      <c r="AU164" s="101"/>
      <c r="AV164" s="101"/>
      <c r="AW164" s="101"/>
      <c r="AX164" s="101"/>
      <c r="AY164" s="101"/>
      <c r="AZ164" s="101"/>
      <c r="BA164" s="101"/>
      <c r="BB164" s="101"/>
      <c r="BC164" s="101"/>
      <c r="BD164" s="101"/>
      <c r="BE164" s="101"/>
      <c r="BF164" s="101"/>
      <c r="BG164" s="101"/>
      <c r="BH164" s="101"/>
      <c r="BI164" s="101"/>
      <c r="BJ164" s="101"/>
      <c r="BK164" s="101"/>
      <c r="BL164" s="101"/>
      <c r="BM164" s="101"/>
      <c r="BN164" s="101"/>
      <c r="BO164" s="101"/>
      <c r="BP164" s="101"/>
      <c r="BQ164" s="101"/>
      <c r="BR164" s="101"/>
      <c r="BS164" s="101"/>
      <c r="BT164" s="101"/>
      <c r="BU164" s="101"/>
      <c r="BV164" s="101"/>
      <c r="BW164" s="101"/>
      <c r="BX164" s="101"/>
      <c r="BY164" s="101"/>
      <c r="BZ164" s="101"/>
      <c r="CA164" s="101"/>
      <c r="CB164" s="101"/>
      <c r="CC164" s="101"/>
      <c r="CD164" s="101"/>
      <c r="CE164" s="101"/>
      <c r="CF164" s="101"/>
      <c r="CG164" s="101"/>
      <c r="CH164" s="101"/>
      <c r="CI164" s="101"/>
      <c r="CJ164" s="101"/>
      <c r="CK164" s="101"/>
      <c r="CL164" s="101"/>
      <c r="CM164" s="101"/>
      <c r="CN164" s="101"/>
      <c r="CO164" s="101"/>
      <c r="CP164" s="101"/>
      <c r="CQ164" s="101"/>
      <c r="CR164" s="101"/>
      <c r="CS164" s="101"/>
      <c r="CT164" s="101"/>
      <c r="CU164" s="101"/>
      <c r="CV164" s="101"/>
      <c r="CW164" s="101"/>
      <c r="CX164" s="101"/>
      <c r="CY164" s="101"/>
      <c r="CZ164" s="101"/>
      <c r="DA164" s="101"/>
      <c r="DB164" s="101"/>
      <c r="DC164" s="101"/>
      <c r="DD164" s="101"/>
      <c r="DE164" s="101"/>
      <c r="DF164" s="101"/>
      <c r="DG164" s="101"/>
      <c r="DH164" s="101"/>
      <c r="DI164" s="101"/>
      <c r="DJ164" s="101"/>
      <c r="DK164" s="101"/>
      <c r="DL164" s="101"/>
      <c r="DM164" s="101"/>
      <c r="DN164" s="101"/>
      <c r="DO164" s="101"/>
      <c r="DP164" s="101"/>
      <c r="DQ164" s="101"/>
      <c r="DR164" s="101"/>
      <c r="DS164" s="101"/>
      <c r="DT164" s="101"/>
      <c r="DU164" s="101"/>
      <c r="DV164" s="101"/>
      <c r="DW164" s="101"/>
      <c r="DX164" s="101"/>
      <c r="DY164" s="101"/>
      <c r="DZ164" s="101"/>
      <c r="EA164" s="101"/>
      <c r="EB164" s="101"/>
      <c r="EC164" s="101"/>
      <c r="ED164" s="101"/>
      <c r="EE164" s="101"/>
      <c r="EF164" s="101"/>
      <c r="EG164" s="101"/>
      <c r="EH164" s="101"/>
      <c r="EI164" s="101"/>
      <c r="EJ164" s="101"/>
      <c r="EK164" s="101"/>
      <c r="EL164" s="101"/>
      <c r="EM164" s="101"/>
      <c r="EN164" s="101"/>
      <c r="EO164" s="101"/>
      <c r="EP164" s="101"/>
      <c r="EQ164" s="101"/>
      <c r="ER164" s="101"/>
      <c r="ES164" s="101"/>
      <c r="ET164" s="101"/>
      <c r="EU164" s="101"/>
      <c r="EV164" s="101"/>
      <c r="EW164" s="101"/>
      <c r="EX164" s="101"/>
      <c r="EY164" s="101"/>
      <c r="EZ164" s="101"/>
      <c r="FA164" s="101"/>
      <c r="FB164" s="101"/>
      <c r="FC164" s="101"/>
      <c r="FD164" s="101"/>
      <c r="FE164" s="101"/>
      <c r="FF164" s="101"/>
      <c r="FG164" s="101"/>
      <c r="FH164" s="101"/>
      <c r="FI164" s="101"/>
      <c r="FJ164" s="101"/>
      <c r="FK164" s="101"/>
      <c r="FL164" s="101"/>
      <c r="FM164" s="101"/>
      <c r="FN164" s="101"/>
      <c r="FO164" s="101"/>
      <c r="FP164" s="101"/>
      <c r="FQ164" s="101"/>
      <c r="FR164" s="101"/>
      <c r="FS164" s="101"/>
      <c r="FT164" s="101"/>
      <c r="FU164" s="101"/>
      <c r="FV164" s="101"/>
      <c r="FW164" s="101"/>
      <c r="FX164" s="101"/>
      <c r="FY164" s="101"/>
      <c r="FZ164" s="101"/>
      <c r="GA164" s="101"/>
      <c r="GB164" s="101"/>
      <c r="GC164" s="101"/>
      <c r="GD164" s="101"/>
      <c r="GE164" s="101"/>
      <c r="GF164" s="101"/>
      <c r="GG164" s="101"/>
      <c r="GH164" s="101"/>
      <c r="GI164" s="101"/>
      <c r="GJ164" s="101"/>
      <c r="GK164" s="101"/>
      <c r="GL164" s="101"/>
      <c r="GM164" s="101"/>
      <c r="GN164" s="101"/>
      <c r="GO164" s="101"/>
      <c r="GP164" s="101"/>
      <c r="GQ164" s="101"/>
      <c r="GR164" s="101"/>
      <c r="GS164" s="101"/>
      <c r="GT164" s="101"/>
      <c r="GU164" s="101"/>
      <c r="GV164" s="101"/>
      <c r="GW164" s="101"/>
      <c r="GX164" s="101"/>
      <c r="GY164" s="101"/>
      <c r="GZ164" s="101"/>
      <c r="HA164" s="101"/>
      <c r="HB164" s="101"/>
      <c r="HC164" s="101"/>
      <c r="HD164" s="101"/>
      <c r="HE164" s="101"/>
      <c r="HF164" s="101"/>
      <c r="HG164" s="101"/>
      <c r="HH164" s="101"/>
      <c r="HI164" s="101"/>
      <c r="HJ164" s="101"/>
      <c r="HK164" s="101"/>
      <c r="HL164" s="101"/>
      <c r="HM164" s="101"/>
      <c r="HN164" s="101"/>
      <c r="HO164" s="101"/>
      <c r="HP164" s="101"/>
      <c r="HQ164" s="101"/>
      <c r="HR164" s="101"/>
      <c r="HS164" s="101"/>
      <c r="HT164" s="101"/>
      <c r="HU164" s="101"/>
      <c r="HV164" s="101"/>
      <c r="HW164" s="101"/>
      <c r="HX164" s="101"/>
      <c r="HY164" s="101"/>
      <c r="HZ164" s="101"/>
      <c r="IA164" s="101"/>
      <c r="IB164" s="101"/>
      <c r="IC164" s="101"/>
      <c r="ID164" s="101"/>
      <c r="IE164" s="101"/>
      <c r="IF164" s="101"/>
      <c r="IG164" s="101"/>
      <c r="IH164" s="101"/>
      <c r="II164" s="101"/>
      <c r="IJ164" s="101"/>
      <c r="IK164" s="101"/>
      <c r="IL164" s="101"/>
      <c r="IM164" s="101"/>
      <c r="IN164" s="101"/>
      <c r="IO164" s="101"/>
      <c r="IP164" s="101"/>
      <c r="IQ164" s="101"/>
      <c r="IR164" s="101"/>
      <c r="IS164" s="101"/>
      <c r="IT164" s="101"/>
    </row>
    <row r="165" spans="1:254">
      <c r="A165" s="101"/>
      <c r="B165" s="101"/>
      <c r="C165" s="101"/>
      <c r="D165" s="101"/>
      <c r="F165" s="7"/>
      <c r="G165" s="7"/>
      <c r="H165" s="7"/>
      <c r="I165" s="7"/>
      <c r="J165" s="7"/>
      <c r="K165" s="7"/>
      <c r="L165" s="7"/>
      <c r="M165" s="52"/>
      <c r="N165" s="52"/>
      <c r="O165" s="7"/>
      <c r="P165" s="52"/>
      <c r="Q165" s="52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1"/>
      <c r="AR165" s="101"/>
      <c r="AS165" s="101"/>
      <c r="AT165" s="101"/>
      <c r="AU165" s="101"/>
      <c r="AV165" s="101"/>
      <c r="AW165" s="101"/>
      <c r="AX165" s="101"/>
      <c r="AY165" s="101"/>
      <c r="AZ165" s="101"/>
      <c r="BA165" s="101"/>
      <c r="BB165" s="101"/>
      <c r="BC165" s="101"/>
      <c r="BD165" s="101"/>
      <c r="BE165" s="101"/>
      <c r="BF165" s="101"/>
      <c r="BG165" s="101"/>
      <c r="BH165" s="101"/>
      <c r="BI165" s="101"/>
      <c r="BJ165" s="101"/>
      <c r="BK165" s="101"/>
      <c r="BL165" s="101"/>
      <c r="BM165" s="101"/>
      <c r="BN165" s="101"/>
      <c r="BO165" s="101"/>
      <c r="BP165" s="101"/>
      <c r="BQ165" s="101"/>
      <c r="BR165" s="101"/>
      <c r="BS165" s="101"/>
      <c r="BT165" s="101"/>
      <c r="BU165" s="101"/>
      <c r="BV165" s="101"/>
      <c r="BW165" s="101"/>
      <c r="BX165" s="101"/>
      <c r="BY165" s="101"/>
      <c r="BZ165" s="101"/>
      <c r="CA165" s="101"/>
      <c r="CB165" s="101"/>
      <c r="CC165" s="101"/>
      <c r="CD165" s="101"/>
      <c r="CE165" s="101"/>
      <c r="CF165" s="101"/>
      <c r="CG165" s="101"/>
      <c r="CH165" s="101"/>
      <c r="CI165" s="101"/>
      <c r="CJ165" s="101"/>
      <c r="CK165" s="101"/>
      <c r="CL165" s="101"/>
      <c r="CM165" s="101"/>
      <c r="CN165" s="101"/>
      <c r="CO165" s="101"/>
      <c r="CP165" s="101"/>
      <c r="CQ165" s="101"/>
      <c r="CR165" s="101"/>
      <c r="CS165" s="101"/>
      <c r="CT165" s="101"/>
      <c r="CU165" s="101"/>
      <c r="CV165" s="101"/>
      <c r="CW165" s="101"/>
      <c r="CX165" s="101"/>
      <c r="CY165" s="101"/>
      <c r="CZ165" s="101"/>
      <c r="DA165" s="101"/>
      <c r="DB165" s="101"/>
      <c r="DC165" s="101"/>
      <c r="DD165" s="101"/>
      <c r="DE165" s="101"/>
      <c r="DF165" s="101"/>
      <c r="DG165" s="101"/>
      <c r="DH165" s="101"/>
      <c r="DI165" s="101"/>
      <c r="DJ165" s="101"/>
      <c r="DK165" s="101"/>
      <c r="DL165" s="101"/>
      <c r="DM165" s="101"/>
      <c r="DN165" s="101"/>
      <c r="DO165" s="101"/>
      <c r="DP165" s="101"/>
      <c r="DQ165" s="101"/>
      <c r="DR165" s="101"/>
      <c r="DS165" s="101"/>
      <c r="DT165" s="101"/>
      <c r="DU165" s="101"/>
      <c r="DV165" s="101"/>
      <c r="DW165" s="101"/>
      <c r="DX165" s="101"/>
      <c r="DY165" s="101"/>
      <c r="DZ165" s="101"/>
      <c r="EA165" s="101"/>
      <c r="EB165" s="101"/>
      <c r="EC165" s="101"/>
      <c r="ED165" s="101"/>
      <c r="EE165" s="101"/>
      <c r="EF165" s="101"/>
      <c r="EG165" s="101"/>
      <c r="EH165" s="101"/>
      <c r="EI165" s="101"/>
      <c r="EJ165" s="101"/>
      <c r="EK165" s="101"/>
      <c r="EL165" s="101"/>
      <c r="EM165" s="101"/>
      <c r="EN165" s="101"/>
      <c r="EO165" s="101"/>
      <c r="EP165" s="101"/>
      <c r="EQ165" s="101"/>
      <c r="ER165" s="101"/>
      <c r="ES165" s="101"/>
      <c r="ET165" s="101"/>
      <c r="EU165" s="101"/>
      <c r="EV165" s="101"/>
      <c r="EW165" s="101"/>
      <c r="EX165" s="101"/>
      <c r="EY165" s="101"/>
      <c r="EZ165" s="101"/>
      <c r="FA165" s="101"/>
      <c r="FB165" s="101"/>
      <c r="FC165" s="101"/>
      <c r="FD165" s="101"/>
      <c r="FE165" s="101"/>
      <c r="FF165" s="101"/>
      <c r="FG165" s="101"/>
      <c r="FH165" s="101"/>
      <c r="FI165" s="101"/>
      <c r="FJ165" s="101"/>
      <c r="FK165" s="101"/>
      <c r="FL165" s="101"/>
      <c r="FM165" s="101"/>
      <c r="FN165" s="101"/>
      <c r="FO165" s="101"/>
      <c r="FP165" s="101"/>
      <c r="FQ165" s="101"/>
      <c r="FR165" s="101"/>
      <c r="FS165" s="101"/>
      <c r="FT165" s="101"/>
      <c r="FU165" s="101"/>
      <c r="FV165" s="101"/>
      <c r="FW165" s="101"/>
      <c r="FX165" s="101"/>
      <c r="FY165" s="101"/>
      <c r="FZ165" s="101"/>
      <c r="GA165" s="101"/>
      <c r="GB165" s="101"/>
      <c r="GC165" s="101"/>
      <c r="GD165" s="101"/>
      <c r="GE165" s="101"/>
      <c r="GF165" s="101"/>
      <c r="GG165" s="101"/>
      <c r="GH165" s="101"/>
      <c r="GI165" s="101"/>
      <c r="GJ165" s="101"/>
      <c r="GK165" s="101"/>
      <c r="GL165" s="101"/>
      <c r="GM165" s="101"/>
      <c r="GN165" s="101"/>
      <c r="GO165" s="101"/>
      <c r="GP165" s="101"/>
      <c r="GQ165" s="101"/>
      <c r="GR165" s="101"/>
      <c r="GS165" s="101"/>
      <c r="GT165" s="101"/>
      <c r="GU165" s="101"/>
      <c r="GV165" s="101"/>
      <c r="GW165" s="101"/>
      <c r="GX165" s="101"/>
      <c r="GY165" s="101"/>
      <c r="GZ165" s="101"/>
      <c r="HA165" s="101"/>
      <c r="HB165" s="101"/>
      <c r="HC165" s="101"/>
      <c r="HD165" s="101"/>
      <c r="HE165" s="101"/>
      <c r="HF165" s="101"/>
      <c r="HG165" s="101"/>
      <c r="HH165" s="101"/>
      <c r="HI165" s="101"/>
      <c r="HJ165" s="101"/>
      <c r="HK165" s="101"/>
      <c r="HL165" s="101"/>
      <c r="HM165" s="101"/>
      <c r="HN165" s="101"/>
      <c r="HO165" s="101"/>
      <c r="HP165" s="101"/>
      <c r="HQ165" s="101"/>
      <c r="HR165" s="101"/>
      <c r="HS165" s="101"/>
      <c r="HT165" s="101"/>
      <c r="HU165" s="101"/>
      <c r="HV165" s="101"/>
      <c r="HW165" s="101"/>
      <c r="HX165" s="101"/>
      <c r="HY165" s="101"/>
      <c r="HZ165" s="101"/>
      <c r="IA165" s="101"/>
      <c r="IB165" s="101"/>
      <c r="IC165" s="101"/>
      <c r="ID165" s="101"/>
      <c r="IE165" s="101"/>
      <c r="IF165" s="101"/>
      <c r="IG165" s="101"/>
      <c r="IH165" s="101"/>
      <c r="II165" s="101"/>
      <c r="IJ165" s="101"/>
      <c r="IK165" s="101"/>
      <c r="IL165" s="101"/>
      <c r="IM165" s="101"/>
      <c r="IN165" s="101"/>
      <c r="IO165" s="101"/>
      <c r="IP165" s="101"/>
      <c r="IQ165" s="101"/>
      <c r="IR165" s="101"/>
      <c r="IS165" s="101"/>
      <c r="IT165" s="101"/>
    </row>
    <row r="166" spans="1:254">
      <c r="A166" s="101"/>
      <c r="B166" s="101"/>
      <c r="C166" s="101"/>
      <c r="D166" s="101"/>
      <c r="F166" s="7"/>
      <c r="G166" s="7"/>
      <c r="H166" s="7"/>
      <c r="I166" s="7"/>
      <c r="J166" s="7"/>
      <c r="K166" s="7"/>
      <c r="L166" s="7"/>
      <c r="M166" s="52"/>
      <c r="N166" s="52"/>
      <c r="O166" s="7"/>
      <c r="P166" s="52"/>
      <c r="Q166" s="52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  <c r="AJ166" s="101"/>
      <c r="AK166" s="101"/>
      <c r="AL166" s="101"/>
      <c r="AM166" s="101"/>
      <c r="AN166" s="101"/>
      <c r="AO166" s="101"/>
      <c r="AP166" s="101"/>
      <c r="AQ166" s="101"/>
      <c r="AR166" s="101"/>
      <c r="AS166" s="101"/>
      <c r="AT166" s="101"/>
      <c r="AU166" s="101"/>
      <c r="AV166" s="101"/>
      <c r="AW166" s="101"/>
      <c r="AX166" s="101"/>
      <c r="AY166" s="101"/>
      <c r="AZ166" s="101"/>
      <c r="BA166" s="101"/>
      <c r="BB166" s="101"/>
      <c r="BC166" s="101"/>
      <c r="BD166" s="101"/>
      <c r="BE166" s="101"/>
      <c r="BF166" s="101"/>
      <c r="BG166" s="101"/>
      <c r="BH166" s="101"/>
      <c r="BI166" s="101"/>
      <c r="BJ166" s="101"/>
      <c r="BK166" s="101"/>
      <c r="BL166" s="101"/>
      <c r="BM166" s="101"/>
      <c r="BN166" s="101"/>
      <c r="BO166" s="101"/>
      <c r="BP166" s="101"/>
      <c r="BQ166" s="101"/>
      <c r="BR166" s="101"/>
      <c r="BS166" s="101"/>
      <c r="BT166" s="101"/>
      <c r="BU166" s="101"/>
      <c r="BV166" s="101"/>
      <c r="BW166" s="101"/>
      <c r="BX166" s="101"/>
      <c r="BY166" s="101"/>
      <c r="BZ166" s="101"/>
      <c r="CA166" s="101"/>
      <c r="CB166" s="101"/>
      <c r="CC166" s="101"/>
      <c r="CD166" s="101"/>
      <c r="CE166" s="101"/>
      <c r="CF166" s="101"/>
      <c r="CG166" s="101"/>
      <c r="CH166" s="101"/>
      <c r="CI166" s="101"/>
      <c r="CJ166" s="101"/>
      <c r="CK166" s="101"/>
      <c r="CL166" s="101"/>
      <c r="CM166" s="101"/>
      <c r="CN166" s="101"/>
      <c r="CO166" s="101"/>
      <c r="CP166" s="101"/>
      <c r="CQ166" s="101"/>
      <c r="CR166" s="101"/>
      <c r="CS166" s="101"/>
      <c r="CT166" s="101"/>
      <c r="CU166" s="101"/>
      <c r="CV166" s="101"/>
      <c r="CW166" s="101"/>
      <c r="CX166" s="101"/>
      <c r="CY166" s="101"/>
      <c r="CZ166" s="101"/>
      <c r="DA166" s="101"/>
      <c r="DB166" s="101"/>
      <c r="DC166" s="101"/>
      <c r="DD166" s="101"/>
      <c r="DE166" s="101"/>
      <c r="DF166" s="101"/>
      <c r="DG166" s="101"/>
      <c r="DH166" s="101"/>
      <c r="DI166" s="101"/>
      <c r="DJ166" s="101"/>
      <c r="DK166" s="101"/>
      <c r="DL166" s="101"/>
      <c r="DM166" s="101"/>
      <c r="DN166" s="101"/>
      <c r="DO166" s="101"/>
      <c r="DP166" s="101"/>
      <c r="DQ166" s="101"/>
      <c r="DR166" s="101"/>
      <c r="DS166" s="101"/>
      <c r="DT166" s="101"/>
      <c r="DU166" s="101"/>
      <c r="DV166" s="101"/>
      <c r="DW166" s="101"/>
      <c r="DX166" s="101"/>
      <c r="DY166" s="101"/>
      <c r="DZ166" s="101"/>
      <c r="EA166" s="101"/>
      <c r="EB166" s="101"/>
      <c r="EC166" s="101"/>
      <c r="ED166" s="101"/>
      <c r="EE166" s="101"/>
      <c r="EF166" s="101"/>
      <c r="EG166" s="101"/>
      <c r="EH166" s="101"/>
      <c r="EI166" s="101"/>
      <c r="EJ166" s="101"/>
      <c r="EK166" s="101"/>
      <c r="EL166" s="101"/>
      <c r="EM166" s="101"/>
      <c r="EN166" s="101"/>
      <c r="EO166" s="101"/>
      <c r="EP166" s="101"/>
      <c r="EQ166" s="101"/>
      <c r="ER166" s="101"/>
      <c r="ES166" s="101"/>
      <c r="ET166" s="101"/>
      <c r="EU166" s="101"/>
      <c r="EV166" s="101"/>
      <c r="EW166" s="101"/>
      <c r="EX166" s="101"/>
      <c r="EY166" s="101"/>
      <c r="EZ166" s="101"/>
      <c r="FA166" s="101"/>
      <c r="FB166" s="101"/>
      <c r="FC166" s="101"/>
      <c r="FD166" s="101"/>
      <c r="FE166" s="101"/>
      <c r="FF166" s="101"/>
      <c r="FG166" s="101"/>
      <c r="FH166" s="101"/>
      <c r="FI166" s="101"/>
      <c r="FJ166" s="101"/>
      <c r="FK166" s="101"/>
      <c r="FL166" s="101"/>
      <c r="FM166" s="101"/>
      <c r="FN166" s="101"/>
      <c r="FO166" s="101"/>
      <c r="FP166" s="101"/>
      <c r="FQ166" s="101"/>
      <c r="FR166" s="101"/>
      <c r="FS166" s="101"/>
      <c r="FT166" s="101"/>
      <c r="FU166" s="101"/>
      <c r="FV166" s="101"/>
      <c r="FW166" s="101"/>
      <c r="FX166" s="101"/>
      <c r="FY166" s="101"/>
      <c r="FZ166" s="101"/>
      <c r="GA166" s="101"/>
      <c r="GB166" s="101"/>
      <c r="GC166" s="101"/>
      <c r="GD166" s="101"/>
      <c r="GE166" s="101"/>
      <c r="GF166" s="101"/>
      <c r="GG166" s="101"/>
      <c r="GH166" s="101"/>
      <c r="GI166" s="101"/>
      <c r="GJ166" s="101"/>
      <c r="GK166" s="101"/>
      <c r="GL166" s="101"/>
      <c r="GM166" s="101"/>
      <c r="GN166" s="101"/>
      <c r="GO166" s="101"/>
      <c r="GP166" s="101"/>
      <c r="GQ166" s="101"/>
      <c r="GR166" s="101"/>
      <c r="GS166" s="101"/>
      <c r="GT166" s="101"/>
      <c r="GU166" s="101"/>
      <c r="GV166" s="101"/>
      <c r="GW166" s="101"/>
      <c r="GX166" s="101"/>
      <c r="GY166" s="101"/>
      <c r="GZ166" s="101"/>
      <c r="HA166" s="101"/>
      <c r="HB166" s="101"/>
      <c r="HC166" s="101"/>
      <c r="HD166" s="101"/>
      <c r="HE166" s="101"/>
      <c r="HF166" s="101"/>
      <c r="HG166" s="101"/>
      <c r="HH166" s="101"/>
      <c r="HI166" s="101"/>
      <c r="HJ166" s="101"/>
      <c r="HK166" s="101"/>
      <c r="HL166" s="101"/>
      <c r="HM166" s="101"/>
      <c r="HN166" s="101"/>
      <c r="HO166" s="101"/>
      <c r="HP166" s="101"/>
      <c r="HQ166" s="101"/>
      <c r="HR166" s="101"/>
      <c r="HS166" s="101"/>
      <c r="HT166" s="101"/>
      <c r="HU166" s="101"/>
      <c r="HV166" s="101"/>
      <c r="HW166" s="101"/>
      <c r="HX166" s="101"/>
      <c r="HY166" s="101"/>
      <c r="HZ166" s="101"/>
      <c r="IA166" s="101"/>
      <c r="IB166" s="101"/>
      <c r="IC166" s="101"/>
      <c r="ID166" s="101"/>
      <c r="IE166" s="101"/>
      <c r="IF166" s="101"/>
      <c r="IG166" s="101"/>
      <c r="IH166" s="101"/>
      <c r="II166" s="101"/>
      <c r="IJ166" s="101"/>
      <c r="IK166" s="101"/>
      <c r="IL166" s="101"/>
      <c r="IM166" s="101"/>
      <c r="IN166" s="101"/>
      <c r="IO166" s="101"/>
      <c r="IP166" s="101"/>
      <c r="IQ166" s="101"/>
      <c r="IR166" s="101"/>
      <c r="IS166" s="101"/>
      <c r="IT166" s="101"/>
    </row>
    <row r="167" spans="1:254">
      <c r="A167" s="101"/>
      <c r="B167" s="101"/>
      <c r="C167" s="101"/>
      <c r="D167" s="101"/>
      <c r="F167" s="7"/>
      <c r="G167" s="7"/>
      <c r="H167" s="7"/>
      <c r="I167" s="7"/>
      <c r="J167" s="7"/>
      <c r="K167" s="7"/>
      <c r="L167" s="7"/>
      <c r="M167" s="52"/>
      <c r="N167" s="52"/>
      <c r="O167" s="7"/>
      <c r="P167" s="52"/>
      <c r="Q167" s="52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  <c r="AJ167" s="101"/>
      <c r="AK167" s="101"/>
      <c r="AL167" s="101"/>
      <c r="AM167" s="101"/>
      <c r="AN167" s="101"/>
      <c r="AO167" s="101"/>
      <c r="AP167" s="101"/>
      <c r="AQ167" s="101"/>
      <c r="AR167" s="101"/>
      <c r="AS167" s="101"/>
      <c r="AT167" s="101"/>
      <c r="AU167" s="101"/>
      <c r="AV167" s="101"/>
      <c r="AW167" s="101"/>
      <c r="AX167" s="101"/>
      <c r="AY167" s="101"/>
      <c r="AZ167" s="101"/>
      <c r="BA167" s="101"/>
      <c r="BB167" s="101"/>
      <c r="BC167" s="101"/>
      <c r="BD167" s="101"/>
      <c r="BE167" s="101"/>
      <c r="BF167" s="101"/>
      <c r="BG167" s="101"/>
      <c r="BH167" s="101"/>
      <c r="BI167" s="101"/>
      <c r="BJ167" s="101"/>
      <c r="BK167" s="101"/>
      <c r="BL167" s="101"/>
      <c r="BM167" s="101"/>
      <c r="BN167" s="101"/>
      <c r="BO167" s="101"/>
      <c r="BP167" s="101"/>
      <c r="BQ167" s="101"/>
      <c r="BR167" s="101"/>
      <c r="BS167" s="101"/>
      <c r="BT167" s="101"/>
      <c r="BU167" s="101"/>
      <c r="BV167" s="101"/>
      <c r="BW167" s="101"/>
      <c r="BX167" s="101"/>
      <c r="BY167" s="101"/>
      <c r="BZ167" s="101"/>
      <c r="CA167" s="101"/>
      <c r="CB167" s="101"/>
      <c r="CC167" s="101"/>
      <c r="CD167" s="101"/>
      <c r="CE167" s="101"/>
      <c r="CF167" s="101"/>
      <c r="CG167" s="101"/>
      <c r="CH167" s="101"/>
      <c r="CI167" s="101"/>
      <c r="CJ167" s="101"/>
      <c r="CK167" s="101"/>
      <c r="CL167" s="101"/>
      <c r="CM167" s="101"/>
      <c r="CN167" s="101"/>
      <c r="CO167" s="101"/>
      <c r="CP167" s="101"/>
      <c r="CQ167" s="101"/>
      <c r="CR167" s="101"/>
      <c r="CS167" s="101"/>
      <c r="CT167" s="101"/>
      <c r="CU167" s="101"/>
      <c r="CV167" s="101"/>
      <c r="CW167" s="101"/>
      <c r="CX167" s="101"/>
      <c r="CY167" s="101"/>
      <c r="CZ167" s="101"/>
      <c r="DA167" s="101"/>
      <c r="DB167" s="101"/>
      <c r="DC167" s="101"/>
      <c r="DD167" s="101"/>
      <c r="DE167" s="101"/>
      <c r="DF167" s="101"/>
      <c r="DG167" s="101"/>
      <c r="DH167" s="101"/>
      <c r="DI167" s="101"/>
      <c r="DJ167" s="101"/>
      <c r="DK167" s="101"/>
      <c r="DL167" s="101"/>
      <c r="DM167" s="101"/>
      <c r="DN167" s="101"/>
      <c r="DO167" s="101"/>
      <c r="DP167" s="101"/>
      <c r="DQ167" s="101"/>
      <c r="DR167" s="101"/>
      <c r="DS167" s="101"/>
      <c r="DT167" s="101"/>
      <c r="DU167" s="101"/>
      <c r="DV167" s="101"/>
      <c r="DW167" s="101"/>
      <c r="DX167" s="101"/>
      <c r="DY167" s="101"/>
      <c r="DZ167" s="101"/>
      <c r="EA167" s="101"/>
      <c r="EB167" s="101"/>
      <c r="EC167" s="101"/>
      <c r="ED167" s="101"/>
      <c r="EE167" s="101"/>
      <c r="EF167" s="101"/>
      <c r="EG167" s="101"/>
      <c r="EH167" s="101"/>
      <c r="EI167" s="101"/>
      <c r="EJ167" s="101"/>
      <c r="EK167" s="101"/>
      <c r="EL167" s="101"/>
      <c r="EM167" s="101"/>
      <c r="EN167" s="101"/>
      <c r="EO167" s="101"/>
      <c r="EP167" s="101"/>
      <c r="EQ167" s="101"/>
      <c r="ER167" s="101"/>
      <c r="ES167" s="101"/>
      <c r="ET167" s="101"/>
      <c r="EU167" s="101"/>
      <c r="EV167" s="101"/>
      <c r="EW167" s="101"/>
      <c r="EX167" s="101"/>
      <c r="EY167" s="101"/>
      <c r="EZ167" s="101"/>
      <c r="FA167" s="101"/>
      <c r="FB167" s="101"/>
      <c r="FC167" s="101"/>
      <c r="FD167" s="101"/>
      <c r="FE167" s="101"/>
      <c r="FF167" s="101"/>
      <c r="FG167" s="101"/>
      <c r="FH167" s="101"/>
      <c r="FI167" s="101"/>
      <c r="FJ167" s="101"/>
      <c r="FK167" s="101"/>
      <c r="FL167" s="101"/>
      <c r="FM167" s="101"/>
      <c r="FN167" s="101"/>
      <c r="FO167" s="101"/>
      <c r="FP167" s="101"/>
      <c r="FQ167" s="101"/>
      <c r="FR167" s="101"/>
      <c r="FS167" s="101"/>
      <c r="FT167" s="101"/>
      <c r="FU167" s="101"/>
      <c r="FV167" s="101"/>
      <c r="FW167" s="101"/>
      <c r="FX167" s="101"/>
      <c r="FY167" s="101"/>
      <c r="FZ167" s="101"/>
      <c r="GA167" s="101"/>
      <c r="GB167" s="101"/>
      <c r="GC167" s="101"/>
      <c r="GD167" s="101"/>
      <c r="GE167" s="101"/>
      <c r="GF167" s="101"/>
      <c r="GG167" s="101"/>
      <c r="GH167" s="101"/>
      <c r="GI167" s="101"/>
      <c r="GJ167" s="101"/>
      <c r="GK167" s="101"/>
      <c r="GL167" s="101"/>
      <c r="GM167" s="101"/>
      <c r="GN167" s="101"/>
      <c r="GO167" s="101"/>
      <c r="GP167" s="101"/>
      <c r="GQ167" s="101"/>
      <c r="GR167" s="101"/>
      <c r="GS167" s="101"/>
      <c r="GT167" s="101"/>
      <c r="GU167" s="101"/>
      <c r="GV167" s="101"/>
      <c r="GW167" s="101"/>
      <c r="GX167" s="101"/>
      <c r="GY167" s="101"/>
      <c r="GZ167" s="101"/>
      <c r="HA167" s="101"/>
      <c r="HB167" s="101"/>
      <c r="HC167" s="101"/>
      <c r="HD167" s="101"/>
      <c r="HE167" s="101"/>
      <c r="HF167" s="101"/>
      <c r="HG167" s="101"/>
      <c r="HH167" s="101"/>
      <c r="HI167" s="101"/>
      <c r="HJ167" s="101"/>
      <c r="HK167" s="101"/>
      <c r="HL167" s="101"/>
      <c r="HM167" s="101"/>
      <c r="HN167" s="101"/>
      <c r="HO167" s="101"/>
      <c r="HP167" s="101"/>
      <c r="HQ167" s="101"/>
      <c r="HR167" s="101"/>
      <c r="HS167" s="101"/>
      <c r="HT167" s="101"/>
      <c r="HU167" s="101"/>
      <c r="HV167" s="101"/>
      <c r="HW167" s="101"/>
      <c r="HX167" s="101"/>
      <c r="HY167" s="101"/>
      <c r="HZ167" s="101"/>
      <c r="IA167" s="101"/>
      <c r="IB167" s="101"/>
      <c r="IC167" s="101"/>
      <c r="ID167" s="101"/>
      <c r="IE167" s="101"/>
      <c r="IF167" s="101"/>
      <c r="IG167" s="101"/>
      <c r="IH167" s="101"/>
      <c r="II167" s="101"/>
      <c r="IJ167" s="101"/>
      <c r="IK167" s="101"/>
      <c r="IL167" s="101"/>
      <c r="IM167" s="101"/>
      <c r="IN167" s="101"/>
      <c r="IO167" s="101"/>
      <c r="IP167" s="101"/>
      <c r="IQ167" s="101"/>
      <c r="IR167" s="101"/>
      <c r="IS167" s="101"/>
      <c r="IT167" s="101"/>
    </row>
    <row r="168" spans="1:254">
      <c r="A168" s="101"/>
      <c r="B168" s="101"/>
      <c r="C168" s="101"/>
      <c r="D168" s="101"/>
      <c r="F168" s="7"/>
      <c r="G168" s="7"/>
      <c r="H168" s="7"/>
      <c r="I168" s="7"/>
      <c r="J168" s="7"/>
      <c r="K168" s="7"/>
      <c r="L168" s="7"/>
      <c r="M168" s="52"/>
      <c r="N168" s="52"/>
      <c r="O168" s="7"/>
      <c r="P168" s="52"/>
      <c r="Q168" s="52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  <c r="AJ168" s="101"/>
      <c r="AK168" s="101"/>
      <c r="AL168" s="101"/>
      <c r="AM168" s="101"/>
      <c r="AN168" s="101"/>
      <c r="AO168" s="101"/>
      <c r="AP168" s="101"/>
      <c r="AQ168" s="101"/>
      <c r="AR168" s="101"/>
      <c r="AS168" s="101"/>
      <c r="AT168" s="101"/>
      <c r="AU168" s="101"/>
      <c r="AV168" s="101"/>
      <c r="AW168" s="101"/>
      <c r="AX168" s="101"/>
      <c r="AY168" s="101"/>
      <c r="AZ168" s="101"/>
      <c r="BA168" s="101"/>
      <c r="BB168" s="101"/>
      <c r="BC168" s="101"/>
      <c r="BD168" s="101"/>
      <c r="BE168" s="101"/>
      <c r="BF168" s="101"/>
      <c r="BG168" s="101"/>
      <c r="BH168" s="101"/>
      <c r="BI168" s="101"/>
      <c r="BJ168" s="101"/>
      <c r="BK168" s="101"/>
      <c r="BL168" s="101"/>
      <c r="BM168" s="101"/>
      <c r="BN168" s="101"/>
      <c r="BO168" s="101"/>
      <c r="BP168" s="101"/>
      <c r="BQ168" s="101"/>
      <c r="BR168" s="101"/>
      <c r="BS168" s="101"/>
      <c r="BT168" s="101"/>
      <c r="BU168" s="101"/>
      <c r="BV168" s="101"/>
      <c r="BW168" s="101"/>
      <c r="BX168" s="101"/>
      <c r="BY168" s="101"/>
      <c r="BZ168" s="101"/>
      <c r="CA168" s="101"/>
      <c r="CB168" s="101"/>
      <c r="CC168" s="101"/>
      <c r="CD168" s="101"/>
      <c r="CE168" s="101"/>
      <c r="CF168" s="101"/>
      <c r="CG168" s="101"/>
      <c r="CH168" s="101"/>
      <c r="CI168" s="101"/>
      <c r="CJ168" s="101"/>
      <c r="CK168" s="101"/>
      <c r="CL168" s="101"/>
      <c r="CM168" s="101"/>
      <c r="CN168" s="101"/>
      <c r="CO168" s="101"/>
      <c r="CP168" s="101"/>
      <c r="CQ168" s="101"/>
      <c r="CR168" s="101"/>
      <c r="CS168" s="101"/>
      <c r="CT168" s="101"/>
      <c r="CU168" s="101"/>
      <c r="CV168" s="101"/>
      <c r="CW168" s="101"/>
      <c r="CX168" s="101"/>
      <c r="CY168" s="101"/>
      <c r="CZ168" s="101"/>
      <c r="DA168" s="101"/>
      <c r="DB168" s="101"/>
      <c r="DC168" s="101"/>
      <c r="DD168" s="101"/>
      <c r="DE168" s="101"/>
      <c r="DF168" s="101"/>
      <c r="DG168" s="101"/>
      <c r="DH168" s="101"/>
      <c r="DI168" s="101"/>
      <c r="DJ168" s="101"/>
      <c r="DK168" s="101"/>
      <c r="DL168" s="101"/>
      <c r="DM168" s="101"/>
      <c r="DN168" s="101"/>
      <c r="DO168" s="101"/>
      <c r="DP168" s="101"/>
      <c r="DQ168" s="101"/>
      <c r="DR168" s="101"/>
      <c r="DS168" s="101"/>
      <c r="DT168" s="101"/>
      <c r="DU168" s="101"/>
      <c r="DV168" s="101"/>
      <c r="DW168" s="101"/>
      <c r="DX168" s="101"/>
      <c r="DY168" s="101"/>
      <c r="DZ168" s="101"/>
      <c r="EA168" s="101"/>
      <c r="EB168" s="101"/>
      <c r="EC168" s="101"/>
      <c r="ED168" s="101"/>
      <c r="EE168" s="101"/>
      <c r="EF168" s="101"/>
      <c r="EG168" s="101"/>
      <c r="EH168" s="101"/>
      <c r="EI168" s="101"/>
      <c r="EJ168" s="101"/>
      <c r="EK168" s="101"/>
      <c r="EL168" s="101"/>
      <c r="EM168" s="101"/>
      <c r="EN168" s="101"/>
      <c r="EO168" s="101"/>
      <c r="EP168" s="101"/>
      <c r="EQ168" s="101"/>
      <c r="ER168" s="101"/>
      <c r="ES168" s="101"/>
      <c r="ET168" s="101"/>
      <c r="EU168" s="101"/>
      <c r="EV168" s="101"/>
      <c r="EW168" s="101"/>
      <c r="EX168" s="101"/>
      <c r="EY168" s="101"/>
      <c r="EZ168" s="101"/>
      <c r="FA168" s="101"/>
      <c r="FB168" s="101"/>
      <c r="FC168" s="101"/>
      <c r="FD168" s="101"/>
      <c r="FE168" s="101"/>
      <c r="FF168" s="101"/>
      <c r="FG168" s="101"/>
      <c r="FH168" s="101"/>
      <c r="FI168" s="101"/>
      <c r="FJ168" s="101"/>
      <c r="FK168" s="101"/>
      <c r="FL168" s="101"/>
      <c r="FM168" s="101"/>
      <c r="FN168" s="101"/>
      <c r="FO168" s="101"/>
      <c r="FP168" s="101"/>
      <c r="FQ168" s="101"/>
      <c r="FR168" s="101"/>
      <c r="FS168" s="101"/>
      <c r="FT168" s="101"/>
      <c r="FU168" s="101"/>
      <c r="FV168" s="101"/>
      <c r="FW168" s="101"/>
      <c r="FX168" s="101"/>
      <c r="FY168" s="101"/>
      <c r="FZ168" s="101"/>
      <c r="GA168" s="101"/>
      <c r="GB168" s="101"/>
      <c r="GC168" s="101"/>
      <c r="GD168" s="101"/>
      <c r="GE168" s="101"/>
      <c r="GF168" s="101"/>
      <c r="GG168" s="101"/>
      <c r="GH168" s="101"/>
      <c r="GI168" s="101"/>
      <c r="GJ168" s="101"/>
      <c r="GK168" s="101"/>
      <c r="GL168" s="101"/>
      <c r="GM168" s="101"/>
      <c r="GN168" s="101"/>
      <c r="GO168" s="101"/>
      <c r="GP168" s="101"/>
      <c r="GQ168" s="101"/>
      <c r="GR168" s="101"/>
      <c r="GS168" s="101"/>
      <c r="GT168" s="101"/>
      <c r="GU168" s="101"/>
      <c r="GV168" s="101"/>
      <c r="GW168" s="101"/>
      <c r="GX168" s="101"/>
      <c r="GY168" s="101"/>
      <c r="GZ168" s="101"/>
      <c r="HA168" s="101"/>
      <c r="HB168" s="101"/>
      <c r="HC168" s="101"/>
      <c r="HD168" s="101"/>
      <c r="HE168" s="101"/>
      <c r="HF168" s="101"/>
      <c r="HG168" s="101"/>
      <c r="HH168" s="101"/>
      <c r="HI168" s="101"/>
      <c r="HJ168" s="101"/>
      <c r="HK168" s="101"/>
      <c r="HL168" s="101"/>
      <c r="HM168" s="101"/>
      <c r="HN168" s="101"/>
      <c r="HO168" s="101"/>
      <c r="HP168" s="101"/>
      <c r="HQ168" s="101"/>
      <c r="HR168" s="101"/>
      <c r="HS168" s="101"/>
      <c r="HT168" s="101"/>
      <c r="HU168" s="101"/>
      <c r="HV168" s="101"/>
      <c r="HW168" s="101"/>
      <c r="HX168" s="101"/>
      <c r="HY168" s="101"/>
      <c r="HZ168" s="101"/>
      <c r="IA168" s="101"/>
      <c r="IB168" s="101"/>
      <c r="IC168" s="101"/>
      <c r="ID168" s="101"/>
      <c r="IE168" s="101"/>
      <c r="IF168" s="101"/>
      <c r="IG168" s="101"/>
      <c r="IH168" s="101"/>
      <c r="II168" s="101"/>
      <c r="IJ168" s="101"/>
      <c r="IK168" s="101"/>
      <c r="IL168" s="101"/>
      <c r="IM168" s="101"/>
      <c r="IN168" s="101"/>
      <c r="IO168" s="101"/>
      <c r="IP168" s="101"/>
      <c r="IQ168" s="101"/>
      <c r="IR168" s="101"/>
      <c r="IS168" s="101"/>
      <c r="IT168" s="101"/>
    </row>
    <row r="169" spans="1:254">
      <c r="A169" s="101"/>
      <c r="B169" s="101"/>
      <c r="C169" s="101"/>
      <c r="D169" s="101"/>
      <c r="F169" s="7"/>
      <c r="G169" s="7"/>
      <c r="H169" s="7"/>
      <c r="I169" s="7"/>
      <c r="J169" s="7"/>
      <c r="K169" s="7"/>
      <c r="L169" s="7"/>
      <c r="M169" s="52"/>
      <c r="N169" s="52"/>
      <c r="O169" s="7"/>
      <c r="P169" s="52"/>
      <c r="Q169" s="52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  <c r="AK169" s="101"/>
      <c r="AL169" s="101"/>
      <c r="AM169" s="101"/>
      <c r="AN169" s="101"/>
      <c r="AO169" s="101"/>
      <c r="AP169" s="101"/>
      <c r="AQ169" s="101"/>
      <c r="AR169" s="101"/>
      <c r="AS169" s="101"/>
      <c r="AT169" s="101"/>
      <c r="AU169" s="101"/>
      <c r="AV169" s="101"/>
      <c r="AW169" s="101"/>
      <c r="AX169" s="101"/>
      <c r="AY169" s="101"/>
      <c r="AZ169" s="101"/>
      <c r="BA169" s="101"/>
      <c r="BB169" s="101"/>
      <c r="BC169" s="101"/>
      <c r="BD169" s="101"/>
      <c r="BE169" s="101"/>
      <c r="BF169" s="101"/>
      <c r="BG169" s="101"/>
      <c r="BH169" s="101"/>
      <c r="BI169" s="101"/>
      <c r="BJ169" s="101"/>
      <c r="BK169" s="101"/>
      <c r="BL169" s="101"/>
      <c r="BM169" s="101"/>
      <c r="BN169" s="101"/>
      <c r="BO169" s="101"/>
      <c r="BP169" s="101"/>
      <c r="BQ169" s="101"/>
      <c r="BR169" s="101"/>
      <c r="BS169" s="101"/>
      <c r="BT169" s="101"/>
      <c r="BU169" s="101"/>
      <c r="BV169" s="101"/>
      <c r="BW169" s="101"/>
      <c r="BX169" s="101"/>
      <c r="BY169" s="101"/>
      <c r="BZ169" s="101"/>
      <c r="CA169" s="101"/>
      <c r="CB169" s="101"/>
      <c r="CC169" s="101"/>
      <c r="CD169" s="101"/>
      <c r="CE169" s="101"/>
      <c r="CF169" s="101"/>
      <c r="CG169" s="101"/>
      <c r="CH169" s="101"/>
      <c r="CI169" s="101"/>
      <c r="CJ169" s="101"/>
      <c r="CK169" s="101"/>
      <c r="CL169" s="101"/>
      <c r="CM169" s="101"/>
      <c r="CN169" s="101"/>
      <c r="CO169" s="101"/>
      <c r="CP169" s="101"/>
      <c r="CQ169" s="101"/>
      <c r="CR169" s="101"/>
      <c r="CS169" s="101"/>
      <c r="CT169" s="101"/>
      <c r="CU169" s="101"/>
      <c r="CV169" s="101"/>
      <c r="CW169" s="101"/>
      <c r="CX169" s="101"/>
      <c r="CY169" s="101"/>
      <c r="CZ169" s="101"/>
      <c r="DA169" s="101"/>
      <c r="DB169" s="101"/>
      <c r="DC169" s="101"/>
      <c r="DD169" s="101"/>
      <c r="DE169" s="101"/>
      <c r="DF169" s="101"/>
      <c r="DG169" s="101"/>
      <c r="DH169" s="101"/>
      <c r="DI169" s="101"/>
      <c r="DJ169" s="101"/>
      <c r="DK169" s="101"/>
      <c r="DL169" s="101"/>
      <c r="DM169" s="101"/>
      <c r="DN169" s="101"/>
      <c r="DO169" s="101"/>
      <c r="DP169" s="101"/>
      <c r="DQ169" s="101"/>
      <c r="DR169" s="101"/>
      <c r="DS169" s="101"/>
      <c r="DT169" s="101"/>
      <c r="DU169" s="101"/>
      <c r="DV169" s="101"/>
      <c r="DW169" s="101"/>
      <c r="DX169" s="101"/>
      <c r="DY169" s="101"/>
      <c r="DZ169" s="101"/>
      <c r="EA169" s="101"/>
      <c r="EB169" s="101"/>
      <c r="EC169" s="101"/>
      <c r="ED169" s="101"/>
      <c r="EE169" s="101"/>
      <c r="EF169" s="101"/>
      <c r="EG169" s="101"/>
      <c r="EH169" s="101"/>
      <c r="EI169" s="101"/>
      <c r="EJ169" s="101"/>
      <c r="EK169" s="101"/>
      <c r="EL169" s="101"/>
      <c r="EM169" s="101"/>
      <c r="EN169" s="101"/>
      <c r="EO169" s="101"/>
      <c r="EP169" s="101"/>
      <c r="EQ169" s="101"/>
      <c r="ER169" s="101"/>
      <c r="ES169" s="101"/>
      <c r="ET169" s="101"/>
      <c r="EU169" s="101"/>
      <c r="EV169" s="101"/>
      <c r="EW169" s="101"/>
      <c r="EX169" s="101"/>
      <c r="EY169" s="101"/>
      <c r="EZ169" s="101"/>
      <c r="FA169" s="101"/>
      <c r="FB169" s="101"/>
      <c r="FC169" s="101"/>
      <c r="FD169" s="101"/>
      <c r="FE169" s="101"/>
      <c r="FF169" s="101"/>
      <c r="FG169" s="101"/>
      <c r="FH169" s="101"/>
      <c r="FI169" s="101"/>
      <c r="FJ169" s="101"/>
      <c r="FK169" s="101"/>
      <c r="FL169" s="101"/>
      <c r="FM169" s="101"/>
      <c r="FN169" s="101"/>
      <c r="FO169" s="101"/>
      <c r="FP169" s="101"/>
      <c r="FQ169" s="101"/>
      <c r="FR169" s="101"/>
      <c r="FS169" s="101"/>
      <c r="FT169" s="101"/>
      <c r="FU169" s="101"/>
      <c r="FV169" s="101"/>
      <c r="FW169" s="101"/>
      <c r="FX169" s="101"/>
      <c r="FY169" s="101"/>
      <c r="FZ169" s="101"/>
      <c r="GA169" s="101"/>
      <c r="GB169" s="101"/>
      <c r="GC169" s="101"/>
      <c r="GD169" s="101"/>
      <c r="GE169" s="101"/>
      <c r="GF169" s="101"/>
      <c r="GG169" s="101"/>
      <c r="GH169" s="101"/>
      <c r="GI169" s="101"/>
      <c r="GJ169" s="101"/>
      <c r="GK169" s="101"/>
      <c r="GL169" s="101"/>
      <c r="GM169" s="101"/>
      <c r="GN169" s="101"/>
      <c r="GO169" s="101"/>
      <c r="GP169" s="101"/>
      <c r="GQ169" s="101"/>
      <c r="GR169" s="101"/>
      <c r="GS169" s="101"/>
      <c r="GT169" s="101"/>
      <c r="GU169" s="101"/>
      <c r="GV169" s="101"/>
      <c r="GW169" s="101"/>
      <c r="GX169" s="101"/>
      <c r="GY169" s="101"/>
      <c r="GZ169" s="101"/>
      <c r="HA169" s="101"/>
      <c r="HB169" s="101"/>
      <c r="HC169" s="101"/>
      <c r="HD169" s="101"/>
      <c r="HE169" s="101"/>
      <c r="HF169" s="101"/>
      <c r="HG169" s="101"/>
      <c r="HH169" s="101"/>
      <c r="HI169" s="101"/>
      <c r="HJ169" s="101"/>
      <c r="HK169" s="101"/>
      <c r="HL169" s="101"/>
      <c r="HM169" s="101"/>
      <c r="HN169" s="101"/>
      <c r="HO169" s="101"/>
      <c r="HP169" s="101"/>
      <c r="HQ169" s="101"/>
      <c r="HR169" s="101"/>
      <c r="HS169" s="101"/>
      <c r="HT169" s="101"/>
      <c r="HU169" s="101"/>
      <c r="HV169" s="101"/>
      <c r="HW169" s="101"/>
      <c r="HX169" s="101"/>
      <c r="HY169" s="101"/>
      <c r="HZ169" s="101"/>
      <c r="IA169" s="101"/>
      <c r="IB169" s="101"/>
      <c r="IC169" s="101"/>
      <c r="ID169" s="101"/>
      <c r="IE169" s="101"/>
      <c r="IF169" s="101"/>
      <c r="IG169" s="101"/>
      <c r="IH169" s="101"/>
      <c r="II169" s="101"/>
      <c r="IJ169" s="101"/>
      <c r="IK169" s="101"/>
      <c r="IL169" s="101"/>
      <c r="IM169" s="101"/>
      <c r="IN169" s="101"/>
      <c r="IO169" s="101"/>
      <c r="IP169" s="101"/>
      <c r="IQ169" s="101"/>
      <c r="IR169" s="101"/>
      <c r="IS169" s="101"/>
      <c r="IT169" s="101"/>
    </row>
    <row r="170" spans="1:254">
      <c r="A170" s="101"/>
      <c r="B170" s="101"/>
      <c r="C170" s="101"/>
      <c r="D170" s="101"/>
      <c r="F170" s="7"/>
      <c r="G170" s="7"/>
      <c r="H170" s="7"/>
      <c r="I170" s="7"/>
      <c r="J170" s="7"/>
      <c r="K170" s="7"/>
      <c r="L170" s="7"/>
      <c r="M170" s="52"/>
      <c r="N170" s="52"/>
      <c r="O170" s="7"/>
      <c r="P170" s="52"/>
      <c r="Q170" s="52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  <c r="AK170" s="101"/>
      <c r="AL170" s="101"/>
      <c r="AM170" s="101"/>
      <c r="AN170" s="101"/>
      <c r="AO170" s="101"/>
      <c r="AP170" s="101"/>
      <c r="AQ170" s="101"/>
      <c r="AR170" s="101"/>
      <c r="AS170" s="101"/>
      <c r="AT170" s="101"/>
      <c r="AU170" s="101"/>
      <c r="AV170" s="101"/>
      <c r="AW170" s="101"/>
      <c r="AX170" s="101"/>
      <c r="AY170" s="101"/>
      <c r="AZ170" s="101"/>
      <c r="BA170" s="101"/>
      <c r="BB170" s="101"/>
      <c r="BC170" s="101"/>
      <c r="BD170" s="101"/>
      <c r="BE170" s="101"/>
      <c r="BF170" s="101"/>
      <c r="BG170" s="101"/>
      <c r="BH170" s="101"/>
      <c r="BI170" s="101"/>
      <c r="BJ170" s="101"/>
      <c r="BK170" s="101"/>
      <c r="BL170" s="101"/>
      <c r="BM170" s="101"/>
      <c r="BN170" s="101"/>
      <c r="BO170" s="101"/>
      <c r="BP170" s="101"/>
      <c r="BQ170" s="101"/>
      <c r="BR170" s="101"/>
      <c r="BS170" s="101"/>
      <c r="BT170" s="101"/>
      <c r="BU170" s="101"/>
      <c r="BV170" s="101"/>
      <c r="BW170" s="101"/>
      <c r="BX170" s="101"/>
      <c r="BY170" s="101"/>
      <c r="BZ170" s="101"/>
      <c r="CA170" s="101"/>
      <c r="CB170" s="101"/>
      <c r="CC170" s="101"/>
      <c r="CD170" s="101"/>
      <c r="CE170" s="101"/>
      <c r="CF170" s="101"/>
      <c r="CG170" s="101"/>
      <c r="CH170" s="101"/>
      <c r="CI170" s="101"/>
      <c r="CJ170" s="101"/>
      <c r="CK170" s="101"/>
      <c r="CL170" s="101"/>
      <c r="CM170" s="101"/>
      <c r="CN170" s="101"/>
      <c r="CO170" s="101"/>
      <c r="CP170" s="101"/>
      <c r="CQ170" s="101"/>
      <c r="CR170" s="101"/>
      <c r="CS170" s="101"/>
      <c r="CT170" s="101"/>
      <c r="CU170" s="101"/>
      <c r="CV170" s="101"/>
      <c r="CW170" s="101"/>
      <c r="CX170" s="101"/>
      <c r="CY170" s="101"/>
      <c r="CZ170" s="101"/>
      <c r="DA170" s="101"/>
      <c r="DB170" s="101"/>
      <c r="DC170" s="101"/>
      <c r="DD170" s="101"/>
      <c r="DE170" s="101"/>
      <c r="DF170" s="101"/>
      <c r="DG170" s="101"/>
      <c r="DH170" s="101"/>
      <c r="DI170" s="101"/>
      <c r="DJ170" s="101"/>
      <c r="DK170" s="101"/>
      <c r="DL170" s="101"/>
      <c r="DM170" s="101"/>
      <c r="DN170" s="101"/>
      <c r="DO170" s="101"/>
      <c r="DP170" s="101"/>
      <c r="DQ170" s="101"/>
      <c r="DR170" s="101"/>
      <c r="DS170" s="101"/>
      <c r="DT170" s="101"/>
      <c r="DU170" s="101"/>
      <c r="DV170" s="101"/>
      <c r="DW170" s="101"/>
      <c r="DX170" s="101"/>
      <c r="DY170" s="101"/>
      <c r="DZ170" s="101"/>
      <c r="EA170" s="101"/>
      <c r="EB170" s="101"/>
      <c r="EC170" s="101"/>
      <c r="ED170" s="101"/>
      <c r="EE170" s="101"/>
      <c r="EF170" s="101"/>
      <c r="EG170" s="101"/>
      <c r="EH170" s="101"/>
      <c r="EI170" s="101"/>
      <c r="EJ170" s="101"/>
      <c r="EK170" s="101"/>
      <c r="EL170" s="101"/>
      <c r="EM170" s="101"/>
      <c r="EN170" s="101"/>
      <c r="EO170" s="101"/>
      <c r="EP170" s="101"/>
      <c r="EQ170" s="101"/>
      <c r="ER170" s="101"/>
      <c r="ES170" s="101"/>
      <c r="ET170" s="101"/>
      <c r="EU170" s="101"/>
      <c r="EV170" s="101"/>
      <c r="EW170" s="101"/>
      <c r="EX170" s="101"/>
      <c r="EY170" s="101"/>
      <c r="EZ170" s="101"/>
      <c r="FA170" s="101"/>
      <c r="FB170" s="101"/>
      <c r="FC170" s="101"/>
      <c r="FD170" s="101"/>
      <c r="FE170" s="101"/>
      <c r="FF170" s="101"/>
      <c r="FG170" s="101"/>
      <c r="FH170" s="101"/>
      <c r="FI170" s="101"/>
      <c r="FJ170" s="101"/>
      <c r="FK170" s="101"/>
      <c r="FL170" s="101"/>
      <c r="FM170" s="101"/>
      <c r="FN170" s="101"/>
      <c r="FO170" s="101"/>
      <c r="FP170" s="101"/>
      <c r="FQ170" s="101"/>
      <c r="FR170" s="101"/>
      <c r="FS170" s="101"/>
      <c r="FT170" s="101"/>
      <c r="FU170" s="101"/>
      <c r="FV170" s="101"/>
      <c r="FW170" s="101"/>
      <c r="FX170" s="101"/>
      <c r="FY170" s="101"/>
      <c r="FZ170" s="101"/>
      <c r="GA170" s="101"/>
      <c r="GB170" s="101"/>
      <c r="GC170" s="101"/>
      <c r="GD170" s="101"/>
      <c r="GE170" s="101"/>
      <c r="GF170" s="101"/>
      <c r="GG170" s="101"/>
      <c r="GH170" s="101"/>
      <c r="GI170" s="101"/>
      <c r="GJ170" s="101"/>
      <c r="GK170" s="101"/>
      <c r="GL170" s="101"/>
      <c r="GM170" s="101"/>
      <c r="GN170" s="101"/>
      <c r="GO170" s="101"/>
      <c r="GP170" s="101"/>
      <c r="GQ170" s="101"/>
      <c r="GR170" s="101"/>
      <c r="GS170" s="101"/>
      <c r="GT170" s="101"/>
      <c r="GU170" s="101"/>
      <c r="GV170" s="101"/>
      <c r="GW170" s="101"/>
      <c r="GX170" s="101"/>
      <c r="GY170" s="101"/>
      <c r="GZ170" s="101"/>
      <c r="HA170" s="101"/>
      <c r="HB170" s="101"/>
      <c r="HC170" s="101"/>
      <c r="HD170" s="101"/>
      <c r="HE170" s="101"/>
      <c r="HF170" s="101"/>
      <c r="HG170" s="101"/>
      <c r="HH170" s="101"/>
      <c r="HI170" s="101"/>
      <c r="HJ170" s="101"/>
      <c r="HK170" s="101"/>
      <c r="HL170" s="101"/>
      <c r="HM170" s="101"/>
      <c r="HN170" s="101"/>
      <c r="HO170" s="101"/>
      <c r="HP170" s="101"/>
      <c r="HQ170" s="101"/>
      <c r="HR170" s="101"/>
      <c r="HS170" s="101"/>
      <c r="HT170" s="101"/>
      <c r="HU170" s="101"/>
      <c r="HV170" s="101"/>
      <c r="HW170" s="101"/>
      <c r="HX170" s="101"/>
      <c r="HY170" s="101"/>
      <c r="HZ170" s="101"/>
      <c r="IA170" s="101"/>
      <c r="IB170" s="101"/>
      <c r="IC170" s="101"/>
      <c r="ID170" s="101"/>
      <c r="IE170" s="101"/>
      <c r="IF170" s="101"/>
      <c r="IG170" s="101"/>
      <c r="IH170" s="101"/>
      <c r="II170" s="101"/>
      <c r="IJ170" s="101"/>
      <c r="IK170" s="101"/>
      <c r="IL170" s="101"/>
      <c r="IM170" s="101"/>
      <c r="IN170" s="101"/>
      <c r="IO170" s="101"/>
      <c r="IP170" s="101"/>
      <c r="IQ170" s="101"/>
      <c r="IR170" s="101"/>
      <c r="IS170" s="101"/>
      <c r="IT170" s="101"/>
    </row>
    <row r="171" spans="1:254">
      <c r="A171" s="101"/>
      <c r="B171" s="101"/>
      <c r="C171" s="101"/>
      <c r="D171" s="101"/>
      <c r="F171" s="7"/>
      <c r="G171" s="7"/>
      <c r="H171" s="7"/>
      <c r="I171" s="7"/>
      <c r="J171" s="7"/>
      <c r="K171" s="7"/>
      <c r="L171" s="7"/>
      <c r="M171" s="52"/>
      <c r="N171" s="52"/>
      <c r="O171" s="7"/>
      <c r="P171" s="52"/>
      <c r="Q171" s="52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01"/>
      <c r="AP171" s="101"/>
      <c r="AQ171" s="101"/>
      <c r="AR171" s="101"/>
      <c r="AS171" s="101"/>
      <c r="AT171" s="101"/>
      <c r="AU171" s="101"/>
      <c r="AV171" s="101"/>
      <c r="AW171" s="101"/>
      <c r="AX171" s="101"/>
      <c r="AY171" s="101"/>
      <c r="AZ171" s="101"/>
      <c r="BA171" s="101"/>
      <c r="BB171" s="101"/>
      <c r="BC171" s="101"/>
      <c r="BD171" s="101"/>
      <c r="BE171" s="101"/>
      <c r="BF171" s="101"/>
      <c r="BG171" s="101"/>
      <c r="BH171" s="101"/>
      <c r="BI171" s="101"/>
      <c r="BJ171" s="101"/>
      <c r="BK171" s="101"/>
      <c r="BL171" s="101"/>
      <c r="BM171" s="101"/>
      <c r="BN171" s="101"/>
      <c r="BO171" s="101"/>
      <c r="BP171" s="101"/>
      <c r="BQ171" s="101"/>
      <c r="BR171" s="101"/>
      <c r="BS171" s="101"/>
      <c r="BT171" s="101"/>
      <c r="BU171" s="101"/>
      <c r="BV171" s="101"/>
      <c r="BW171" s="101"/>
      <c r="BX171" s="101"/>
      <c r="BY171" s="101"/>
      <c r="BZ171" s="101"/>
      <c r="CA171" s="101"/>
      <c r="CB171" s="101"/>
      <c r="CC171" s="101"/>
      <c r="CD171" s="101"/>
      <c r="CE171" s="101"/>
      <c r="CF171" s="101"/>
      <c r="CG171" s="101"/>
      <c r="CH171" s="101"/>
      <c r="CI171" s="101"/>
      <c r="CJ171" s="101"/>
      <c r="CK171" s="101"/>
      <c r="CL171" s="101"/>
      <c r="CM171" s="101"/>
      <c r="CN171" s="101"/>
      <c r="CO171" s="101"/>
      <c r="CP171" s="101"/>
      <c r="CQ171" s="101"/>
      <c r="CR171" s="101"/>
      <c r="CS171" s="101"/>
      <c r="CT171" s="101"/>
      <c r="CU171" s="101"/>
      <c r="CV171" s="101"/>
      <c r="CW171" s="101"/>
      <c r="CX171" s="101"/>
      <c r="CY171" s="101"/>
      <c r="CZ171" s="101"/>
      <c r="DA171" s="101"/>
      <c r="DB171" s="101"/>
      <c r="DC171" s="101"/>
      <c r="DD171" s="101"/>
      <c r="DE171" s="101"/>
      <c r="DF171" s="101"/>
      <c r="DG171" s="101"/>
      <c r="DH171" s="101"/>
      <c r="DI171" s="101"/>
      <c r="DJ171" s="101"/>
      <c r="DK171" s="101"/>
      <c r="DL171" s="101"/>
      <c r="DM171" s="101"/>
      <c r="DN171" s="101"/>
      <c r="DO171" s="101"/>
      <c r="DP171" s="101"/>
      <c r="DQ171" s="101"/>
      <c r="DR171" s="101"/>
      <c r="DS171" s="101"/>
      <c r="DT171" s="101"/>
      <c r="DU171" s="101"/>
      <c r="DV171" s="101"/>
      <c r="DW171" s="101"/>
      <c r="DX171" s="101"/>
      <c r="DY171" s="101"/>
      <c r="DZ171" s="101"/>
      <c r="EA171" s="101"/>
      <c r="EB171" s="101"/>
      <c r="EC171" s="101"/>
      <c r="ED171" s="101"/>
      <c r="EE171" s="101"/>
      <c r="EF171" s="101"/>
      <c r="EG171" s="101"/>
      <c r="EH171" s="101"/>
      <c r="EI171" s="101"/>
      <c r="EJ171" s="101"/>
      <c r="EK171" s="101"/>
      <c r="EL171" s="101"/>
      <c r="EM171" s="101"/>
      <c r="EN171" s="101"/>
      <c r="EO171" s="101"/>
      <c r="EP171" s="101"/>
      <c r="EQ171" s="101"/>
      <c r="ER171" s="101"/>
      <c r="ES171" s="101"/>
      <c r="ET171" s="101"/>
      <c r="EU171" s="101"/>
      <c r="EV171" s="101"/>
      <c r="EW171" s="101"/>
      <c r="EX171" s="101"/>
      <c r="EY171" s="101"/>
      <c r="EZ171" s="101"/>
      <c r="FA171" s="101"/>
      <c r="FB171" s="101"/>
      <c r="FC171" s="101"/>
      <c r="FD171" s="101"/>
      <c r="FE171" s="101"/>
      <c r="FF171" s="101"/>
      <c r="FG171" s="101"/>
      <c r="FH171" s="101"/>
      <c r="FI171" s="101"/>
      <c r="FJ171" s="101"/>
      <c r="FK171" s="101"/>
      <c r="FL171" s="101"/>
      <c r="FM171" s="101"/>
      <c r="FN171" s="101"/>
      <c r="FO171" s="101"/>
      <c r="FP171" s="101"/>
      <c r="FQ171" s="101"/>
      <c r="FR171" s="101"/>
      <c r="FS171" s="101"/>
      <c r="FT171" s="101"/>
      <c r="FU171" s="101"/>
      <c r="FV171" s="101"/>
      <c r="FW171" s="101"/>
      <c r="FX171" s="101"/>
      <c r="FY171" s="101"/>
      <c r="FZ171" s="101"/>
      <c r="GA171" s="101"/>
      <c r="GB171" s="101"/>
      <c r="GC171" s="101"/>
      <c r="GD171" s="101"/>
      <c r="GE171" s="101"/>
      <c r="GF171" s="101"/>
      <c r="GG171" s="101"/>
      <c r="GH171" s="101"/>
      <c r="GI171" s="101"/>
      <c r="GJ171" s="101"/>
      <c r="GK171" s="101"/>
      <c r="GL171" s="101"/>
      <c r="GM171" s="101"/>
      <c r="GN171" s="101"/>
      <c r="GO171" s="101"/>
      <c r="GP171" s="101"/>
      <c r="GQ171" s="101"/>
      <c r="GR171" s="101"/>
      <c r="GS171" s="101"/>
      <c r="GT171" s="101"/>
      <c r="GU171" s="101"/>
      <c r="GV171" s="101"/>
      <c r="GW171" s="101"/>
      <c r="GX171" s="101"/>
      <c r="GY171" s="101"/>
      <c r="GZ171" s="101"/>
      <c r="HA171" s="101"/>
      <c r="HB171" s="101"/>
      <c r="HC171" s="101"/>
      <c r="HD171" s="101"/>
      <c r="HE171" s="101"/>
      <c r="HF171" s="101"/>
      <c r="HG171" s="101"/>
      <c r="HH171" s="101"/>
      <c r="HI171" s="101"/>
      <c r="HJ171" s="101"/>
      <c r="HK171" s="101"/>
      <c r="HL171" s="101"/>
      <c r="HM171" s="101"/>
      <c r="HN171" s="101"/>
      <c r="HO171" s="101"/>
      <c r="HP171" s="101"/>
      <c r="HQ171" s="101"/>
      <c r="HR171" s="101"/>
      <c r="HS171" s="101"/>
      <c r="HT171" s="101"/>
      <c r="HU171" s="101"/>
      <c r="HV171" s="101"/>
      <c r="HW171" s="101"/>
      <c r="HX171" s="101"/>
      <c r="HY171" s="101"/>
      <c r="HZ171" s="101"/>
      <c r="IA171" s="101"/>
      <c r="IB171" s="101"/>
      <c r="IC171" s="101"/>
      <c r="ID171" s="101"/>
      <c r="IE171" s="101"/>
      <c r="IF171" s="101"/>
      <c r="IG171" s="101"/>
      <c r="IH171" s="101"/>
      <c r="II171" s="101"/>
      <c r="IJ171" s="101"/>
      <c r="IK171" s="101"/>
      <c r="IL171" s="101"/>
      <c r="IM171" s="101"/>
      <c r="IN171" s="101"/>
      <c r="IO171" s="101"/>
      <c r="IP171" s="101"/>
      <c r="IQ171" s="101"/>
      <c r="IR171" s="101"/>
      <c r="IS171" s="101"/>
      <c r="IT171" s="101"/>
    </row>
    <row r="172" spans="1:254">
      <c r="A172" s="101"/>
      <c r="B172" s="101"/>
      <c r="C172" s="101"/>
      <c r="D172" s="101"/>
      <c r="F172" s="7"/>
      <c r="G172" s="7"/>
      <c r="H172" s="7"/>
      <c r="I172" s="7"/>
      <c r="J172" s="7"/>
      <c r="K172" s="7"/>
      <c r="L172" s="7"/>
      <c r="M172" s="52"/>
      <c r="N172" s="52"/>
      <c r="O172" s="7"/>
      <c r="P172" s="52"/>
      <c r="Q172" s="52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101"/>
      <c r="AJ172" s="101"/>
      <c r="AK172" s="101"/>
      <c r="AL172" s="101"/>
      <c r="AM172" s="101"/>
      <c r="AN172" s="101"/>
      <c r="AO172" s="101"/>
      <c r="AP172" s="101"/>
      <c r="AQ172" s="101"/>
      <c r="AR172" s="101"/>
      <c r="AS172" s="101"/>
      <c r="AT172" s="101"/>
      <c r="AU172" s="101"/>
      <c r="AV172" s="101"/>
      <c r="AW172" s="101"/>
      <c r="AX172" s="101"/>
      <c r="AY172" s="101"/>
      <c r="AZ172" s="101"/>
      <c r="BA172" s="101"/>
      <c r="BB172" s="101"/>
      <c r="BC172" s="101"/>
      <c r="BD172" s="101"/>
      <c r="BE172" s="101"/>
      <c r="BF172" s="101"/>
      <c r="BG172" s="101"/>
      <c r="BH172" s="101"/>
      <c r="BI172" s="101"/>
      <c r="BJ172" s="101"/>
      <c r="BK172" s="101"/>
      <c r="BL172" s="101"/>
      <c r="BM172" s="101"/>
      <c r="BN172" s="101"/>
      <c r="BO172" s="101"/>
      <c r="BP172" s="101"/>
      <c r="BQ172" s="101"/>
      <c r="BR172" s="101"/>
      <c r="BS172" s="101"/>
      <c r="BT172" s="101"/>
      <c r="BU172" s="101"/>
      <c r="BV172" s="101"/>
      <c r="BW172" s="101"/>
      <c r="BX172" s="101"/>
      <c r="BY172" s="101"/>
      <c r="BZ172" s="101"/>
      <c r="CA172" s="101"/>
      <c r="CB172" s="101"/>
      <c r="CC172" s="101"/>
      <c r="CD172" s="101"/>
      <c r="CE172" s="101"/>
      <c r="CF172" s="101"/>
      <c r="CG172" s="101"/>
      <c r="CH172" s="101"/>
      <c r="CI172" s="101"/>
      <c r="CJ172" s="101"/>
      <c r="CK172" s="101"/>
      <c r="CL172" s="101"/>
      <c r="CM172" s="101"/>
      <c r="CN172" s="101"/>
      <c r="CO172" s="101"/>
      <c r="CP172" s="101"/>
      <c r="CQ172" s="101"/>
      <c r="CR172" s="101"/>
      <c r="CS172" s="101"/>
      <c r="CT172" s="101"/>
      <c r="CU172" s="101"/>
      <c r="CV172" s="101"/>
      <c r="CW172" s="101"/>
      <c r="CX172" s="101"/>
      <c r="CY172" s="101"/>
      <c r="CZ172" s="101"/>
      <c r="DA172" s="101"/>
      <c r="DB172" s="101"/>
      <c r="DC172" s="101"/>
      <c r="DD172" s="101"/>
      <c r="DE172" s="101"/>
      <c r="DF172" s="101"/>
      <c r="DG172" s="101"/>
      <c r="DH172" s="101"/>
      <c r="DI172" s="101"/>
      <c r="DJ172" s="101"/>
      <c r="DK172" s="101"/>
      <c r="DL172" s="101"/>
      <c r="DM172" s="101"/>
      <c r="DN172" s="101"/>
      <c r="DO172" s="101"/>
      <c r="DP172" s="101"/>
      <c r="DQ172" s="101"/>
      <c r="DR172" s="101"/>
      <c r="DS172" s="101"/>
      <c r="DT172" s="101"/>
      <c r="DU172" s="101"/>
      <c r="DV172" s="101"/>
      <c r="DW172" s="101"/>
      <c r="DX172" s="101"/>
      <c r="DY172" s="101"/>
      <c r="DZ172" s="101"/>
      <c r="EA172" s="101"/>
      <c r="EB172" s="101"/>
      <c r="EC172" s="101"/>
      <c r="ED172" s="101"/>
      <c r="EE172" s="101"/>
      <c r="EF172" s="101"/>
      <c r="EG172" s="101"/>
      <c r="EH172" s="101"/>
      <c r="EI172" s="101"/>
      <c r="EJ172" s="101"/>
      <c r="EK172" s="101"/>
      <c r="EL172" s="101"/>
      <c r="EM172" s="101"/>
      <c r="EN172" s="101"/>
      <c r="EO172" s="101"/>
      <c r="EP172" s="101"/>
      <c r="EQ172" s="101"/>
      <c r="ER172" s="101"/>
      <c r="ES172" s="101"/>
      <c r="ET172" s="101"/>
      <c r="EU172" s="101"/>
      <c r="EV172" s="101"/>
      <c r="EW172" s="101"/>
      <c r="EX172" s="101"/>
      <c r="EY172" s="101"/>
      <c r="EZ172" s="101"/>
      <c r="FA172" s="101"/>
      <c r="FB172" s="101"/>
      <c r="FC172" s="101"/>
      <c r="FD172" s="101"/>
      <c r="FE172" s="101"/>
      <c r="FF172" s="101"/>
      <c r="FG172" s="101"/>
      <c r="FH172" s="101"/>
      <c r="FI172" s="101"/>
      <c r="FJ172" s="101"/>
      <c r="FK172" s="101"/>
      <c r="FL172" s="101"/>
      <c r="FM172" s="101"/>
      <c r="FN172" s="101"/>
      <c r="FO172" s="101"/>
      <c r="FP172" s="101"/>
      <c r="FQ172" s="101"/>
      <c r="FR172" s="101"/>
      <c r="FS172" s="101"/>
      <c r="FT172" s="101"/>
      <c r="FU172" s="101"/>
      <c r="FV172" s="101"/>
      <c r="FW172" s="101"/>
      <c r="FX172" s="101"/>
      <c r="FY172" s="101"/>
      <c r="FZ172" s="101"/>
      <c r="GA172" s="101"/>
      <c r="GB172" s="101"/>
      <c r="GC172" s="101"/>
      <c r="GD172" s="101"/>
      <c r="GE172" s="101"/>
      <c r="GF172" s="101"/>
      <c r="GG172" s="101"/>
      <c r="GH172" s="101"/>
      <c r="GI172" s="101"/>
      <c r="GJ172" s="101"/>
      <c r="GK172" s="101"/>
      <c r="GL172" s="101"/>
      <c r="GM172" s="101"/>
      <c r="GN172" s="101"/>
      <c r="GO172" s="101"/>
      <c r="GP172" s="101"/>
      <c r="GQ172" s="101"/>
      <c r="GR172" s="101"/>
      <c r="GS172" s="101"/>
      <c r="GT172" s="101"/>
      <c r="GU172" s="101"/>
      <c r="GV172" s="101"/>
      <c r="GW172" s="101"/>
      <c r="GX172" s="101"/>
      <c r="GY172" s="101"/>
      <c r="GZ172" s="101"/>
      <c r="HA172" s="101"/>
      <c r="HB172" s="101"/>
      <c r="HC172" s="101"/>
      <c r="HD172" s="101"/>
      <c r="HE172" s="101"/>
      <c r="HF172" s="101"/>
      <c r="HG172" s="101"/>
      <c r="HH172" s="101"/>
      <c r="HI172" s="101"/>
      <c r="HJ172" s="101"/>
      <c r="HK172" s="101"/>
      <c r="HL172" s="101"/>
      <c r="HM172" s="101"/>
      <c r="HN172" s="101"/>
      <c r="HO172" s="101"/>
      <c r="HP172" s="101"/>
      <c r="HQ172" s="101"/>
      <c r="HR172" s="101"/>
      <c r="HS172" s="101"/>
      <c r="HT172" s="101"/>
      <c r="HU172" s="101"/>
      <c r="HV172" s="101"/>
      <c r="HW172" s="101"/>
      <c r="HX172" s="101"/>
      <c r="HY172" s="101"/>
      <c r="HZ172" s="101"/>
      <c r="IA172" s="101"/>
      <c r="IB172" s="101"/>
      <c r="IC172" s="101"/>
      <c r="ID172" s="101"/>
      <c r="IE172" s="101"/>
      <c r="IF172" s="101"/>
      <c r="IG172" s="101"/>
      <c r="IH172" s="101"/>
      <c r="II172" s="101"/>
      <c r="IJ172" s="101"/>
      <c r="IK172" s="101"/>
      <c r="IL172" s="101"/>
      <c r="IM172" s="101"/>
      <c r="IN172" s="101"/>
      <c r="IO172" s="101"/>
      <c r="IP172" s="101"/>
      <c r="IQ172" s="101"/>
      <c r="IR172" s="101"/>
      <c r="IS172" s="101"/>
      <c r="IT172" s="101"/>
    </row>
    <row r="173" spans="1:254">
      <c r="A173" s="101"/>
      <c r="B173" s="101"/>
      <c r="C173" s="101"/>
      <c r="D173" s="101"/>
      <c r="F173" s="7"/>
      <c r="G173" s="7"/>
      <c r="H173" s="7"/>
      <c r="I173" s="7"/>
      <c r="J173" s="7"/>
      <c r="K173" s="7"/>
      <c r="L173" s="7"/>
      <c r="M173" s="52"/>
      <c r="N173" s="52"/>
      <c r="O173" s="7"/>
      <c r="P173" s="52"/>
      <c r="Q173" s="52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  <c r="AJ173" s="101"/>
      <c r="AK173" s="101"/>
      <c r="AL173" s="101"/>
      <c r="AM173" s="101"/>
      <c r="AN173" s="101"/>
      <c r="AO173" s="101"/>
      <c r="AP173" s="101"/>
      <c r="AQ173" s="101"/>
      <c r="AR173" s="101"/>
      <c r="AS173" s="101"/>
      <c r="AT173" s="101"/>
      <c r="AU173" s="101"/>
      <c r="AV173" s="101"/>
      <c r="AW173" s="101"/>
      <c r="AX173" s="101"/>
      <c r="AY173" s="101"/>
      <c r="AZ173" s="101"/>
      <c r="BA173" s="101"/>
      <c r="BB173" s="101"/>
      <c r="BC173" s="101"/>
      <c r="BD173" s="101"/>
      <c r="BE173" s="101"/>
      <c r="BF173" s="101"/>
      <c r="BG173" s="101"/>
      <c r="BH173" s="101"/>
      <c r="BI173" s="101"/>
      <c r="BJ173" s="101"/>
      <c r="BK173" s="101"/>
      <c r="BL173" s="101"/>
      <c r="BM173" s="101"/>
      <c r="BN173" s="101"/>
      <c r="BO173" s="101"/>
      <c r="BP173" s="101"/>
      <c r="BQ173" s="101"/>
      <c r="BR173" s="101"/>
      <c r="BS173" s="101"/>
      <c r="BT173" s="101"/>
      <c r="BU173" s="101"/>
      <c r="BV173" s="101"/>
      <c r="BW173" s="101"/>
      <c r="BX173" s="101"/>
      <c r="BY173" s="101"/>
      <c r="BZ173" s="101"/>
      <c r="CA173" s="101"/>
      <c r="CB173" s="101"/>
      <c r="CC173" s="101"/>
      <c r="CD173" s="101"/>
      <c r="CE173" s="101"/>
      <c r="CF173" s="101"/>
      <c r="CG173" s="101"/>
      <c r="CH173" s="101"/>
      <c r="CI173" s="101"/>
      <c r="CJ173" s="101"/>
      <c r="CK173" s="101"/>
      <c r="CL173" s="101"/>
      <c r="CM173" s="101"/>
      <c r="CN173" s="101"/>
      <c r="CO173" s="101"/>
      <c r="CP173" s="101"/>
      <c r="CQ173" s="101"/>
      <c r="CR173" s="101"/>
      <c r="CS173" s="101"/>
      <c r="CT173" s="101"/>
      <c r="CU173" s="101"/>
      <c r="CV173" s="101"/>
      <c r="CW173" s="101"/>
      <c r="CX173" s="101"/>
      <c r="CY173" s="101"/>
      <c r="CZ173" s="101"/>
      <c r="DA173" s="101"/>
      <c r="DB173" s="101"/>
      <c r="DC173" s="101"/>
      <c r="DD173" s="101"/>
      <c r="DE173" s="101"/>
      <c r="DF173" s="101"/>
      <c r="DG173" s="101"/>
      <c r="DH173" s="101"/>
      <c r="DI173" s="101"/>
      <c r="DJ173" s="101"/>
      <c r="DK173" s="101"/>
      <c r="DL173" s="101"/>
      <c r="DM173" s="101"/>
      <c r="DN173" s="101"/>
      <c r="DO173" s="101"/>
      <c r="DP173" s="101"/>
      <c r="DQ173" s="101"/>
      <c r="DR173" s="101"/>
      <c r="DS173" s="101"/>
      <c r="DT173" s="101"/>
      <c r="DU173" s="101"/>
      <c r="DV173" s="101"/>
      <c r="DW173" s="101"/>
      <c r="DX173" s="101"/>
      <c r="DY173" s="101"/>
      <c r="DZ173" s="101"/>
      <c r="EA173" s="101"/>
      <c r="EB173" s="101"/>
      <c r="EC173" s="101"/>
      <c r="ED173" s="101"/>
      <c r="EE173" s="101"/>
      <c r="EF173" s="101"/>
      <c r="EG173" s="101"/>
      <c r="EH173" s="101"/>
      <c r="EI173" s="101"/>
      <c r="EJ173" s="101"/>
      <c r="EK173" s="101"/>
      <c r="EL173" s="101"/>
      <c r="EM173" s="101"/>
      <c r="EN173" s="101"/>
      <c r="EO173" s="101"/>
      <c r="EP173" s="101"/>
      <c r="EQ173" s="101"/>
      <c r="ER173" s="101"/>
      <c r="ES173" s="101"/>
      <c r="ET173" s="101"/>
      <c r="EU173" s="101"/>
      <c r="EV173" s="101"/>
      <c r="EW173" s="101"/>
      <c r="EX173" s="101"/>
      <c r="EY173" s="101"/>
      <c r="EZ173" s="101"/>
      <c r="FA173" s="101"/>
      <c r="FB173" s="101"/>
      <c r="FC173" s="101"/>
      <c r="FD173" s="101"/>
      <c r="FE173" s="101"/>
      <c r="FF173" s="101"/>
      <c r="FG173" s="101"/>
      <c r="FH173" s="101"/>
      <c r="FI173" s="101"/>
      <c r="FJ173" s="101"/>
      <c r="FK173" s="101"/>
      <c r="FL173" s="101"/>
      <c r="FM173" s="101"/>
      <c r="FN173" s="101"/>
      <c r="FO173" s="101"/>
      <c r="FP173" s="101"/>
      <c r="FQ173" s="101"/>
      <c r="FR173" s="101"/>
      <c r="FS173" s="101"/>
      <c r="FT173" s="101"/>
      <c r="FU173" s="101"/>
      <c r="FV173" s="101"/>
      <c r="FW173" s="101"/>
      <c r="FX173" s="101"/>
      <c r="FY173" s="101"/>
      <c r="FZ173" s="101"/>
      <c r="GA173" s="101"/>
      <c r="GB173" s="101"/>
      <c r="GC173" s="101"/>
      <c r="GD173" s="101"/>
      <c r="GE173" s="101"/>
      <c r="GF173" s="101"/>
      <c r="GG173" s="101"/>
      <c r="GH173" s="101"/>
      <c r="GI173" s="101"/>
      <c r="GJ173" s="101"/>
      <c r="GK173" s="101"/>
      <c r="GL173" s="101"/>
      <c r="GM173" s="101"/>
      <c r="GN173" s="101"/>
      <c r="GO173" s="101"/>
      <c r="GP173" s="101"/>
      <c r="GQ173" s="101"/>
      <c r="GR173" s="101"/>
      <c r="GS173" s="101"/>
      <c r="GT173" s="101"/>
      <c r="GU173" s="101"/>
      <c r="GV173" s="101"/>
      <c r="GW173" s="101"/>
      <c r="GX173" s="101"/>
      <c r="GY173" s="101"/>
      <c r="GZ173" s="101"/>
      <c r="HA173" s="101"/>
      <c r="HB173" s="101"/>
      <c r="HC173" s="101"/>
      <c r="HD173" s="101"/>
      <c r="HE173" s="101"/>
      <c r="HF173" s="101"/>
      <c r="HG173" s="101"/>
      <c r="HH173" s="101"/>
      <c r="HI173" s="101"/>
      <c r="HJ173" s="101"/>
      <c r="HK173" s="101"/>
      <c r="HL173" s="101"/>
      <c r="HM173" s="101"/>
      <c r="HN173" s="101"/>
      <c r="HO173" s="101"/>
      <c r="HP173" s="101"/>
      <c r="HQ173" s="101"/>
      <c r="HR173" s="101"/>
      <c r="HS173" s="101"/>
      <c r="HT173" s="101"/>
      <c r="HU173" s="101"/>
      <c r="HV173" s="101"/>
      <c r="HW173" s="101"/>
      <c r="HX173" s="101"/>
      <c r="HY173" s="101"/>
      <c r="HZ173" s="101"/>
      <c r="IA173" s="101"/>
      <c r="IB173" s="101"/>
      <c r="IC173" s="101"/>
      <c r="ID173" s="101"/>
      <c r="IE173" s="101"/>
      <c r="IF173" s="101"/>
      <c r="IG173" s="101"/>
      <c r="IH173" s="101"/>
      <c r="II173" s="101"/>
      <c r="IJ173" s="101"/>
      <c r="IK173" s="101"/>
      <c r="IL173" s="101"/>
      <c r="IM173" s="101"/>
      <c r="IN173" s="101"/>
      <c r="IO173" s="101"/>
      <c r="IP173" s="101"/>
      <c r="IQ173" s="101"/>
      <c r="IR173" s="101"/>
      <c r="IS173" s="101"/>
      <c r="IT173" s="101"/>
    </row>
    <row r="174" spans="1:254">
      <c r="A174" s="101"/>
      <c r="B174" s="101"/>
      <c r="C174" s="101"/>
      <c r="D174" s="101"/>
      <c r="F174" s="7"/>
      <c r="G174" s="7"/>
      <c r="H174" s="7"/>
      <c r="I174" s="7"/>
      <c r="J174" s="7"/>
      <c r="K174" s="7"/>
      <c r="L174" s="7"/>
      <c r="M174" s="52"/>
      <c r="N174" s="52"/>
      <c r="O174" s="7"/>
      <c r="P174" s="52"/>
      <c r="Q174" s="52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1"/>
      <c r="AH174" s="101"/>
      <c r="AI174" s="101"/>
      <c r="AJ174" s="101"/>
      <c r="AK174" s="101"/>
      <c r="AL174" s="101"/>
      <c r="AM174" s="101"/>
      <c r="AN174" s="101"/>
      <c r="AO174" s="101"/>
      <c r="AP174" s="101"/>
      <c r="AQ174" s="101"/>
      <c r="AR174" s="101"/>
      <c r="AS174" s="101"/>
      <c r="AT174" s="101"/>
      <c r="AU174" s="101"/>
      <c r="AV174" s="101"/>
      <c r="AW174" s="101"/>
      <c r="AX174" s="101"/>
      <c r="AY174" s="101"/>
      <c r="AZ174" s="101"/>
      <c r="BA174" s="101"/>
      <c r="BB174" s="101"/>
      <c r="BC174" s="101"/>
      <c r="BD174" s="101"/>
      <c r="BE174" s="101"/>
      <c r="BF174" s="101"/>
      <c r="BG174" s="101"/>
      <c r="BH174" s="101"/>
      <c r="BI174" s="101"/>
      <c r="BJ174" s="101"/>
      <c r="BK174" s="101"/>
      <c r="BL174" s="101"/>
      <c r="BM174" s="101"/>
      <c r="BN174" s="101"/>
      <c r="BO174" s="101"/>
      <c r="BP174" s="101"/>
      <c r="BQ174" s="101"/>
      <c r="BR174" s="101"/>
      <c r="BS174" s="101"/>
      <c r="BT174" s="101"/>
      <c r="BU174" s="101"/>
      <c r="BV174" s="101"/>
      <c r="BW174" s="101"/>
      <c r="BX174" s="101"/>
      <c r="BY174" s="101"/>
      <c r="BZ174" s="101"/>
      <c r="CA174" s="101"/>
      <c r="CB174" s="101"/>
      <c r="CC174" s="101"/>
      <c r="CD174" s="101"/>
      <c r="CE174" s="101"/>
      <c r="CF174" s="101"/>
      <c r="CG174" s="101"/>
      <c r="CH174" s="101"/>
      <c r="CI174" s="101"/>
      <c r="CJ174" s="101"/>
      <c r="CK174" s="101"/>
      <c r="CL174" s="101"/>
      <c r="CM174" s="101"/>
      <c r="CN174" s="101"/>
      <c r="CO174" s="101"/>
      <c r="CP174" s="101"/>
      <c r="CQ174" s="101"/>
      <c r="CR174" s="101"/>
      <c r="CS174" s="101"/>
      <c r="CT174" s="101"/>
      <c r="CU174" s="101"/>
      <c r="CV174" s="101"/>
      <c r="CW174" s="101"/>
      <c r="CX174" s="101"/>
      <c r="CY174" s="101"/>
      <c r="CZ174" s="101"/>
      <c r="DA174" s="101"/>
      <c r="DB174" s="101"/>
      <c r="DC174" s="101"/>
      <c r="DD174" s="101"/>
      <c r="DE174" s="101"/>
      <c r="DF174" s="101"/>
      <c r="DG174" s="101"/>
      <c r="DH174" s="101"/>
      <c r="DI174" s="101"/>
      <c r="DJ174" s="101"/>
      <c r="DK174" s="101"/>
      <c r="DL174" s="101"/>
      <c r="DM174" s="101"/>
      <c r="DN174" s="101"/>
      <c r="DO174" s="101"/>
      <c r="DP174" s="101"/>
      <c r="DQ174" s="101"/>
      <c r="DR174" s="101"/>
      <c r="DS174" s="101"/>
      <c r="DT174" s="101"/>
      <c r="DU174" s="101"/>
      <c r="DV174" s="101"/>
      <c r="DW174" s="101"/>
      <c r="DX174" s="101"/>
      <c r="DY174" s="101"/>
      <c r="DZ174" s="101"/>
      <c r="EA174" s="101"/>
      <c r="EB174" s="101"/>
      <c r="EC174" s="101"/>
      <c r="ED174" s="101"/>
      <c r="EE174" s="101"/>
      <c r="EF174" s="101"/>
      <c r="EG174" s="101"/>
      <c r="EH174" s="101"/>
      <c r="EI174" s="101"/>
      <c r="EJ174" s="101"/>
      <c r="EK174" s="101"/>
      <c r="EL174" s="101"/>
      <c r="EM174" s="101"/>
      <c r="EN174" s="101"/>
      <c r="EO174" s="101"/>
      <c r="EP174" s="101"/>
      <c r="EQ174" s="101"/>
      <c r="ER174" s="101"/>
      <c r="ES174" s="101"/>
      <c r="ET174" s="101"/>
      <c r="EU174" s="101"/>
      <c r="EV174" s="101"/>
      <c r="EW174" s="101"/>
      <c r="EX174" s="101"/>
      <c r="EY174" s="101"/>
      <c r="EZ174" s="101"/>
      <c r="FA174" s="101"/>
      <c r="FB174" s="101"/>
      <c r="FC174" s="101"/>
      <c r="FD174" s="101"/>
      <c r="FE174" s="101"/>
      <c r="FF174" s="101"/>
      <c r="FG174" s="101"/>
      <c r="FH174" s="101"/>
      <c r="FI174" s="101"/>
      <c r="FJ174" s="101"/>
      <c r="FK174" s="101"/>
      <c r="FL174" s="101"/>
      <c r="FM174" s="101"/>
      <c r="FN174" s="101"/>
      <c r="FO174" s="101"/>
      <c r="FP174" s="101"/>
      <c r="FQ174" s="101"/>
      <c r="FR174" s="101"/>
      <c r="FS174" s="101"/>
      <c r="FT174" s="101"/>
      <c r="FU174" s="101"/>
      <c r="FV174" s="101"/>
      <c r="FW174" s="101"/>
      <c r="FX174" s="101"/>
      <c r="FY174" s="101"/>
      <c r="FZ174" s="101"/>
      <c r="GA174" s="101"/>
      <c r="GB174" s="101"/>
      <c r="GC174" s="101"/>
      <c r="GD174" s="101"/>
      <c r="GE174" s="101"/>
      <c r="GF174" s="101"/>
      <c r="GG174" s="101"/>
      <c r="GH174" s="101"/>
      <c r="GI174" s="101"/>
      <c r="GJ174" s="101"/>
      <c r="GK174" s="101"/>
      <c r="GL174" s="101"/>
      <c r="GM174" s="101"/>
      <c r="GN174" s="101"/>
      <c r="GO174" s="101"/>
      <c r="GP174" s="101"/>
      <c r="GQ174" s="101"/>
      <c r="GR174" s="101"/>
      <c r="GS174" s="101"/>
      <c r="GT174" s="101"/>
      <c r="GU174" s="101"/>
      <c r="GV174" s="101"/>
      <c r="GW174" s="101"/>
      <c r="GX174" s="101"/>
      <c r="GY174" s="101"/>
      <c r="GZ174" s="101"/>
      <c r="HA174" s="101"/>
      <c r="HB174" s="101"/>
      <c r="HC174" s="101"/>
      <c r="HD174" s="101"/>
      <c r="HE174" s="101"/>
      <c r="HF174" s="101"/>
      <c r="HG174" s="101"/>
      <c r="HH174" s="101"/>
      <c r="HI174" s="101"/>
      <c r="HJ174" s="101"/>
      <c r="HK174" s="101"/>
      <c r="HL174" s="101"/>
      <c r="HM174" s="101"/>
      <c r="HN174" s="101"/>
      <c r="HO174" s="101"/>
      <c r="HP174" s="101"/>
      <c r="HQ174" s="101"/>
      <c r="HR174" s="101"/>
      <c r="HS174" s="101"/>
      <c r="HT174" s="101"/>
      <c r="HU174" s="101"/>
      <c r="HV174" s="101"/>
      <c r="HW174" s="101"/>
      <c r="HX174" s="101"/>
      <c r="HY174" s="101"/>
      <c r="HZ174" s="101"/>
      <c r="IA174" s="101"/>
      <c r="IB174" s="101"/>
      <c r="IC174" s="101"/>
      <c r="ID174" s="101"/>
      <c r="IE174" s="101"/>
      <c r="IF174" s="101"/>
      <c r="IG174" s="101"/>
      <c r="IH174" s="101"/>
      <c r="II174" s="101"/>
      <c r="IJ174" s="101"/>
      <c r="IK174" s="101"/>
      <c r="IL174" s="101"/>
      <c r="IM174" s="101"/>
      <c r="IN174" s="101"/>
      <c r="IO174" s="101"/>
      <c r="IP174" s="101"/>
      <c r="IQ174" s="101"/>
      <c r="IR174" s="101"/>
      <c r="IS174" s="101"/>
      <c r="IT174" s="101"/>
    </row>
    <row r="175" spans="1:254">
      <c r="A175" s="101"/>
      <c r="B175" s="101"/>
      <c r="C175" s="101"/>
      <c r="D175" s="101"/>
      <c r="F175" s="7"/>
      <c r="G175" s="7"/>
      <c r="H175" s="7"/>
      <c r="I175" s="7"/>
      <c r="J175" s="7"/>
      <c r="K175" s="7"/>
      <c r="L175" s="7"/>
      <c r="M175" s="52"/>
      <c r="N175" s="52"/>
      <c r="O175" s="7"/>
      <c r="P175" s="52"/>
      <c r="Q175" s="52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  <c r="AJ175" s="101"/>
      <c r="AK175" s="101"/>
      <c r="AL175" s="101"/>
      <c r="AM175" s="101"/>
      <c r="AN175" s="101"/>
      <c r="AO175" s="101"/>
      <c r="AP175" s="101"/>
      <c r="AQ175" s="101"/>
      <c r="AR175" s="101"/>
      <c r="AS175" s="101"/>
      <c r="AT175" s="101"/>
      <c r="AU175" s="101"/>
      <c r="AV175" s="101"/>
      <c r="AW175" s="101"/>
      <c r="AX175" s="101"/>
      <c r="AY175" s="101"/>
      <c r="AZ175" s="101"/>
      <c r="BA175" s="101"/>
      <c r="BB175" s="101"/>
      <c r="BC175" s="101"/>
      <c r="BD175" s="101"/>
      <c r="BE175" s="101"/>
      <c r="BF175" s="101"/>
      <c r="BG175" s="101"/>
      <c r="BH175" s="101"/>
      <c r="BI175" s="101"/>
      <c r="BJ175" s="101"/>
      <c r="BK175" s="101"/>
      <c r="BL175" s="101"/>
      <c r="BM175" s="101"/>
      <c r="BN175" s="101"/>
      <c r="BO175" s="101"/>
      <c r="BP175" s="101"/>
      <c r="BQ175" s="101"/>
      <c r="BR175" s="101"/>
      <c r="BS175" s="101"/>
      <c r="BT175" s="101"/>
      <c r="BU175" s="101"/>
      <c r="BV175" s="101"/>
      <c r="BW175" s="101"/>
      <c r="BX175" s="101"/>
      <c r="BY175" s="101"/>
      <c r="BZ175" s="101"/>
      <c r="CA175" s="101"/>
      <c r="CB175" s="101"/>
      <c r="CC175" s="101"/>
      <c r="CD175" s="101"/>
      <c r="CE175" s="101"/>
      <c r="CF175" s="101"/>
      <c r="CG175" s="101"/>
      <c r="CH175" s="101"/>
      <c r="CI175" s="101"/>
      <c r="CJ175" s="101"/>
      <c r="CK175" s="101"/>
      <c r="CL175" s="101"/>
      <c r="CM175" s="101"/>
      <c r="CN175" s="101"/>
      <c r="CO175" s="101"/>
      <c r="CP175" s="101"/>
      <c r="CQ175" s="101"/>
      <c r="CR175" s="101"/>
      <c r="CS175" s="101"/>
      <c r="CT175" s="101"/>
      <c r="CU175" s="101"/>
      <c r="CV175" s="101"/>
      <c r="CW175" s="101"/>
      <c r="CX175" s="101"/>
      <c r="CY175" s="101"/>
      <c r="CZ175" s="101"/>
      <c r="DA175" s="101"/>
      <c r="DB175" s="101"/>
      <c r="DC175" s="101"/>
      <c r="DD175" s="101"/>
      <c r="DE175" s="101"/>
      <c r="DF175" s="101"/>
      <c r="DG175" s="101"/>
      <c r="DH175" s="101"/>
      <c r="DI175" s="101"/>
      <c r="DJ175" s="101"/>
      <c r="DK175" s="101"/>
      <c r="DL175" s="101"/>
      <c r="DM175" s="101"/>
      <c r="DN175" s="101"/>
      <c r="DO175" s="101"/>
      <c r="DP175" s="101"/>
      <c r="DQ175" s="101"/>
      <c r="DR175" s="101"/>
      <c r="DS175" s="101"/>
      <c r="DT175" s="101"/>
      <c r="DU175" s="101"/>
      <c r="DV175" s="101"/>
      <c r="DW175" s="101"/>
      <c r="DX175" s="101"/>
      <c r="DY175" s="101"/>
      <c r="DZ175" s="101"/>
      <c r="EA175" s="101"/>
      <c r="EB175" s="101"/>
      <c r="EC175" s="101"/>
      <c r="ED175" s="101"/>
      <c r="EE175" s="101"/>
      <c r="EF175" s="101"/>
      <c r="EG175" s="101"/>
      <c r="EH175" s="101"/>
      <c r="EI175" s="101"/>
      <c r="EJ175" s="101"/>
      <c r="EK175" s="101"/>
      <c r="EL175" s="101"/>
      <c r="EM175" s="101"/>
      <c r="EN175" s="101"/>
      <c r="EO175" s="101"/>
      <c r="EP175" s="101"/>
      <c r="EQ175" s="101"/>
      <c r="ER175" s="101"/>
      <c r="ES175" s="101"/>
      <c r="ET175" s="101"/>
      <c r="EU175" s="101"/>
      <c r="EV175" s="101"/>
      <c r="EW175" s="101"/>
      <c r="EX175" s="101"/>
      <c r="EY175" s="101"/>
      <c r="EZ175" s="101"/>
      <c r="FA175" s="101"/>
      <c r="FB175" s="101"/>
      <c r="FC175" s="101"/>
      <c r="FD175" s="101"/>
      <c r="FE175" s="101"/>
      <c r="FF175" s="101"/>
      <c r="FG175" s="101"/>
      <c r="FH175" s="101"/>
      <c r="FI175" s="101"/>
      <c r="FJ175" s="101"/>
      <c r="FK175" s="101"/>
      <c r="FL175" s="101"/>
      <c r="FM175" s="101"/>
      <c r="FN175" s="101"/>
      <c r="FO175" s="101"/>
      <c r="FP175" s="101"/>
      <c r="FQ175" s="101"/>
      <c r="FR175" s="101"/>
      <c r="FS175" s="101"/>
      <c r="FT175" s="101"/>
      <c r="FU175" s="101"/>
      <c r="FV175" s="101"/>
      <c r="FW175" s="101"/>
      <c r="FX175" s="101"/>
      <c r="FY175" s="101"/>
      <c r="FZ175" s="101"/>
      <c r="GA175" s="101"/>
      <c r="GB175" s="101"/>
      <c r="GC175" s="101"/>
      <c r="GD175" s="101"/>
      <c r="GE175" s="101"/>
      <c r="GF175" s="101"/>
      <c r="GG175" s="101"/>
      <c r="GH175" s="101"/>
      <c r="GI175" s="101"/>
      <c r="GJ175" s="101"/>
      <c r="GK175" s="101"/>
      <c r="GL175" s="101"/>
      <c r="GM175" s="101"/>
      <c r="GN175" s="101"/>
      <c r="GO175" s="101"/>
      <c r="GP175" s="101"/>
      <c r="GQ175" s="101"/>
      <c r="GR175" s="101"/>
      <c r="GS175" s="101"/>
      <c r="GT175" s="101"/>
      <c r="GU175" s="101"/>
      <c r="GV175" s="101"/>
      <c r="GW175" s="101"/>
      <c r="GX175" s="101"/>
      <c r="GY175" s="101"/>
      <c r="GZ175" s="101"/>
      <c r="HA175" s="101"/>
      <c r="HB175" s="101"/>
      <c r="HC175" s="101"/>
      <c r="HD175" s="101"/>
      <c r="HE175" s="101"/>
      <c r="HF175" s="101"/>
      <c r="HG175" s="101"/>
      <c r="HH175" s="101"/>
      <c r="HI175" s="101"/>
      <c r="HJ175" s="101"/>
      <c r="HK175" s="101"/>
      <c r="HL175" s="101"/>
      <c r="HM175" s="101"/>
      <c r="HN175" s="101"/>
      <c r="HO175" s="101"/>
      <c r="HP175" s="101"/>
      <c r="HQ175" s="101"/>
      <c r="HR175" s="101"/>
      <c r="HS175" s="101"/>
      <c r="HT175" s="101"/>
      <c r="HU175" s="101"/>
      <c r="HV175" s="101"/>
      <c r="HW175" s="101"/>
      <c r="HX175" s="101"/>
      <c r="HY175" s="101"/>
      <c r="HZ175" s="101"/>
      <c r="IA175" s="101"/>
      <c r="IB175" s="101"/>
      <c r="IC175" s="101"/>
      <c r="ID175" s="101"/>
      <c r="IE175" s="101"/>
      <c r="IF175" s="101"/>
      <c r="IG175" s="101"/>
      <c r="IH175" s="101"/>
      <c r="II175" s="101"/>
      <c r="IJ175" s="101"/>
      <c r="IK175" s="101"/>
      <c r="IL175" s="101"/>
      <c r="IM175" s="101"/>
      <c r="IN175" s="101"/>
      <c r="IO175" s="101"/>
      <c r="IP175" s="101"/>
      <c r="IQ175" s="101"/>
      <c r="IR175" s="101"/>
      <c r="IS175" s="101"/>
      <c r="IT175" s="101"/>
    </row>
    <row r="176" spans="1:254">
      <c r="A176" s="101"/>
      <c r="B176" s="101"/>
      <c r="C176" s="101"/>
      <c r="D176" s="101"/>
      <c r="F176" s="7"/>
      <c r="G176" s="7"/>
      <c r="H176" s="7"/>
      <c r="I176" s="7"/>
      <c r="J176" s="7"/>
      <c r="K176" s="7"/>
      <c r="L176" s="7"/>
      <c r="M176" s="52"/>
      <c r="N176" s="52"/>
      <c r="O176" s="7"/>
      <c r="P176" s="52"/>
      <c r="Q176" s="52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  <c r="AK176" s="101"/>
      <c r="AL176" s="101"/>
      <c r="AM176" s="101"/>
      <c r="AN176" s="101"/>
      <c r="AO176" s="101"/>
      <c r="AP176" s="101"/>
      <c r="AQ176" s="101"/>
      <c r="AR176" s="101"/>
      <c r="AS176" s="101"/>
      <c r="AT176" s="101"/>
      <c r="AU176" s="101"/>
      <c r="AV176" s="101"/>
      <c r="AW176" s="101"/>
      <c r="AX176" s="101"/>
      <c r="AY176" s="101"/>
      <c r="AZ176" s="101"/>
      <c r="BA176" s="101"/>
      <c r="BB176" s="101"/>
      <c r="BC176" s="101"/>
      <c r="BD176" s="101"/>
      <c r="BE176" s="101"/>
      <c r="BF176" s="101"/>
      <c r="BG176" s="101"/>
      <c r="BH176" s="101"/>
      <c r="BI176" s="101"/>
      <c r="BJ176" s="101"/>
      <c r="BK176" s="101"/>
      <c r="BL176" s="101"/>
      <c r="BM176" s="101"/>
      <c r="BN176" s="101"/>
      <c r="BO176" s="101"/>
      <c r="BP176" s="101"/>
      <c r="BQ176" s="101"/>
      <c r="BR176" s="101"/>
      <c r="BS176" s="101"/>
      <c r="BT176" s="101"/>
      <c r="BU176" s="101"/>
      <c r="BV176" s="101"/>
      <c r="BW176" s="101"/>
      <c r="BX176" s="101"/>
      <c r="BY176" s="101"/>
      <c r="BZ176" s="101"/>
      <c r="CA176" s="101"/>
      <c r="CB176" s="101"/>
      <c r="CC176" s="101"/>
      <c r="CD176" s="101"/>
      <c r="CE176" s="101"/>
      <c r="CF176" s="101"/>
      <c r="CG176" s="101"/>
      <c r="CH176" s="101"/>
      <c r="CI176" s="101"/>
      <c r="CJ176" s="101"/>
      <c r="CK176" s="101"/>
      <c r="CL176" s="101"/>
      <c r="CM176" s="101"/>
      <c r="CN176" s="101"/>
      <c r="CO176" s="101"/>
      <c r="CP176" s="101"/>
      <c r="CQ176" s="101"/>
      <c r="CR176" s="101"/>
      <c r="CS176" s="101"/>
      <c r="CT176" s="101"/>
      <c r="CU176" s="101"/>
      <c r="CV176" s="101"/>
      <c r="CW176" s="101"/>
      <c r="CX176" s="101"/>
      <c r="CY176" s="101"/>
      <c r="CZ176" s="101"/>
      <c r="DA176" s="101"/>
      <c r="DB176" s="101"/>
      <c r="DC176" s="101"/>
      <c r="DD176" s="101"/>
      <c r="DE176" s="101"/>
      <c r="DF176" s="101"/>
      <c r="DG176" s="101"/>
      <c r="DH176" s="101"/>
      <c r="DI176" s="101"/>
      <c r="DJ176" s="101"/>
      <c r="DK176" s="101"/>
      <c r="DL176" s="101"/>
      <c r="DM176" s="101"/>
      <c r="DN176" s="101"/>
      <c r="DO176" s="101"/>
      <c r="DP176" s="101"/>
      <c r="DQ176" s="101"/>
      <c r="DR176" s="101"/>
      <c r="DS176" s="101"/>
      <c r="DT176" s="101"/>
      <c r="DU176" s="101"/>
      <c r="DV176" s="101"/>
      <c r="DW176" s="101"/>
      <c r="DX176" s="101"/>
      <c r="DY176" s="101"/>
      <c r="DZ176" s="101"/>
      <c r="EA176" s="101"/>
      <c r="EB176" s="101"/>
      <c r="EC176" s="101"/>
      <c r="ED176" s="101"/>
      <c r="EE176" s="101"/>
      <c r="EF176" s="101"/>
      <c r="EG176" s="101"/>
      <c r="EH176" s="101"/>
      <c r="EI176" s="101"/>
      <c r="EJ176" s="101"/>
      <c r="EK176" s="101"/>
      <c r="EL176" s="101"/>
      <c r="EM176" s="101"/>
      <c r="EN176" s="101"/>
      <c r="EO176" s="101"/>
      <c r="EP176" s="101"/>
      <c r="EQ176" s="101"/>
      <c r="ER176" s="101"/>
      <c r="ES176" s="101"/>
      <c r="ET176" s="101"/>
      <c r="EU176" s="101"/>
      <c r="EV176" s="101"/>
      <c r="EW176" s="101"/>
      <c r="EX176" s="101"/>
      <c r="EY176" s="101"/>
      <c r="EZ176" s="101"/>
      <c r="FA176" s="101"/>
      <c r="FB176" s="101"/>
      <c r="FC176" s="101"/>
      <c r="FD176" s="101"/>
      <c r="FE176" s="101"/>
      <c r="FF176" s="101"/>
      <c r="FG176" s="101"/>
      <c r="FH176" s="101"/>
      <c r="FI176" s="101"/>
      <c r="FJ176" s="101"/>
      <c r="FK176" s="101"/>
      <c r="FL176" s="101"/>
      <c r="FM176" s="101"/>
      <c r="FN176" s="101"/>
      <c r="FO176" s="101"/>
      <c r="FP176" s="101"/>
      <c r="FQ176" s="101"/>
      <c r="FR176" s="101"/>
      <c r="FS176" s="101"/>
      <c r="FT176" s="101"/>
      <c r="FU176" s="101"/>
      <c r="FV176" s="101"/>
      <c r="FW176" s="101"/>
      <c r="FX176" s="101"/>
      <c r="FY176" s="101"/>
      <c r="FZ176" s="101"/>
      <c r="GA176" s="101"/>
      <c r="GB176" s="101"/>
      <c r="GC176" s="101"/>
      <c r="GD176" s="101"/>
      <c r="GE176" s="101"/>
      <c r="GF176" s="101"/>
      <c r="GG176" s="101"/>
      <c r="GH176" s="101"/>
      <c r="GI176" s="101"/>
      <c r="GJ176" s="101"/>
      <c r="GK176" s="101"/>
      <c r="GL176" s="101"/>
      <c r="GM176" s="101"/>
      <c r="GN176" s="101"/>
      <c r="GO176" s="101"/>
      <c r="GP176" s="101"/>
      <c r="GQ176" s="101"/>
      <c r="GR176" s="101"/>
      <c r="GS176" s="101"/>
      <c r="GT176" s="101"/>
      <c r="GU176" s="101"/>
      <c r="GV176" s="101"/>
      <c r="GW176" s="101"/>
      <c r="GX176" s="101"/>
      <c r="GY176" s="101"/>
      <c r="GZ176" s="101"/>
      <c r="HA176" s="101"/>
      <c r="HB176" s="101"/>
      <c r="HC176" s="101"/>
      <c r="HD176" s="101"/>
      <c r="HE176" s="101"/>
      <c r="HF176" s="101"/>
      <c r="HG176" s="101"/>
      <c r="HH176" s="101"/>
      <c r="HI176" s="101"/>
      <c r="HJ176" s="101"/>
      <c r="HK176" s="101"/>
      <c r="HL176" s="101"/>
      <c r="HM176" s="101"/>
      <c r="HN176" s="101"/>
      <c r="HO176" s="101"/>
      <c r="HP176" s="101"/>
      <c r="HQ176" s="101"/>
      <c r="HR176" s="101"/>
      <c r="HS176" s="101"/>
      <c r="HT176" s="101"/>
      <c r="HU176" s="101"/>
      <c r="HV176" s="101"/>
      <c r="HW176" s="101"/>
      <c r="HX176" s="101"/>
      <c r="HY176" s="101"/>
      <c r="HZ176" s="101"/>
      <c r="IA176" s="101"/>
      <c r="IB176" s="101"/>
      <c r="IC176" s="101"/>
      <c r="ID176" s="101"/>
      <c r="IE176" s="101"/>
      <c r="IF176" s="101"/>
      <c r="IG176" s="101"/>
      <c r="IH176" s="101"/>
      <c r="II176" s="101"/>
      <c r="IJ176" s="101"/>
      <c r="IK176" s="101"/>
      <c r="IL176" s="101"/>
      <c r="IM176" s="101"/>
      <c r="IN176" s="101"/>
      <c r="IO176" s="101"/>
      <c r="IP176" s="101"/>
      <c r="IQ176" s="101"/>
      <c r="IR176" s="101"/>
      <c r="IS176" s="101"/>
      <c r="IT176" s="101"/>
    </row>
    <row r="177" spans="1:254">
      <c r="A177" s="101"/>
      <c r="B177" s="101"/>
      <c r="C177" s="101"/>
      <c r="D177" s="101"/>
      <c r="F177" s="7"/>
      <c r="G177" s="7"/>
      <c r="H177" s="7"/>
      <c r="I177" s="7"/>
      <c r="J177" s="7"/>
      <c r="K177" s="7"/>
      <c r="L177" s="7"/>
      <c r="M177" s="52"/>
      <c r="N177" s="52"/>
      <c r="O177" s="7"/>
      <c r="P177" s="52"/>
      <c r="Q177" s="52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  <c r="AJ177" s="101"/>
      <c r="AK177" s="101"/>
      <c r="AL177" s="101"/>
      <c r="AM177" s="101"/>
      <c r="AN177" s="101"/>
      <c r="AO177" s="101"/>
      <c r="AP177" s="101"/>
      <c r="AQ177" s="101"/>
      <c r="AR177" s="101"/>
      <c r="AS177" s="101"/>
      <c r="AT177" s="101"/>
      <c r="AU177" s="101"/>
      <c r="AV177" s="101"/>
      <c r="AW177" s="101"/>
      <c r="AX177" s="101"/>
      <c r="AY177" s="101"/>
      <c r="AZ177" s="101"/>
      <c r="BA177" s="101"/>
      <c r="BB177" s="101"/>
      <c r="BC177" s="101"/>
      <c r="BD177" s="101"/>
      <c r="BE177" s="101"/>
      <c r="BF177" s="101"/>
      <c r="BG177" s="101"/>
      <c r="BH177" s="101"/>
      <c r="BI177" s="101"/>
      <c r="BJ177" s="101"/>
      <c r="BK177" s="101"/>
      <c r="BL177" s="101"/>
      <c r="BM177" s="101"/>
      <c r="BN177" s="101"/>
      <c r="BO177" s="101"/>
      <c r="BP177" s="101"/>
      <c r="BQ177" s="101"/>
      <c r="BR177" s="101"/>
      <c r="BS177" s="101"/>
      <c r="BT177" s="101"/>
      <c r="BU177" s="101"/>
      <c r="BV177" s="101"/>
      <c r="BW177" s="101"/>
      <c r="BX177" s="101"/>
      <c r="BY177" s="101"/>
      <c r="BZ177" s="101"/>
      <c r="CA177" s="101"/>
      <c r="CB177" s="101"/>
      <c r="CC177" s="101"/>
      <c r="CD177" s="101"/>
      <c r="CE177" s="101"/>
      <c r="CF177" s="101"/>
      <c r="CG177" s="101"/>
      <c r="CH177" s="101"/>
      <c r="CI177" s="101"/>
      <c r="CJ177" s="101"/>
      <c r="CK177" s="101"/>
      <c r="CL177" s="101"/>
      <c r="CM177" s="101"/>
      <c r="CN177" s="101"/>
      <c r="CO177" s="101"/>
      <c r="CP177" s="101"/>
      <c r="CQ177" s="101"/>
      <c r="CR177" s="101"/>
      <c r="CS177" s="101"/>
      <c r="CT177" s="101"/>
      <c r="CU177" s="101"/>
      <c r="CV177" s="101"/>
      <c r="CW177" s="101"/>
      <c r="CX177" s="101"/>
      <c r="CY177" s="101"/>
      <c r="CZ177" s="101"/>
      <c r="DA177" s="101"/>
      <c r="DB177" s="101"/>
      <c r="DC177" s="101"/>
      <c r="DD177" s="101"/>
      <c r="DE177" s="101"/>
      <c r="DF177" s="101"/>
      <c r="DG177" s="101"/>
      <c r="DH177" s="101"/>
      <c r="DI177" s="101"/>
      <c r="DJ177" s="101"/>
      <c r="DK177" s="101"/>
      <c r="DL177" s="101"/>
      <c r="DM177" s="101"/>
      <c r="DN177" s="101"/>
      <c r="DO177" s="101"/>
      <c r="DP177" s="101"/>
      <c r="DQ177" s="101"/>
      <c r="DR177" s="101"/>
      <c r="DS177" s="101"/>
      <c r="DT177" s="101"/>
      <c r="DU177" s="101"/>
      <c r="DV177" s="101"/>
      <c r="DW177" s="101"/>
      <c r="DX177" s="101"/>
      <c r="DY177" s="101"/>
      <c r="DZ177" s="101"/>
      <c r="EA177" s="101"/>
      <c r="EB177" s="101"/>
      <c r="EC177" s="101"/>
      <c r="ED177" s="101"/>
      <c r="EE177" s="101"/>
      <c r="EF177" s="101"/>
      <c r="EG177" s="101"/>
      <c r="EH177" s="101"/>
      <c r="EI177" s="101"/>
      <c r="EJ177" s="101"/>
      <c r="EK177" s="101"/>
      <c r="EL177" s="101"/>
      <c r="EM177" s="101"/>
      <c r="EN177" s="101"/>
      <c r="EO177" s="101"/>
      <c r="EP177" s="101"/>
      <c r="EQ177" s="101"/>
      <c r="ER177" s="101"/>
      <c r="ES177" s="101"/>
      <c r="ET177" s="101"/>
      <c r="EU177" s="101"/>
      <c r="EV177" s="101"/>
      <c r="EW177" s="101"/>
      <c r="EX177" s="101"/>
      <c r="EY177" s="101"/>
      <c r="EZ177" s="101"/>
      <c r="FA177" s="101"/>
      <c r="FB177" s="101"/>
      <c r="FC177" s="101"/>
      <c r="FD177" s="101"/>
      <c r="FE177" s="101"/>
      <c r="FF177" s="101"/>
      <c r="FG177" s="101"/>
      <c r="FH177" s="101"/>
      <c r="FI177" s="101"/>
      <c r="FJ177" s="101"/>
      <c r="FK177" s="101"/>
      <c r="FL177" s="101"/>
      <c r="FM177" s="101"/>
      <c r="FN177" s="101"/>
      <c r="FO177" s="101"/>
      <c r="FP177" s="101"/>
      <c r="FQ177" s="101"/>
      <c r="FR177" s="101"/>
      <c r="FS177" s="101"/>
      <c r="FT177" s="101"/>
      <c r="FU177" s="101"/>
      <c r="FV177" s="101"/>
      <c r="FW177" s="101"/>
      <c r="FX177" s="101"/>
      <c r="FY177" s="101"/>
      <c r="FZ177" s="101"/>
      <c r="GA177" s="101"/>
      <c r="GB177" s="101"/>
      <c r="GC177" s="101"/>
      <c r="GD177" s="101"/>
      <c r="GE177" s="101"/>
      <c r="GF177" s="101"/>
      <c r="GG177" s="101"/>
      <c r="GH177" s="101"/>
      <c r="GI177" s="101"/>
      <c r="GJ177" s="101"/>
      <c r="GK177" s="101"/>
      <c r="GL177" s="101"/>
      <c r="GM177" s="101"/>
      <c r="GN177" s="101"/>
      <c r="GO177" s="101"/>
      <c r="GP177" s="101"/>
      <c r="GQ177" s="101"/>
      <c r="GR177" s="101"/>
      <c r="GS177" s="101"/>
      <c r="GT177" s="101"/>
      <c r="GU177" s="101"/>
      <c r="GV177" s="101"/>
      <c r="GW177" s="101"/>
      <c r="GX177" s="101"/>
      <c r="GY177" s="101"/>
      <c r="GZ177" s="101"/>
      <c r="HA177" s="101"/>
      <c r="HB177" s="101"/>
      <c r="HC177" s="101"/>
      <c r="HD177" s="101"/>
      <c r="HE177" s="101"/>
      <c r="HF177" s="101"/>
      <c r="HG177" s="101"/>
      <c r="HH177" s="101"/>
      <c r="HI177" s="101"/>
      <c r="HJ177" s="101"/>
      <c r="HK177" s="101"/>
      <c r="HL177" s="101"/>
      <c r="HM177" s="101"/>
      <c r="HN177" s="101"/>
      <c r="HO177" s="101"/>
      <c r="HP177" s="101"/>
      <c r="HQ177" s="101"/>
      <c r="HR177" s="101"/>
      <c r="HS177" s="101"/>
      <c r="HT177" s="101"/>
      <c r="HU177" s="101"/>
      <c r="HV177" s="101"/>
      <c r="HW177" s="101"/>
      <c r="HX177" s="101"/>
      <c r="HY177" s="101"/>
      <c r="HZ177" s="101"/>
      <c r="IA177" s="101"/>
      <c r="IB177" s="101"/>
      <c r="IC177" s="101"/>
      <c r="ID177" s="101"/>
      <c r="IE177" s="101"/>
      <c r="IF177" s="101"/>
      <c r="IG177" s="101"/>
      <c r="IH177" s="101"/>
      <c r="II177" s="101"/>
      <c r="IJ177" s="101"/>
      <c r="IK177" s="101"/>
      <c r="IL177" s="101"/>
      <c r="IM177" s="101"/>
      <c r="IN177" s="101"/>
      <c r="IO177" s="101"/>
      <c r="IP177" s="101"/>
      <c r="IQ177" s="101"/>
      <c r="IR177" s="101"/>
      <c r="IS177" s="101"/>
      <c r="IT177" s="101"/>
    </row>
    <row r="178" spans="1:254">
      <c r="A178" s="101"/>
      <c r="B178" s="101"/>
      <c r="C178" s="101"/>
      <c r="D178" s="101"/>
      <c r="F178" s="7"/>
      <c r="G178" s="7"/>
      <c r="H178" s="7"/>
      <c r="I178" s="7"/>
      <c r="J178" s="7"/>
      <c r="K178" s="7"/>
      <c r="L178" s="7"/>
      <c r="M178" s="52"/>
      <c r="N178" s="52"/>
      <c r="O178" s="7"/>
      <c r="P178" s="52"/>
      <c r="Q178" s="52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  <c r="AJ178" s="101"/>
      <c r="AK178" s="101"/>
      <c r="AL178" s="101"/>
      <c r="AM178" s="101"/>
      <c r="AN178" s="101"/>
      <c r="AO178" s="101"/>
      <c r="AP178" s="101"/>
      <c r="AQ178" s="101"/>
      <c r="AR178" s="101"/>
      <c r="AS178" s="101"/>
      <c r="AT178" s="101"/>
      <c r="AU178" s="101"/>
      <c r="AV178" s="101"/>
      <c r="AW178" s="101"/>
      <c r="AX178" s="101"/>
      <c r="AY178" s="101"/>
      <c r="AZ178" s="101"/>
      <c r="BA178" s="101"/>
      <c r="BB178" s="101"/>
      <c r="BC178" s="101"/>
      <c r="BD178" s="101"/>
      <c r="BE178" s="101"/>
      <c r="BF178" s="101"/>
      <c r="BG178" s="101"/>
      <c r="BH178" s="101"/>
      <c r="BI178" s="101"/>
      <c r="BJ178" s="101"/>
      <c r="BK178" s="101"/>
      <c r="BL178" s="101"/>
      <c r="BM178" s="101"/>
      <c r="BN178" s="101"/>
      <c r="BO178" s="101"/>
      <c r="BP178" s="101"/>
      <c r="BQ178" s="101"/>
      <c r="BR178" s="101"/>
      <c r="BS178" s="101"/>
      <c r="BT178" s="101"/>
      <c r="BU178" s="101"/>
      <c r="BV178" s="101"/>
      <c r="BW178" s="101"/>
      <c r="BX178" s="101"/>
      <c r="BY178" s="101"/>
      <c r="BZ178" s="101"/>
      <c r="CA178" s="101"/>
      <c r="CB178" s="101"/>
      <c r="CC178" s="101"/>
      <c r="CD178" s="101"/>
      <c r="CE178" s="101"/>
      <c r="CF178" s="101"/>
      <c r="CG178" s="101"/>
      <c r="CH178" s="101"/>
      <c r="CI178" s="101"/>
      <c r="CJ178" s="101"/>
      <c r="CK178" s="101"/>
      <c r="CL178" s="101"/>
      <c r="CM178" s="101"/>
      <c r="CN178" s="101"/>
      <c r="CO178" s="101"/>
      <c r="CP178" s="101"/>
      <c r="CQ178" s="101"/>
      <c r="CR178" s="101"/>
      <c r="CS178" s="101"/>
      <c r="CT178" s="101"/>
      <c r="CU178" s="101"/>
      <c r="CV178" s="101"/>
      <c r="CW178" s="101"/>
      <c r="CX178" s="101"/>
      <c r="CY178" s="101"/>
      <c r="CZ178" s="101"/>
      <c r="DA178" s="101"/>
      <c r="DB178" s="101"/>
      <c r="DC178" s="101"/>
      <c r="DD178" s="101"/>
      <c r="DE178" s="101"/>
      <c r="DF178" s="101"/>
      <c r="DG178" s="101"/>
      <c r="DH178" s="101"/>
      <c r="DI178" s="101"/>
      <c r="DJ178" s="101"/>
      <c r="DK178" s="101"/>
      <c r="DL178" s="101"/>
      <c r="DM178" s="101"/>
      <c r="DN178" s="101"/>
      <c r="DO178" s="101"/>
      <c r="DP178" s="101"/>
      <c r="DQ178" s="101"/>
      <c r="DR178" s="101"/>
      <c r="DS178" s="101"/>
      <c r="DT178" s="101"/>
      <c r="DU178" s="101"/>
      <c r="DV178" s="101"/>
      <c r="DW178" s="101"/>
      <c r="DX178" s="101"/>
      <c r="DY178" s="101"/>
      <c r="DZ178" s="101"/>
      <c r="EA178" s="101"/>
      <c r="EB178" s="101"/>
      <c r="EC178" s="101"/>
      <c r="ED178" s="101"/>
      <c r="EE178" s="101"/>
      <c r="EF178" s="101"/>
      <c r="EG178" s="101"/>
      <c r="EH178" s="101"/>
      <c r="EI178" s="101"/>
      <c r="EJ178" s="101"/>
      <c r="EK178" s="101"/>
      <c r="EL178" s="101"/>
      <c r="EM178" s="101"/>
      <c r="EN178" s="101"/>
      <c r="EO178" s="101"/>
      <c r="EP178" s="101"/>
      <c r="EQ178" s="101"/>
      <c r="ER178" s="101"/>
      <c r="ES178" s="101"/>
      <c r="ET178" s="101"/>
      <c r="EU178" s="101"/>
      <c r="EV178" s="101"/>
      <c r="EW178" s="101"/>
      <c r="EX178" s="101"/>
      <c r="EY178" s="101"/>
      <c r="EZ178" s="101"/>
      <c r="FA178" s="101"/>
      <c r="FB178" s="101"/>
      <c r="FC178" s="101"/>
      <c r="FD178" s="101"/>
      <c r="FE178" s="101"/>
      <c r="FF178" s="101"/>
      <c r="FG178" s="101"/>
      <c r="FH178" s="101"/>
      <c r="FI178" s="101"/>
      <c r="FJ178" s="101"/>
      <c r="FK178" s="101"/>
      <c r="FL178" s="101"/>
      <c r="FM178" s="101"/>
      <c r="FN178" s="101"/>
      <c r="FO178" s="101"/>
      <c r="FP178" s="101"/>
      <c r="FQ178" s="101"/>
      <c r="FR178" s="101"/>
      <c r="FS178" s="101"/>
      <c r="FT178" s="101"/>
      <c r="FU178" s="101"/>
      <c r="FV178" s="101"/>
      <c r="FW178" s="101"/>
      <c r="FX178" s="101"/>
      <c r="FY178" s="101"/>
      <c r="FZ178" s="101"/>
      <c r="GA178" s="101"/>
      <c r="GB178" s="101"/>
      <c r="GC178" s="101"/>
      <c r="GD178" s="101"/>
      <c r="GE178" s="101"/>
      <c r="GF178" s="101"/>
      <c r="GG178" s="101"/>
      <c r="GH178" s="101"/>
      <c r="GI178" s="101"/>
      <c r="GJ178" s="101"/>
      <c r="GK178" s="101"/>
      <c r="GL178" s="101"/>
      <c r="GM178" s="101"/>
      <c r="GN178" s="101"/>
      <c r="GO178" s="101"/>
      <c r="GP178" s="101"/>
      <c r="GQ178" s="101"/>
      <c r="GR178" s="101"/>
      <c r="GS178" s="101"/>
      <c r="GT178" s="101"/>
      <c r="GU178" s="101"/>
      <c r="GV178" s="101"/>
      <c r="GW178" s="101"/>
      <c r="GX178" s="101"/>
      <c r="GY178" s="101"/>
      <c r="GZ178" s="101"/>
      <c r="HA178" s="101"/>
      <c r="HB178" s="101"/>
      <c r="HC178" s="101"/>
      <c r="HD178" s="101"/>
      <c r="HE178" s="101"/>
      <c r="HF178" s="101"/>
      <c r="HG178" s="101"/>
      <c r="HH178" s="101"/>
      <c r="HI178" s="101"/>
      <c r="HJ178" s="101"/>
      <c r="HK178" s="101"/>
      <c r="HL178" s="101"/>
      <c r="HM178" s="101"/>
      <c r="HN178" s="101"/>
      <c r="HO178" s="101"/>
      <c r="HP178" s="101"/>
      <c r="HQ178" s="101"/>
      <c r="HR178" s="101"/>
      <c r="HS178" s="101"/>
      <c r="HT178" s="101"/>
      <c r="HU178" s="101"/>
      <c r="HV178" s="101"/>
      <c r="HW178" s="101"/>
      <c r="HX178" s="101"/>
      <c r="HY178" s="101"/>
      <c r="HZ178" s="101"/>
      <c r="IA178" s="101"/>
      <c r="IB178" s="101"/>
      <c r="IC178" s="101"/>
      <c r="ID178" s="101"/>
      <c r="IE178" s="101"/>
      <c r="IF178" s="101"/>
      <c r="IG178" s="101"/>
      <c r="IH178" s="101"/>
      <c r="II178" s="101"/>
      <c r="IJ178" s="101"/>
      <c r="IK178" s="101"/>
      <c r="IL178" s="101"/>
      <c r="IM178" s="101"/>
      <c r="IN178" s="101"/>
      <c r="IO178" s="101"/>
      <c r="IP178" s="101"/>
      <c r="IQ178" s="101"/>
      <c r="IR178" s="101"/>
      <c r="IS178" s="101"/>
      <c r="IT178" s="101"/>
    </row>
    <row r="179" spans="1:254">
      <c r="A179" s="101"/>
      <c r="B179" s="101"/>
      <c r="C179" s="101"/>
      <c r="D179" s="101"/>
      <c r="F179" s="7"/>
      <c r="G179" s="7"/>
      <c r="H179" s="7"/>
      <c r="I179" s="7"/>
      <c r="J179" s="7"/>
      <c r="K179" s="7"/>
      <c r="L179" s="7"/>
      <c r="M179" s="52"/>
      <c r="N179" s="52"/>
      <c r="O179" s="7"/>
      <c r="P179" s="52"/>
      <c r="Q179" s="52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  <c r="AK179" s="101"/>
      <c r="AL179" s="101"/>
      <c r="AM179" s="101"/>
      <c r="AN179" s="101"/>
      <c r="AO179" s="101"/>
      <c r="AP179" s="101"/>
      <c r="AQ179" s="101"/>
      <c r="AR179" s="101"/>
      <c r="AS179" s="101"/>
      <c r="AT179" s="101"/>
      <c r="AU179" s="101"/>
      <c r="AV179" s="101"/>
      <c r="AW179" s="101"/>
      <c r="AX179" s="101"/>
      <c r="AY179" s="101"/>
      <c r="AZ179" s="101"/>
      <c r="BA179" s="101"/>
      <c r="BB179" s="101"/>
      <c r="BC179" s="101"/>
      <c r="BD179" s="101"/>
      <c r="BE179" s="101"/>
      <c r="BF179" s="101"/>
      <c r="BG179" s="101"/>
      <c r="BH179" s="101"/>
      <c r="BI179" s="101"/>
      <c r="BJ179" s="101"/>
      <c r="BK179" s="101"/>
      <c r="BL179" s="101"/>
      <c r="BM179" s="101"/>
      <c r="BN179" s="101"/>
      <c r="BO179" s="101"/>
      <c r="BP179" s="101"/>
      <c r="BQ179" s="101"/>
      <c r="BR179" s="101"/>
      <c r="BS179" s="101"/>
      <c r="BT179" s="101"/>
      <c r="BU179" s="101"/>
      <c r="BV179" s="101"/>
      <c r="BW179" s="101"/>
      <c r="BX179" s="101"/>
      <c r="BY179" s="101"/>
      <c r="BZ179" s="101"/>
      <c r="CA179" s="101"/>
      <c r="CB179" s="101"/>
      <c r="CC179" s="101"/>
      <c r="CD179" s="101"/>
      <c r="CE179" s="101"/>
      <c r="CF179" s="101"/>
      <c r="CG179" s="101"/>
      <c r="CH179" s="101"/>
      <c r="CI179" s="101"/>
      <c r="CJ179" s="101"/>
      <c r="CK179" s="101"/>
      <c r="CL179" s="101"/>
      <c r="CM179" s="101"/>
      <c r="CN179" s="101"/>
      <c r="CO179" s="101"/>
      <c r="CP179" s="101"/>
      <c r="CQ179" s="101"/>
      <c r="CR179" s="101"/>
      <c r="CS179" s="101"/>
      <c r="CT179" s="101"/>
      <c r="CU179" s="101"/>
      <c r="CV179" s="101"/>
      <c r="CW179" s="101"/>
      <c r="CX179" s="101"/>
      <c r="CY179" s="101"/>
      <c r="CZ179" s="101"/>
      <c r="DA179" s="101"/>
      <c r="DB179" s="101"/>
      <c r="DC179" s="101"/>
      <c r="DD179" s="101"/>
      <c r="DE179" s="101"/>
      <c r="DF179" s="101"/>
      <c r="DG179" s="101"/>
      <c r="DH179" s="101"/>
      <c r="DI179" s="101"/>
      <c r="DJ179" s="101"/>
      <c r="DK179" s="101"/>
      <c r="DL179" s="101"/>
      <c r="DM179" s="101"/>
      <c r="DN179" s="101"/>
      <c r="DO179" s="101"/>
      <c r="DP179" s="101"/>
      <c r="DQ179" s="101"/>
      <c r="DR179" s="101"/>
      <c r="DS179" s="101"/>
      <c r="DT179" s="101"/>
      <c r="DU179" s="101"/>
      <c r="DV179" s="101"/>
      <c r="DW179" s="101"/>
      <c r="DX179" s="101"/>
      <c r="DY179" s="101"/>
      <c r="DZ179" s="101"/>
      <c r="EA179" s="101"/>
      <c r="EB179" s="101"/>
      <c r="EC179" s="101"/>
      <c r="ED179" s="101"/>
      <c r="EE179" s="101"/>
      <c r="EF179" s="101"/>
      <c r="EG179" s="101"/>
      <c r="EH179" s="101"/>
      <c r="EI179" s="101"/>
      <c r="EJ179" s="101"/>
      <c r="EK179" s="101"/>
      <c r="EL179" s="101"/>
      <c r="EM179" s="101"/>
      <c r="EN179" s="101"/>
      <c r="EO179" s="101"/>
      <c r="EP179" s="101"/>
      <c r="EQ179" s="101"/>
      <c r="ER179" s="101"/>
      <c r="ES179" s="101"/>
      <c r="ET179" s="101"/>
      <c r="EU179" s="101"/>
      <c r="EV179" s="101"/>
      <c r="EW179" s="101"/>
      <c r="EX179" s="101"/>
      <c r="EY179" s="101"/>
      <c r="EZ179" s="101"/>
      <c r="FA179" s="101"/>
      <c r="FB179" s="101"/>
      <c r="FC179" s="101"/>
      <c r="FD179" s="101"/>
      <c r="FE179" s="101"/>
      <c r="FF179" s="101"/>
      <c r="FG179" s="101"/>
      <c r="FH179" s="101"/>
      <c r="FI179" s="101"/>
      <c r="FJ179" s="101"/>
      <c r="FK179" s="101"/>
      <c r="FL179" s="101"/>
      <c r="FM179" s="101"/>
      <c r="FN179" s="101"/>
      <c r="FO179" s="101"/>
      <c r="FP179" s="101"/>
      <c r="FQ179" s="101"/>
      <c r="FR179" s="101"/>
      <c r="FS179" s="101"/>
      <c r="FT179" s="101"/>
      <c r="FU179" s="101"/>
      <c r="FV179" s="101"/>
      <c r="FW179" s="101"/>
      <c r="FX179" s="101"/>
      <c r="FY179" s="101"/>
      <c r="FZ179" s="101"/>
      <c r="GA179" s="101"/>
      <c r="GB179" s="101"/>
      <c r="GC179" s="101"/>
      <c r="GD179" s="101"/>
      <c r="GE179" s="101"/>
      <c r="GF179" s="101"/>
      <c r="GG179" s="101"/>
      <c r="GH179" s="101"/>
      <c r="GI179" s="101"/>
      <c r="GJ179" s="101"/>
      <c r="GK179" s="101"/>
      <c r="GL179" s="101"/>
      <c r="GM179" s="101"/>
      <c r="GN179" s="101"/>
      <c r="GO179" s="101"/>
      <c r="GP179" s="101"/>
      <c r="GQ179" s="101"/>
      <c r="GR179" s="101"/>
      <c r="GS179" s="101"/>
      <c r="GT179" s="101"/>
      <c r="GU179" s="101"/>
      <c r="GV179" s="101"/>
      <c r="GW179" s="101"/>
      <c r="GX179" s="101"/>
      <c r="GY179" s="101"/>
      <c r="GZ179" s="101"/>
      <c r="HA179" s="101"/>
      <c r="HB179" s="101"/>
      <c r="HC179" s="101"/>
      <c r="HD179" s="101"/>
      <c r="HE179" s="101"/>
      <c r="HF179" s="101"/>
      <c r="HG179" s="101"/>
      <c r="HH179" s="101"/>
      <c r="HI179" s="101"/>
      <c r="HJ179" s="101"/>
      <c r="HK179" s="101"/>
      <c r="HL179" s="101"/>
      <c r="HM179" s="101"/>
      <c r="HN179" s="101"/>
      <c r="HO179" s="101"/>
      <c r="HP179" s="101"/>
      <c r="HQ179" s="101"/>
      <c r="HR179" s="101"/>
      <c r="HS179" s="101"/>
      <c r="HT179" s="101"/>
      <c r="HU179" s="101"/>
      <c r="HV179" s="101"/>
      <c r="HW179" s="101"/>
      <c r="HX179" s="101"/>
      <c r="HY179" s="101"/>
      <c r="HZ179" s="101"/>
      <c r="IA179" s="101"/>
      <c r="IB179" s="101"/>
      <c r="IC179" s="101"/>
      <c r="ID179" s="101"/>
      <c r="IE179" s="101"/>
      <c r="IF179" s="101"/>
      <c r="IG179" s="101"/>
      <c r="IH179" s="101"/>
      <c r="II179" s="101"/>
      <c r="IJ179" s="101"/>
      <c r="IK179" s="101"/>
      <c r="IL179" s="101"/>
      <c r="IM179" s="101"/>
      <c r="IN179" s="101"/>
      <c r="IO179" s="101"/>
      <c r="IP179" s="101"/>
      <c r="IQ179" s="101"/>
      <c r="IR179" s="101"/>
      <c r="IS179" s="101"/>
      <c r="IT179" s="101"/>
    </row>
    <row r="180" spans="1:254">
      <c r="A180" s="101"/>
      <c r="B180" s="101"/>
      <c r="C180" s="101"/>
      <c r="D180" s="101"/>
      <c r="F180" s="7"/>
      <c r="G180" s="7"/>
      <c r="H180" s="7"/>
      <c r="I180" s="7"/>
      <c r="J180" s="7"/>
      <c r="K180" s="7"/>
      <c r="L180" s="7"/>
      <c r="M180" s="52"/>
      <c r="N180" s="52"/>
      <c r="O180" s="7"/>
      <c r="P180" s="52"/>
      <c r="Q180" s="52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  <c r="AJ180" s="101"/>
      <c r="AK180" s="101"/>
      <c r="AL180" s="101"/>
      <c r="AM180" s="101"/>
      <c r="AN180" s="101"/>
      <c r="AO180" s="101"/>
      <c r="AP180" s="101"/>
      <c r="AQ180" s="101"/>
      <c r="AR180" s="101"/>
      <c r="AS180" s="101"/>
      <c r="AT180" s="101"/>
      <c r="AU180" s="101"/>
      <c r="AV180" s="101"/>
      <c r="AW180" s="101"/>
      <c r="AX180" s="101"/>
      <c r="AY180" s="101"/>
      <c r="AZ180" s="101"/>
      <c r="BA180" s="101"/>
      <c r="BB180" s="101"/>
      <c r="BC180" s="101"/>
      <c r="BD180" s="101"/>
      <c r="BE180" s="101"/>
      <c r="BF180" s="101"/>
      <c r="BG180" s="101"/>
      <c r="BH180" s="101"/>
      <c r="BI180" s="101"/>
      <c r="BJ180" s="101"/>
      <c r="BK180" s="101"/>
      <c r="BL180" s="101"/>
      <c r="BM180" s="101"/>
      <c r="BN180" s="101"/>
      <c r="BO180" s="101"/>
      <c r="BP180" s="101"/>
      <c r="BQ180" s="101"/>
      <c r="BR180" s="101"/>
      <c r="BS180" s="101"/>
      <c r="BT180" s="101"/>
      <c r="BU180" s="101"/>
      <c r="BV180" s="101"/>
      <c r="BW180" s="101"/>
      <c r="BX180" s="101"/>
      <c r="BY180" s="101"/>
      <c r="BZ180" s="101"/>
      <c r="CA180" s="101"/>
      <c r="CB180" s="101"/>
      <c r="CC180" s="101"/>
      <c r="CD180" s="101"/>
      <c r="CE180" s="101"/>
      <c r="CF180" s="101"/>
      <c r="CG180" s="101"/>
      <c r="CH180" s="101"/>
      <c r="CI180" s="101"/>
      <c r="CJ180" s="101"/>
      <c r="CK180" s="101"/>
      <c r="CL180" s="101"/>
      <c r="CM180" s="101"/>
      <c r="CN180" s="101"/>
      <c r="CO180" s="101"/>
      <c r="CP180" s="101"/>
      <c r="CQ180" s="101"/>
      <c r="CR180" s="101"/>
      <c r="CS180" s="101"/>
      <c r="CT180" s="101"/>
      <c r="CU180" s="101"/>
      <c r="CV180" s="101"/>
      <c r="CW180" s="101"/>
      <c r="CX180" s="101"/>
      <c r="CY180" s="101"/>
      <c r="CZ180" s="101"/>
      <c r="DA180" s="101"/>
      <c r="DB180" s="101"/>
      <c r="DC180" s="101"/>
      <c r="DD180" s="101"/>
      <c r="DE180" s="101"/>
      <c r="DF180" s="101"/>
      <c r="DG180" s="101"/>
      <c r="DH180" s="101"/>
      <c r="DI180" s="101"/>
      <c r="DJ180" s="101"/>
      <c r="DK180" s="101"/>
      <c r="DL180" s="101"/>
      <c r="DM180" s="101"/>
      <c r="DN180" s="101"/>
      <c r="DO180" s="101"/>
      <c r="DP180" s="101"/>
      <c r="DQ180" s="101"/>
      <c r="DR180" s="101"/>
      <c r="DS180" s="101"/>
      <c r="DT180" s="101"/>
      <c r="DU180" s="101"/>
      <c r="DV180" s="101"/>
      <c r="DW180" s="101"/>
      <c r="DX180" s="101"/>
      <c r="DY180" s="101"/>
      <c r="DZ180" s="101"/>
      <c r="EA180" s="101"/>
      <c r="EB180" s="101"/>
      <c r="EC180" s="101"/>
      <c r="ED180" s="101"/>
      <c r="EE180" s="101"/>
      <c r="EF180" s="101"/>
      <c r="EG180" s="101"/>
      <c r="EH180" s="101"/>
      <c r="EI180" s="101"/>
      <c r="EJ180" s="101"/>
      <c r="EK180" s="101"/>
      <c r="EL180" s="101"/>
      <c r="EM180" s="101"/>
      <c r="EN180" s="101"/>
      <c r="EO180" s="101"/>
      <c r="EP180" s="101"/>
      <c r="EQ180" s="101"/>
      <c r="ER180" s="101"/>
      <c r="ES180" s="101"/>
      <c r="ET180" s="101"/>
      <c r="EU180" s="101"/>
      <c r="EV180" s="101"/>
      <c r="EW180" s="101"/>
      <c r="EX180" s="101"/>
      <c r="EY180" s="101"/>
      <c r="EZ180" s="101"/>
      <c r="FA180" s="101"/>
      <c r="FB180" s="101"/>
      <c r="FC180" s="101"/>
      <c r="FD180" s="101"/>
      <c r="FE180" s="101"/>
      <c r="FF180" s="101"/>
      <c r="FG180" s="101"/>
      <c r="FH180" s="101"/>
      <c r="FI180" s="101"/>
      <c r="FJ180" s="101"/>
      <c r="FK180" s="101"/>
      <c r="FL180" s="101"/>
      <c r="FM180" s="101"/>
      <c r="FN180" s="101"/>
      <c r="FO180" s="101"/>
      <c r="FP180" s="101"/>
      <c r="FQ180" s="101"/>
      <c r="FR180" s="101"/>
      <c r="FS180" s="101"/>
      <c r="FT180" s="101"/>
      <c r="FU180" s="101"/>
      <c r="FV180" s="101"/>
      <c r="FW180" s="101"/>
      <c r="FX180" s="101"/>
      <c r="FY180" s="101"/>
      <c r="FZ180" s="101"/>
      <c r="GA180" s="101"/>
      <c r="GB180" s="101"/>
      <c r="GC180" s="101"/>
      <c r="GD180" s="101"/>
      <c r="GE180" s="101"/>
      <c r="GF180" s="101"/>
      <c r="GG180" s="101"/>
      <c r="GH180" s="101"/>
      <c r="GI180" s="101"/>
      <c r="GJ180" s="101"/>
      <c r="GK180" s="101"/>
      <c r="GL180" s="101"/>
      <c r="GM180" s="101"/>
      <c r="GN180" s="101"/>
      <c r="GO180" s="101"/>
      <c r="GP180" s="101"/>
      <c r="GQ180" s="101"/>
      <c r="GR180" s="101"/>
      <c r="GS180" s="101"/>
      <c r="GT180" s="101"/>
      <c r="GU180" s="101"/>
      <c r="GV180" s="101"/>
      <c r="GW180" s="101"/>
      <c r="GX180" s="101"/>
      <c r="GY180" s="101"/>
      <c r="GZ180" s="101"/>
      <c r="HA180" s="101"/>
      <c r="HB180" s="101"/>
      <c r="HC180" s="101"/>
      <c r="HD180" s="101"/>
      <c r="HE180" s="101"/>
      <c r="HF180" s="101"/>
      <c r="HG180" s="101"/>
      <c r="HH180" s="101"/>
      <c r="HI180" s="101"/>
      <c r="HJ180" s="101"/>
      <c r="HK180" s="101"/>
      <c r="HL180" s="101"/>
      <c r="HM180" s="101"/>
      <c r="HN180" s="101"/>
      <c r="HO180" s="101"/>
      <c r="HP180" s="101"/>
      <c r="HQ180" s="101"/>
      <c r="HR180" s="101"/>
      <c r="HS180" s="101"/>
      <c r="HT180" s="101"/>
      <c r="HU180" s="101"/>
      <c r="HV180" s="101"/>
      <c r="HW180" s="101"/>
      <c r="HX180" s="101"/>
      <c r="HY180" s="101"/>
      <c r="HZ180" s="101"/>
      <c r="IA180" s="101"/>
      <c r="IB180" s="101"/>
      <c r="IC180" s="101"/>
      <c r="ID180" s="101"/>
      <c r="IE180" s="101"/>
      <c r="IF180" s="101"/>
      <c r="IG180" s="101"/>
      <c r="IH180" s="101"/>
      <c r="II180" s="101"/>
      <c r="IJ180" s="101"/>
      <c r="IK180" s="101"/>
      <c r="IL180" s="101"/>
      <c r="IM180" s="101"/>
      <c r="IN180" s="101"/>
      <c r="IO180" s="101"/>
      <c r="IP180" s="101"/>
      <c r="IQ180" s="101"/>
      <c r="IR180" s="101"/>
      <c r="IS180" s="101"/>
      <c r="IT180" s="101"/>
    </row>
    <row r="181" spans="1:254">
      <c r="A181" s="101"/>
      <c r="B181" s="101"/>
      <c r="C181" s="101"/>
      <c r="D181" s="101"/>
      <c r="F181" s="7"/>
      <c r="G181" s="7"/>
      <c r="H181" s="7"/>
      <c r="I181" s="7"/>
      <c r="J181" s="7"/>
      <c r="K181" s="7"/>
      <c r="L181" s="7"/>
      <c r="M181" s="52"/>
      <c r="N181" s="52"/>
      <c r="O181" s="7"/>
      <c r="P181" s="52"/>
      <c r="Q181" s="52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  <c r="AK181" s="101"/>
      <c r="AL181" s="101"/>
      <c r="AM181" s="101"/>
      <c r="AN181" s="101"/>
      <c r="AO181" s="101"/>
      <c r="AP181" s="101"/>
      <c r="AQ181" s="101"/>
      <c r="AR181" s="101"/>
      <c r="AS181" s="101"/>
      <c r="AT181" s="101"/>
      <c r="AU181" s="101"/>
      <c r="AV181" s="101"/>
      <c r="AW181" s="101"/>
      <c r="AX181" s="101"/>
      <c r="AY181" s="101"/>
      <c r="AZ181" s="101"/>
      <c r="BA181" s="101"/>
      <c r="BB181" s="101"/>
      <c r="BC181" s="101"/>
      <c r="BD181" s="101"/>
      <c r="BE181" s="101"/>
      <c r="BF181" s="101"/>
      <c r="BG181" s="101"/>
      <c r="BH181" s="101"/>
      <c r="BI181" s="101"/>
      <c r="BJ181" s="101"/>
      <c r="BK181" s="101"/>
      <c r="BL181" s="101"/>
      <c r="BM181" s="101"/>
      <c r="BN181" s="101"/>
      <c r="BO181" s="101"/>
      <c r="BP181" s="101"/>
      <c r="BQ181" s="101"/>
      <c r="BR181" s="101"/>
      <c r="BS181" s="101"/>
      <c r="BT181" s="101"/>
      <c r="BU181" s="101"/>
      <c r="BV181" s="101"/>
      <c r="BW181" s="101"/>
      <c r="BX181" s="101"/>
      <c r="BY181" s="101"/>
      <c r="BZ181" s="101"/>
      <c r="CA181" s="101"/>
      <c r="CB181" s="101"/>
      <c r="CC181" s="101"/>
      <c r="CD181" s="101"/>
      <c r="CE181" s="101"/>
      <c r="CF181" s="101"/>
      <c r="CG181" s="101"/>
      <c r="CH181" s="101"/>
      <c r="CI181" s="101"/>
      <c r="CJ181" s="101"/>
      <c r="CK181" s="101"/>
      <c r="CL181" s="101"/>
      <c r="CM181" s="101"/>
      <c r="CN181" s="101"/>
      <c r="CO181" s="101"/>
      <c r="CP181" s="101"/>
      <c r="CQ181" s="101"/>
      <c r="CR181" s="101"/>
      <c r="CS181" s="101"/>
      <c r="CT181" s="101"/>
      <c r="CU181" s="101"/>
      <c r="CV181" s="101"/>
      <c r="CW181" s="101"/>
      <c r="CX181" s="101"/>
      <c r="CY181" s="101"/>
      <c r="CZ181" s="101"/>
      <c r="DA181" s="101"/>
      <c r="DB181" s="101"/>
      <c r="DC181" s="101"/>
      <c r="DD181" s="101"/>
      <c r="DE181" s="101"/>
      <c r="DF181" s="101"/>
      <c r="DG181" s="101"/>
      <c r="DH181" s="101"/>
      <c r="DI181" s="101"/>
      <c r="DJ181" s="101"/>
      <c r="DK181" s="101"/>
      <c r="DL181" s="101"/>
      <c r="DM181" s="101"/>
      <c r="DN181" s="101"/>
      <c r="DO181" s="101"/>
      <c r="DP181" s="101"/>
      <c r="DQ181" s="101"/>
      <c r="DR181" s="101"/>
      <c r="DS181" s="101"/>
      <c r="DT181" s="101"/>
      <c r="DU181" s="101"/>
      <c r="DV181" s="101"/>
      <c r="DW181" s="101"/>
      <c r="DX181" s="101"/>
      <c r="DY181" s="101"/>
      <c r="DZ181" s="101"/>
      <c r="EA181" s="101"/>
      <c r="EB181" s="101"/>
      <c r="EC181" s="101"/>
      <c r="ED181" s="101"/>
      <c r="EE181" s="101"/>
      <c r="EF181" s="101"/>
      <c r="EG181" s="101"/>
      <c r="EH181" s="101"/>
      <c r="EI181" s="101"/>
      <c r="EJ181" s="101"/>
      <c r="EK181" s="101"/>
      <c r="EL181" s="101"/>
      <c r="EM181" s="101"/>
      <c r="EN181" s="101"/>
      <c r="EO181" s="101"/>
      <c r="EP181" s="101"/>
      <c r="EQ181" s="101"/>
      <c r="ER181" s="101"/>
      <c r="ES181" s="101"/>
      <c r="ET181" s="101"/>
      <c r="EU181" s="101"/>
      <c r="EV181" s="101"/>
      <c r="EW181" s="101"/>
      <c r="EX181" s="101"/>
      <c r="EY181" s="101"/>
      <c r="EZ181" s="101"/>
      <c r="FA181" s="101"/>
      <c r="FB181" s="101"/>
      <c r="FC181" s="101"/>
      <c r="FD181" s="101"/>
      <c r="FE181" s="101"/>
      <c r="FF181" s="101"/>
      <c r="FG181" s="101"/>
      <c r="FH181" s="101"/>
      <c r="FI181" s="101"/>
      <c r="FJ181" s="101"/>
      <c r="FK181" s="101"/>
      <c r="FL181" s="101"/>
      <c r="FM181" s="101"/>
      <c r="FN181" s="101"/>
      <c r="FO181" s="101"/>
      <c r="FP181" s="101"/>
      <c r="FQ181" s="101"/>
      <c r="FR181" s="101"/>
      <c r="FS181" s="101"/>
      <c r="FT181" s="101"/>
      <c r="FU181" s="101"/>
      <c r="FV181" s="101"/>
      <c r="FW181" s="101"/>
      <c r="FX181" s="101"/>
      <c r="FY181" s="101"/>
      <c r="FZ181" s="101"/>
      <c r="GA181" s="101"/>
      <c r="GB181" s="101"/>
      <c r="GC181" s="101"/>
      <c r="GD181" s="101"/>
      <c r="GE181" s="101"/>
      <c r="GF181" s="101"/>
      <c r="GG181" s="101"/>
      <c r="GH181" s="101"/>
      <c r="GI181" s="101"/>
      <c r="GJ181" s="101"/>
      <c r="GK181" s="101"/>
      <c r="GL181" s="101"/>
      <c r="GM181" s="101"/>
      <c r="GN181" s="101"/>
      <c r="GO181" s="101"/>
      <c r="GP181" s="101"/>
      <c r="GQ181" s="101"/>
      <c r="GR181" s="101"/>
      <c r="GS181" s="101"/>
      <c r="GT181" s="101"/>
      <c r="GU181" s="101"/>
      <c r="GV181" s="101"/>
      <c r="GW181" s="101"/>
      <c r="GX181" s="101"/>
      <c r="GY181" s="101"/>
      <c r="GZ181" s="101"/>
      <c r="HA181" s="101"/>
      <c r="HB181" s="101"/>
      <c r="HC181" s="101"/>
      <c r="HD181" s="101"/>
      <c r="HE181" s="101"/>
      <c r="HF181" s="101"/>
      <c r="HG181" s="101"/>
      <c r="HH181" s="101"/>
      <c r="HI181" s="101"/>
      <c r="HJ181" s="101"/>
      <c r="HK181" s="101"/>
      <c r="HL181" s="101"/>
      <c r="HM181" s="101"/>
      <c r="HN181" s="101"/>
      <c r="HO181" s="101"/>
      <c r="HP181" s="101"/>
      <c r="HQ181" s="101"/>
      <c r="HR181" s="101"/>
      <c r="HS181" s="101"/>
      <c r="HT181" s="101"/>
      <c r="HU181" s="101"/>
      <c r="HV181" s="101"/>
      <c r="HW181" s="101"/>
      <c r="HX181" s="101"/>
      <c r="HY181" s="101"/>
      <c r="HZ181" s="101"/>
      <c r="IA181" s="101"/>
      <c r="IB181" s="101"/>
      <c r="IC181" s="101"/>
      <c r="ID181" s="101"/>
      <c r="IE181" s="101"/>
      <c r="IF181" s="101"/>
      <c r="IG181" s="101"/>
      <c r="IH181" s="101"/>
      <c r="II181" s="101"/>
      <c r="IJ181" s="101"/>
      <c r="IK181" s="101"/>
      <c r="IL181" s="101"/>
      <c r="IM181" s="101"/>
      <c r="IN181" s="101"/>
      <c r="IO181" s="101"/>
      <c r="IP181" s="101"/>
      <c r="IQ181" s="101"/>
      <c r="IR181" s="101"/>
      <c r="IS181" s="101"/>
      <c r="IT181" s="101"/>
    </row>
    <row r="182" spans="1:254">
      <c r="A182" s="101"/>
      <c r="B182" s="101"/>
      <c r="C182" s="101"/>
      <c r="D182" s="101"/>
      <c r="F182" s="7"/>
      <c r="G182" s="7"/>
      <c r="H182" s="7"/>
      <c r="I182" s="7"/>
      <c r="J182" s="7"/>
      <c r="K182" s="7"/>
      <c r="L182" s="7"/>
      <c r="M182" s="52"/>
      <c r="N182" s="52"/>
      <c r="O182" s="7"/>
      <c r="P182" s="52"/>
      <c r="Q182" s="52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  <c r="AJ182" s="101"/>
      <c r="AK182" s="101"/>
      <c r="AL182" s="101"/>
      <c r="AM182" s="101"/>
      <c r="AN182" s="101"/>
      <c r="AO182" s="101"/>
      <c r="AP182" s="101"/>
      <c r="AQ182" s="101"/>
      <c r="AR182" s="101"/>
      <c r="AS182" s="101"/>
      <c r="AT182" s="101"/>
      <c r="AU182" s="101"/>
      <c r="AV182" s="101"/>
      <c r="AW182" s="101"/>
      <c r="AX182" s="101"/>
      <c r="AY182" s="101"/>
      <c r="AZ182" s="101"/>
      <c r="BA182" s="101"/>
      <c r="BB182" s="101"/>
      <c r="BC182" s="101"/>
      <c r="BD182" s="101"/>
      <c r="BE182" s="101"/>
      <c r="BF182" s="101"/>
      <c r="BG182" s="101"/>
      <c r="BH182" s="101"/>
      <c r="BI182" s="101"/>
      <c r="BJ182" s="101"/>
      <c r="BK182" s="101"/>
      <c r="BL182" s="101"/>
      <c r="BM182" s="101"/>
      <c r="BN182" s="101"/>
      <c r="BO182" s="101"/>
      <c r="BP182" s="101"/>
      <c r="BQ182" s="101"/>
      <c r="BR182" s="101"/>
      <c r="BS182" s="101"/>
      <c r="BT182" s="101"/>
      <c r="BU182" s="101"/>
      <c r="BV182" s="101"/>
      <c r="BW182" s="101"/>
      <c r="BX182" s="101"/>
      <c r="BY182" s="101"/>
      <c r="BZ182" s="101"/>
      <c r="CA182" s="101"/>
      <c r="CB182" s="101"/>
      <c r="CC182" s="101"/>
      <c r="CD182" s="101"/>
      <c r="CE182" s="101"/>
      <c r="CF182" s="101"/>
      <c r="CG182" s="101"/>
      <c r="CH182" s="101"/>
      <c r="CI182" s="101"/>
      <c r="CJ182" s="101"/>
      <c r="CK182" s="101"/>
      <c r="CL182" s="101"/>
      <c r="CM182" s="101"/>
      <c r="CN182" s="101"/>
      <c r="CO182" s="101"/>
      <c r="CP182" s="101"/>
      <c r="CQ182" s="101"/>
      <c r="CR182" s="101"/>
      <c r="CS182" s="101"/>
      <c r="CT182" s="101"/>
      <c r="CU182" s="101"/>
      <c r="CV182" s="101"/>
      <c r="CW182" s="101"/>
      <c r="CX182" s="101"/>
      <c r="CY182" s="101"/>
      <c r="CZ182" s="101"/>
      <c r="DA182" s="101"/>
      <c r="DB182" s="101"/>
      <c r="DC182" s="101"/>
      <c r="DD182" s="101"/>
      <c r="DE182" s="101"/>
      <c r="DF182" s="101"/>
      <c r="DG182" s="101"/>
      <c r="DH182" s="101"/>
      <c r="DI182" s="101"/>
      <c r="DJ182" s="101"/>
      <c r="DK182" s="101"/>
      <c r="DL182" s="101"/>
      <c r="DM182" s="101"/>
      <c r="DN182" s="101"/>
      <c r="DO182" s="101"/>
      <c r="DP182" s="101"/>
      <c r="DQ182" s="101"/>
      <c r="DR182" s="101"/>
      <c r="DS182" s="101"/>
      <c r="DT182" s="101"/>
      <c r="DU182" s="101"/>
      <c r="DV182" s="101"/>
      <c r="DW182" s="101"/>
      <c r="DX182" s="101"/>
      <c r="DY182" s="101"/>
      <c r="DZ182" s="101"/>
      <c r="EA182" s="101"/>
      <c r="EB182" s="101"/>
      <c r="EC182" s="101"/>
      <c r="ED182" s="101"/>
      <c r="EE182" s="101"/>
      <c r="EF182" s="101"/>
      <c r="EG182" s="101"/>
      <c r="EH182" s="101"/>
      <c r="EI182" s="101"/>
      <c r="EJ182" s="101"/>
      <c r="EK182" s="101"/>
      <c r="EL182" s="101"/>
      <c r="EM182" s="101"/>
      <c r="EN182" s="101"/>
      <c r="EO182" s="101"/>
      <c r="EP182" s="101"/>
      <c r="EQ182" s="101"/>
      <c r="ER182" s="101"/>
      <c r="ES182" s="101"/>
      <c r="ET182" s="101"/>
      <c r="EU182" s="101"/>
      <c r="EV182" s="101"/>
      <c r="EW182" s="101"/>
      <c r="EX182" s="101"/>
      <c r="EY182" s="101"/>
      <c r="EZ182" s="101"/>
      <c r="FA182" s="101"/>
      <c r="FB182" s="101"/>
      <c r="FC182" s="101"/>
      <c r="FD182" s="101"/>
      <c r="FE182" s="101"/>
      <c r="FF182" s="101"/>
      <c r="FG182" s="101"/>
      <c r="FH182" s="101"/>
      <c r="FI182" s="101"/>
      <c r="FJ182" s="101"/>
      <c r="FK182" s="101"/>
      <c r="FL182" s="101"/>
      <c r="FM182" s="101"/>
      <c r="FN182" s="101"/>
      <c r="FO182" s="101"/>
      <c r="FP182" s="101"/>
      <c r="FQ182" s="101"/>
      <c r="FR182" s="101"/>
      <c r="FS182" s="101"/>
      <c r="FT182" s="101"/>
      <c r="FU182" s="101"/>
      <c r="FV182" s="101"/>
      <c r="FW182" s="101"/>
      <c r="FX182" s="101"/>
      <c r="FY182" s="101"/>
      <c r="FZ182" s="101"/>
      <c r="GA182" s="101"/>
      <c r="GB182" s="101"/>
      <c r="GC182" s="101"/>
      <c r="GD182" s="101"/>
      <c r="GE182" s="101"/>
      <c r="GF182" s="101"/>
      <c r="GG182" s="101"/>
      <c r="GH182" s="101"/>
      <c r="GI182" s="101"/>
      <c r="GJ182" s="101"/>
      <c r="GK182" s="101"/>
      <c r="GL182" s="101"/>
      <c r="GM182" s="101"/>
      <c r="GN182" s="101"/>
      <c r="GO182" s="101"/>
      <c r="GP182" s="101"/>
      <c r="GQ182" s="101"/>
      <c r="GR182" s="101"/>
      <c r="GS182" s="101"/>
      <c r="GT182" s="101"/>
      <c r="GU182" s="101"/>
      <c r="GV182" s="101"/>
      <c r="GW182" s="101"/>
      <c r="GX182" s="101"/>
      <c r="GY182" s="101"/>
      <c r="GZ182" s="101"/>
      <c r="HA182" s="101"/>
      <c r="HB182" s="101"/>
      <c r="HC182" s="101"/>
      <c r="HD182" s="101"/>
      <c r="HE182" s="101"/>
      <c r="HF182" s="101"/>
      <c r="HG182" s="101"/>
      <c r="HH182" s="101"/>
      <c r="HI182" s="101"/>
      <c r="HJ182" s="101"/>
      <c r="HK182" s="101"/>
      <c r="HL182" s="101"/>
      <c r="HM182" s="101"/>
      <c r="HN182" s="101"/>
      <c r="HO182" s="101"/>
      <c r="HP182" s="101"/>
      <c r="HQ182" s="101"/>
      <c r="HR182" s="101"/>
      <c r="HS182" s="101"/>
      <c r="HT182" s="101"/>
      <c r="HU182" s="101"/>
      <c r="HV182" s="101"/>
      <c r="HW182" s="101"/>
      <c r="HX182" s="101"/>
      <c r="HY182" s="101"/>
      <c r="HZ182" s="101"/>
      <c r="IA182" s="101"/>
      <c r="IB182" s="101"/>
      <c r="IC182" s="101"/>
      <c r="ID182" s="101"/>
      <c r="IE182" s="101"/>
      <c r="IF182" s="101"/>
      <c r="IG182" s="101"/>
      <c r="IH182" s="101"/>
      <c r="II182" s="101"/>
      <c r="IJ182" s="101"/>
      <c r="IK182" s="101"/>
      <c r="IL182" s="101"/>
      <c r="IM182" s="101"/>
      <c r="IN182" s="101"/>
      <c r="IO182" s="101"/>
      <c r="IP182" s="101"/>
      <c r="IQ182" s="101"/>
      <c r="IR182" s="101"/>
      <c r="IS182" s="101"/>
      <c r="IT182" s="101"/>
    </row>
    <row r="183" spans="1:254">
      <c r="A183" s="101"/>
      <c r="B183" s="101"/>
      <c r="C183" s="101"/>
      <c r="D183" s="101"/>
      <c r="F183" s="7"/>
      <c r="G183" s="7"/>
      <c r="H183" s="7"/>
      <c r="I183" s="7"/>
      <c r="J183" s="7"/>
      <c r="K183" s="7"/>
      <c r="L183" s="7"/>
      <c r="M183" s="52"/>
      <c r="N183" s="52"/>
      <c r="O183" s="7"/>
      <c r="P183" s="52"/>
      <c r="Q183" s="52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  <c r="AJ183" s="101"/>
      <c r="AK183" s="101"/>
      <c r="AL183" s="101"/>
      <c r="AM183" s="101"/>
      <c r="AN183" s="101"/>
      <c r="AO183" s="101"/>
      <c r="AP183" s="101"/>
      <c r="AQ183" s="101"/>
      <c r="AR183" s="101"/>
      <c r="AS183" s="101"/>
      <c r="AT183" s="101"/>
      <c r="AU183" s="101"/>
      <c r="AV183" s="101"/>
      <c r="AW183" s="101"/>
      <c r="AX183" s="101"/>
      <c r="AY183" s="101"/>
      <c r="AZ183" s="101"/>
      <c r="BA183" s="101"/>
      <c r="BB183" s="101"/>
      <c r="BC183" s="101"/>
      <c r="BD183" s="101"/>
      <c r="BE183" s="101"/>
      <c r="BF183" s="101"/>
      <c r="BG183" s="101"/>
      <c r="BH183" s="101"/>
      <c r="BI183" s="101"/>
      <c r="BJ183" s="101"/>
      <c r="BK183" s="101"/>
      <c r="BL183" s="101"/>
      <c r="BM183" s="101"/>
      <c r="BN183" s="101"/>
      <c r="BO183" s="101"/>
      <c r="BP183" s="101"/>
      <c r="BQ183" s="101"/>
      <c r="BR183" s="101"/>
      <c r="BS183" s="101"/>
      <c r="BT183" s="101"/>
      <c r="BU183" s="101"/>
      <c r="BV183" s="101"/>
      <c r="BW183" s="101"/>
      <c r="BX183" s="101"/>
      <c r="BY183" s="101"/>
      <c r="BZ183" s="101"/>
      <c r="CA183" s="101"/>
      <c r="CB183" s="101"/>
      <c r="CC183" s="101"/>
      <c r="CD183" s="101"/>
      <c r="CE183" s="101"/>
      <c r="CF183" s="101"/>
      <c r="CG183" s="101"/>
      <c r="CH183" s="101"/>
      <c r="CI183" s="101"/>
      <c r="CJ183" s="101"/>
      <c r="CK183" s="101"/>
      <c r="CL183" s="101"/>
      <c r="CM183" s="101"/>
      <c r="CN183" s="101"/>
      <c r="CO183" s="101"/>
      <c r="CP183" s="101"/>
      <c r="CQ183" s="101"/>
      <c r="CR183" s="101"/>
      <c r="CS183" s="101"/>
      <c r="CT183" s="101"/>
      <c r="CU183" s="101"/>
      <c r="CV183" s="101"/>
      <c r="CW183" s="101"/>
      <c r="CX183" s="101"/>
      <c r="CY183" s="101"/>
      <c r="CZ183" s="101"/>
      <c r="DA183" s="101"/>
      <c r="DB183" s="101"/>
      <c r="DC183" s="101"/>
      <c r="DD183" s="101"/>
      <c r="DE183" s="101"/>
      <c r="DF183" s="101"/>
      <c r="DG183" s="101"/>
      <c r="DH183" s="101"/>
      <c r="DI183" s="101"/>
      <c r="DJ183" s="101"/>
      <c r="DK183" s="101"/>
      <c r="DL183" s="101"/>
      <c r="DM183" s="101"/>
      <c r="DN183" s="101"/>
      <c r="DO183" s="101"/>
      <c r="DP183" s="101"/>
      <c r="DQ183" s="101"/>
      <c r="DR183" s="101"/>
      <c r="DS183" s="101"/>
      <c r="DT183" s="101"/>
      <c r="DU183" s="101"/>
      <c r="DV183" s="101"/>
      <c r="DW183" s="101"/>
      <c r="DX183" s="101"/>
      <c r="DY183" s="101"/>
      <c r="DZ183" s="101"/>
      <c r="EA183" s="101"/>
      <c r="EB183" s="101"/>
      <c r="EC183" s="101"/>
      <c r="ED183" s="101"/>
      <c r="EE183" s="101"/>
      <c r="EF183" s="101"/>
      <c r="EG183" s="101"/>
      <c r="EH183" s="101"/>
      <c r="EI183" s="101"/>
      <c r="EJ183" s="101"/>
      <c r="EK183" s="101"/>
      <c r="EL183" s="101"/>
      <c r="EM183" s="101"/>
      <c r="EN183" s="101"/>
      <c r="EO183" s="101"/>
      <c r="EP183" s="101"/>
      <c r="EQ183" s="101"/>
      <c r="ER183" s="101"/>
      <c r="ES183" s="101"/>
      <c r="ET183" s="101"/>
      <c r="EU183" s="101"/>
      <c r="EV183" s="101"/>
      <c r="EW183" s="101"/>
      <c r="EX183" s="101"/>
      <c r="EY183" s="101"/>
      <c r="EZ183" s="101"/>
      <c r="FA183" s="101"/>
      <c r="FB183" s="101"/>
      <c r="FC183" s="101"/>
      <c r="FD183" s="101"/>
      <c r="FE183" s="101"/>
      <c r="FF183" s="101"/>
      <c r="FG183" s="101"/>
      <c r="FH183" s="101"/>
      <c r="FI183" s="101"/>
      <c r="FJ183" s="101"/>
      <c r="FK183" s="101"/>
      <c r="FL183" s="101"/>
      <c r="FM183" s="101"/>
      <c r="FN183" s="101"/>
      <c r="FO183" s="101"/>
      <c r="FP183" s="101"/>
      <c r="FQ183" s="101"/>
      <c r="FR183" s="101"/>
      <c r="FS183" s="101"/>
      <c r="FT183" s="101"/>
      <c r="FU183" s="101"/>
      <c r="FV183" s="101"/>
      <c r="FW183" s="101"/>
      <c r="FX183" s="101"/>
      <c r="FY183" s="101"/>
      <c r="FZ183" s="101"/>
      <c r="GA183" s="101"/>
      <c r="GB183" s="101"/>
      <c r="GC183" s="101"/>
      <c r="GD183" s="101"/>
      <c r="GE183" s="101"/>
      <c r="GF183" s="101"/>
      <c r="GG183" s="101"/>
      <c r="GH183" s="101"/>
      <c r="GI183" s="101"/>
      <c r="GJ183" s="101"/>
      <c r="GK183" s="101"/>
      <c r="GL183" s="101"/>
      <c r="GM183" s="101"/>
      <c r="GN183" s="101"/>
      <c r="GO183" s="101"/>
      <c r="GP183" s="101"/>
      <c r="GQ183" s="101"/>
      <c r="GR183" s="101"/>
      <c r="GS183" s="101"/>
      <c r="GT183" s="101"/>
      <c r="GU183" s="101"/>
      <c r="GV183" s="101"/>
      <c r="GW183" s="101"/>
      <c r="GX183" s="101"/>
      <c r="GY183" s="101"/>
      <c r="GZ183" s="101"/>
      <c r="HA183" s="101"/>
      <c r="HB183" s="101"/>
      <c r="HC183" s="101"/>
      <c r="HD183" s="101"/>
      <c r="HE183" s="101"/>
      <c r="HF183" s="101"/>
      <c r="HG183" s="101"/>
      <c r="HH183" s="101"/>
      <c r="HI183" s="101"/>
      <c r="HJ183" s="101"/>
      <c r="HK183" s="101"/>
      <c r="HL183" s="101"/>
      <c r="HM183" s="101"/>
      <c r="HN183" s="101"/>
      <c r="HO183" s="101"/>
      <c r="HP183" s="101"/>
      <c r="HQ183" s="101"/>
      <c r="HR183" s="101"/>
      <c r="HS183" s="101"/>
      <c r="HT183" s="101"/>
      <c r="HU183" s="101"/>
      <c r="HV183" s="101"/>
      <c r="HW183" s="101"/>
      <c r="HX183" s="101"/>
      <c r="HY183" s="101"/>
      <c r="HZ183" s="101"/>
      <c r="IA183" s="101"/>
      <c r="IB183" s="101"/>
      <c r="IC183" s="101"/>
      <c r="ID183" s="101"/>
      <c r="IE183" s="101"/>
      <c r="IF183" s="101"/>
      <c r="IG183" s="101"/>
      <c r="IH183" s="101"/>
      <c r="II183" s="101"/>
      <c r="IJ183" s="101"/>
      <c r="IK183" s="101"/>
      <c r="IL183" s="101"/>
      <c r="IM183" s="101"/>
      <c r="IN183" s="101"/>
      <c r="IO183" s="101"/>
      <c r="IP183" s="101"/>
      <c r="IQ183" s="101"/>
      <c r="IR183" s="101"/>
      <c r="IS183" s="101"/>
      <c r="IT183" s="101"/>
    </row>
    <row r="184" spans="1:254">
      <c r="A184" s="101"/>
      <c r="B184" s="101"/>
      <c r="C184" s="101"/>
      <c r="D184" s="101"/>
      <c r="F184" s="7"/>
      <c r="G184" s="7"/>
      <c r="H184" s="7"/>
      <c r="I184" s="7"/>
      <c r="J184" s="7"/>
      <c r="K184" s="7"/>
      <c r="L184" s="7"/>
      <c r="M184" s="52"/>
      <c r="N184" s="52"/>
      <c r="O184" s="7"/>
      <c r="P184" s="52"/>
      <c r="Q184" s="52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  <c r="AF184" s="101"/>
      <c r="AG184" s="101"/>
      <c r="AH184" s="101"/>
      <c r="AI184" s="101"/>
      <c r="AJ184" s="101"/>
      <c r="AK184" s="101"/>
      <c r="AL184" s="101"/>
      <c r="AM184" s="101"/>
      <c r="AN184" s="101"/>
      <c r="AO184" s="101"/>
      <c r="AP184" s="101"/>
      <c r="AQ184" s="101"/>
      <c r="AR184" s="101"/>
      <c r="AS184" s="101"/>
      <c r="AT184" s="101"/>
      <c r="AU184" s="101"/>
      <c r="AV184" s="101"/>
      <c r="AW184" s="101"/>
      <c r="AX184" s="101"/>
      <c r="AY184" s="101"/>
      <c r="AZ184" s="101"/>
      <c r="BA184" s="101"/>
      <c r="BB184" s="101"/>
      <c r="BC184" s="101"/>
      <c r="BD184" s="101"/>
      <c r="BE184" s="101"/>
      <c r="BF184" s="101"/>
      <c r="BG184" s="101"/>
      <c r="BH184" s="101"/>
      <c r="BI184" s="101"/>
      <c r="BJ184" s="101"/>
      <c r="BK184" s="101"/>
      <c r="BL184" s="101"/>
      <c r="BM184" s="101"/>
      <c r="BN184" s="101"/>
      <c r="BO184" s="101"/>
      <c r="BP184" s="101"/>
      <c r="BQ184" s="101"/>
      <c r="BR184" s="101"/>
      <c r="BS184" s="101"/>
      <c r="BT184" s="101"/>
      <c r="BU184" s="101"/>
      <c r="BV184" s="101"/>
      <c r="BW184" s="101"/>
      <c r="BX184" s="101"/>
      <c r="BY184" s="101"/>
      <c r="BZ184" s="101"/>
      <c r="CA184" s="101"/>
      <c r="CB184" s="101"/>
      <c r="CC184" s="101"/>
      <c r="CD184" s="101"/>
      <c r="CE184" s="101"/>
      <c r="CF184" s="101"/>
      <c r="CG184" s="101"/>
      <c r="CH184" s="101"/>
      <c r="CI184" s="101"/>
      <c r="CJ184" s="101"/>
      <c r="CK184" s="101"/>
      <c r="CL184" s="101"/>
      <c r="CM184" s="101"/>
      <c r="CN184" s="101"/>
      <c r="CO184" s="101"/>
      <c r="CP184" s="101"/>
      <c r="CQ184" s="101"/>
      <c r="CR184" s="101"/>
      <c r="CS184" s="101"/>
      <c r="CT184" s="101"/>
      <c r="CU184" s="101"/>
      <c r="CV184" s="101"/>
      <c r="CW184" s="101"/>
      <c r="CX184" s="101"/>
      <c r="CY184" s="101"/>
      <c r="CZ184" s="101"/>
      <c r="DA184" s="101"/>
      <c r="DB184" s="101"/>
      <c r="DC184" s="101"/>
      <c r="DD184" s="101"/>
      <c r="DE184" s="101"/>
      <c r="DF184" s="101"/>
      <c r="DG184" s="101"/>
      <c r="DH184" s="101"/>
      <c r="DI184" s="101"/>
      <c r="DJ184" s="101"/>
      <c r="DK184" s="101"/>
      <c r="DL184" s="101"/>
      <c r="DM184" s="101"/>
      <c r="DN184" s="101"/>
      <c r="DO184" s="101"/>
      <c r="DP184" s="101"/>
      <c r="DQ184" s="101"/>
      <c r="DR184" s="101"/>
      <c r="DS184" s="101"/>
      <c r="DT184" s="101"/>
      <c r="DU184" s="101"/>
      <c r="DV184" s="101"/>
      <c r="DW184" s="101"/>
      <c r="DX184" s="101"/>
      <c r="DY184" s="101"/>
      <c r="DZ184" s="101"/>
      <c r="EA184" s="101"/>
      <c r="EB184" s="101"/>
      <c r="EC184" s="101"/>
      <c r="ED184" s="101"/>
      <c r="EE184" s="101"/>
      <c r="EF184" s="101"/>
      <c r="EG184" s="101"/>
      <c r="EH184" s="101"/>
      <c r="EI184" s="101"/>
      <c r="EJ184" s="101"/>
      <c r="EK184" s="101"/>
      <c r="EL184" s="101"/>
      <c r="EM184" s="101"/>
      <c r="EN184" s="101"/>
      <c r="EO184" s="101"/>
      <c r="EP184" s="101"/>
      <c r="EQ184" s="101"/>
      <c r="ER184" s="101"/>
      <c r="ES184" s="101"/>
      <c r="ET184" s="101"/>
      <c r="EU184" s="101"/>
      <c r="EV184" s="101"/>
      <c r="EW184" s="101"/>
      <c r="EX184" s="101"/>
      <c r="EY184" s="101"/>
      <c r="EZ184" s="101"/>
      <c r="FA184" s="101"/>
      <c r="FB184" s="101"/>
      <c r="FC184" s="101"/>
      <c r="FD184" s="101"/>
      <c r="FE184" s="101"/>
      <c r="FF184" s="101"/>
      <c r="FG184" s="101"/>
      <c r="FH184" s="101"/>
      <c r="FI184" s="101"/>
      <c r="FJ184" s="101"/>
      <c r="FK184" s="101"/>
      <c r="FL184" s="101"/>
      <c r="FM184" s="101"/>
      <c r="FN184" s="101"/>
      <c r="FO184" s="101"/>
      <c r="FP184" s="101"/>
      <c r="FQ184" s="101"/>
      <c r="FR184" s="101"/>
      <c r="FS184" s="101"/>
      <c r="FT184" s="101"/>
      <c r="FU184" s="101"/>
      <c r="FV184" s="101"/>
      <c r="FW184" s="101"/>
      <c r="FX184" s="101"/>
      <c r="FY184" s="101"/>
      <c r="FZ184" s="101"/>
      <c r="GA184" s="101"/>
      <c r="GB184" s="101"/>
      <c r="GC184" s="101"/>
      <c r="GD184" s="101"/>
      <c r="GE184" s="101"/>
      <c r="GF184" s="101"/>
      <c r="GG184" s="101"/>
      <c r="GH184" s="101"/>
      <c r="GI184" s="101"/>
      <c r="GJ184" s="101"/>
      <c r="GK184" s="101"/>
      <c r="GL184" s="101"/>
      <c r="GM184" s="101"/>
      <c r="GN184" s="101"/>
      <c r="GO184" s="101"/>
      <c r="GP184" s="101"/>
      <c r="GQ184" s="101"/>
      <c r="GR184" s="101"/>
      <c r="GS184" s="101"/>
      <c r="GT184" s="101"/>
      <c r="GU184" s="101"/>
      <c r="GV184" s="101"/>
      <c r="GW184" s="101"/>
      <c r="GX184" s="101"/>
      <c r="GY184" s="101"/>
      <c r="GZ184" s="101"/>
      <c r="HA184" s="101"/>
      <c r="HB184" s="101"/>
      <c r="HC184" s="101"/>
      <c r="HD184" s="101"/>
      <c r="HE184" s="101"/>
      <c r="HF184" s="101"/>
      <c r="HG184" s="101"/>
      <c r="HH184" s="101"/>
      <c r="HI184" s="101"/>
      <c r="HJ184" s="101"/>
      <c r="HK184" s="101"/>
      <c r="HL184" s="101"/>
      <c r="HM184" s="101"/>
      <c r="HN184" s="101"/>
      <c r="HO184" s="101"/>
      <c r="HP184" s="101"/>
      <c r="HQ184" s="101"/>
      <c r="HR184" s="101"/>
      <c r="HS184" s="101"/>
      <c r="HT184" s="101"/>
      <c r="HU184" s="101"/>
      <c r="HV184" s="101"/>
      <c r="HW184" s="101"/>
      <c r="HX184" s="101"/>
      <c r="HY184" s="101"/>
      <c r="HZ184" s="101"/>
      <c r="IA184" s="101"/>
      <c r="IB184" s="101"/>
      <c r="IC184" s="101"/>
      <c r="ID184" s="101"/>
      <c r="IE184" s="101"/>
      <c r="IF184" s="101"/>
      <c r="IG184" s="101"/>
      <c r="IH184" s="101"/>
      <c r="II184" s="101"/>
      <c r="IJ184" s="101"/>
      <c r="IK184" s="101"/>
      <c r="IL184" s="101"/>
      <c r="IM184" s="101"/>
      <c r="IN184" s="101"/>
      <c r="IO184" s="101"/>
      <c r="IP184" s="101"/>
      <c r="IQ184" s="101"/>
      <c r="IR184" s="101"/>
      <c r="IS184" s="101"/>
      <c r="IT184" s="101"/>
    </row>
    <row r="185" spans="1:254">
      <c r="A185" s="101"/>
      <c r="B185" s="101"/>
      <c r="C185" s="101"/>
      <c r="D185" s="101"/>
      <c r="F185" s="7"/>
      <c r="G185" s="7"/>
      <c r="H185" s="7"/>
      <c r="I185" s="7"/>
      <c r="J185" s="7"/>
      <c r="K185" s="7"/>
      <c r="L185" s="7"/>
      <c r="M185" s="52"/>
      <c r="N185" s="52"/>
      <c r="O185" s="7"/>
      <c r="P185" s="52"/>
      <c r="Q185" s="52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  <c r="AF185" s="101"/>
      <c r="AG185" s="101"/>
      <c r="AH185" s="101"/>
      <c r="AI185" s="101"/>
      <c r="AJ185" s="101"/>
      <c r="AK185" s="101"/>
      <c r="AL185" s="101"/>
      <c r="AM185" s="101"/>
      <c r="AN185" s="101"/>
      <c r="AO185" s="101"/>
      <c r="AP185" s="101"/>
      <c r="AQ185" s="101"/>
      <c r="AR185" s="101"/>
      <c r="AS185" s="101"/>
      <c r="AT185" s="101"/>
      <c r="AU185" s="101"/>
      <c r="AV185" s="101"/>
      <c r="AW185" s="101"/>
      <c r="AX185" s="101"/>
      <c r="AY185" s="101"/>
      <c r="AZ185" s="101"/>
      <c r="BA185" s="101"/>
      <c r="BB185" s="101"/>
      <c r="BC185" s="101"/>
      <c r="BD185" s="101"/>
      <c r="BE185" s="101"/>
      <c r="BF185" s="101"/>
      <c r="BG185" s="101"/>
      <c r="BH185" s="101"/>
      <c r="BI185" s="101"/>
      <c r="BJ185" s="101"/>
      <c r="BK185" s="101"/>
      <c r="BL185" s="101"/>
      <c r="BM185" s="101"/>
      <c r="BN185" s="101"/>
      <c r="BO185" s="101"/>
      <c r="BP185" s="101"/>
      <c r="BQ185" s="101"/>
      <c r="BR185" s="101"/>
      <c r="BS185" s="101"/>
      <c r="BT185" s="101"/>
      <c r="BU185" s="101"/>
      <c r="BV185" s="101"/>
      <c r="BW185" s="101"/>
      <c r="BX185" s="101"/>
      <c r="BY185" s="101"/>
      <c r="BZ185" s="101"/>
      <c r="CA185" s="101"/>
      <c r="CB185" s="101"/>
      <c r="CC185" s="101"/>
      <c r="CD185" s="101"/>
      <c r="CE185" s="101"/>
      <c r="CF185" s="101"/>
      <c r="CG185" s="101"/>
      <c r="CH185" s="101"/>
      <c r="CI185" s="101"/>
      <c r="CJ185" s="101"/>
      <c r="CK185" s="101"/>
      <c r="CL185" s="101"/>
      <c r="CM185" s="101"/>
      <c r="CN185" s="101"/>
      <c r="CO185" s="101"/>
      <c r="CP185" s="101"/>
      <c r="CQ185" s="101"/>
      <c r="CR185" s="101"/>
      <c r="CS185" s="101"/>
      <c r="CT185" s="101"/>
      <c r="CU185" s="101"/>
      <c r="CV185" s="101"/>
      <c r="CW185" s="101"/>
      <c r="CX185" s="101"/>
      <c r="CY185" s="101"/>
      <c r="CZ185" s="101"/>
      <c r="DA185" s="101"/>
      <c r="DB185" s="101"/>
      <c r="DC185" s="101"/>
      <c r="DD185" s="101"/>
      <c r="DE185" s="101"/>
      <c r="DF185" s="101"/>
      <c r="DG185" s="101"/>
      <c r="DH185" s="101"/>
      <c r="DI185" s="101"/>
      <c r="DJ185" s="101"/>
      <c r="DK185" s="101"/>
      <c r="DL185" s="101"/>
      <c r="DM185" s="101"/>
      <c r="DN185" s="101"/>
      <c r="DO185" s="101"/>
      <c r="DP185" s="101"/>
      <c r="DQ185" s="101"/>
      <c r="DR185" s="101"/>
      <c r="DS185" s="101"/>
      <c r="DT185" s="101"/>
      <c r="DU185" s="101"/>
      <c r="DV185" s="101"/>
      <c r="DW185" s="101"/>
      <c r="DX185" s="101"/>
      <c r="DY185" s="101"/>
      <c r="DZ185" s="101"/>
      <c r="EA185" s="101"/>
      <c r="EB185" s="101"/>
      <c r="EC185" s="101"/>
      <c r="ED185" s="101"/>
      <c r="EE185" s="101"/>
      <c r="EF185" s="101"/>
      <c r="EG185" s="101"/>
      <c r="EH185" s="101"/>
      <c r="EI185" s="101"/>
      <c r="EJ185" s="101"/>
      <c r="EK185" s="101"/>
      <c r="EL185" s="101"/>
      <c r="EM185" s="101"/>
      <c r="EN185" s="101"/>
      <c r="EO185" s="101"/>
      <c r="EP185" s="101"/>
      <c r="EQ185" s="101"/>
      <c r="ER185" s="101"/>
      <c r="ES185" s="101"/>
      <c r="ET185" s="101"/>
      <c r="EU185" s="101"/>
      <c r="EV185" s="101"/>
      <c r="EW185" s="101"/>
      <c r="EX185" s="101"/>
      <c r="EY185" s="101"/>
      <c r="EZ185" s="101"/>
      <c r="FA185" s="101"/>
      <c r="FB185" s="101"/>
      <c r="FC185" s="101"/>
      <c r="FD185" s="101"/>
      <c r="FE185" s="101"/>
      <c r="FF185" s="101"/>
      <c r="FG185" s="101"/>
      <c r="FH185" s="101"/>
      <c r="FI185" s="101"/>
      <c r="FJ185" s="101"/>
      <c r="FK185" s="101"/>
      <c r="FL185" s="101"/>
      <c r="FM185" s="101"/>
      <c r="FN185" s="101"/>
      <c r="FO185" s="101"/>
      <c r="FP185" s="101"/>
      <c r="FQ185" s="101"/>
      <c r="FR185" s="101"/>
      <c r="FS185" s="101"/>
      <c r="FT185" s="101"/>
      <c r="FU185" s="101"/>
      <c r="FV185" s="101"/>
      <c r="FW185" s="101"/>
      <c r="FX185" s="101"/>
      <c r="FY185" s="101"/>
      <c r="FZ185" s="101"/>
      <c r="GA185" s="101"/>
      <c r="GB185" s="101"/>
      <c r="GC185" s="101"/>
      <c r="GD185" s="101"/>
      <c r="GE185" s="101"/>
      <c r="GF185" s="101"/>
      <c r="GG185" s="101"/>
      <c r="GH185" s="101"/>
      <c r="GI185" s="101"/>
      <c r="GJ185" s="101"/>
      <c r="GK185" s="101"/>
      <c r="GL185" s="101"/>
      <c r="GM185" s="101"/>
      <c r="GN185" s="101"/>
      <c r="GO185" s="101"/>
      <c r="GP185" s="101"/>
      <c r="GQ185" s="101"/>
      <c r="GR185" s="101"/>
      <c r="GS185" s="101"/>
      <c r="GT185" s="101"/>
      <c r="GU185" s="101"/>
      <c r="GV185" s="101"/>
      <c r="GW185" s="101"/>
      <c r="GX185" s="101"/>
      <c r="GY185" s="101"/>
      <c r="GZ185" s="101"/>
      <c r="HA185" s="101"/>
      <c r="HB185" s="101"/>
      <c r="HC185" s="101"/>
      <c r="HD185" s="101"/>
      <c r="HE185" s="101"/>
      <c r="HF185" s="101"/>
      <c r="HG185" s="101"/>
      <c r="HH185" s="101"/>
      <c r="HI185" s="101"/>
      <c r="HJ185" s="101"/>
      <c r="HK185" s="101"/>
      <c r="HL185" s="101"/>
      <c r="HM185" s="101"/>
      <c r="HN185" s="101"/>
      <c r="HO185" s="101"/>
      <c r="HP185" s="101"/>
      <c r="HQ185" s="101"/>
      <c r="HR185" s="101"/>
      <c r="HS185" s="101"/>
      <c r="HT185" s="101"/>
      <c r="HU185" s="101"/>
      <c r="HV185" s="101"/>
      <c r="HW185" s="101"/>
      <c r="HX185" s="101"/>
      <c r="HY185" s="101"/>
      <c r="HZ185" s="101"/>
      <c r="IA185" s="101"/>
      <c r="IB185" s="101"/>
      <c r="IC185" s="101"/>
      <c r="ID185" s="101"/>
      <c r="IE185" s="101"/>
      <c r="IF185" s="101"/>
      <c r="IG185" s="101"/>
      <c r="IH185" s="101"/>
      <c r="II185" s="101"/>
      <c r="IJ185" s="101"/>
      <c r="IK185" s="101"/>
      <c r="IL185" s="101"/>
      <c r="IM185" s="101"/>
      <c r="IN185" s="101"/>
      <c r="IO185" s="101"/>
      <c r="IP185" s="101"/>
      <c r="IQ185" s="101"/>
      <c r="IR185" s="101"/>
      <c r="IS185" s="101"/>
      <c r="IT185" s="101"/>
    </row>
    <row r="186" spans="1:254">
      <c r="A186" s="101"/>
      <c r="B186" s="101"/>
      <c r="C186" s="101"/>
      <c r="D186" s="101"/>
      <c r="F186" s="7"/>
      <c r="G186" s="7"/>
      <c r="H186" s="7"/>
      <c r="I186" s="7"/>
      <c r="J186" s="7"/>
      <c r="K186" s="7"/>
      <c r="L186" s="7"/>
      <c r="M186" s="52"/>
      <c r="N186" s="52"/>
      <c r="O186" s="7"/>
      <c r="P186" s="52"/>
      <c r="Q186" s="52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  <c r="AJ186" s="101"/>
      <c r="AK186" s="101"/>
      <c r="AL186" s="101"/>
      <c r="AM186" s="101"/>
      <c r="AN186" s="101"/>
      <c r="AO186" s="101"/>
      <c r="AP186" s="101"/>
      <c r="AQ186" s="101"/>
      <c r="AR186" s="101"/>
      <c r="AS186" s="101"/>
      <c r="AT186" s="101"/>
      <c r="AU186" s="101"/>
      <c r="AV186" s="101"/>
      <c r="AW186" s="101"/>
      <c r="AX186" s="101"/>
      <c r="AY186" s="101"/>
      <c r="AZ186" s="101"/>
      <c r="BA186" s="101"/>
      <c r="BB186" s="101"/>
      <c r="BC186" s="101"/>
      <c r="BD186" s="101"/>
      <c r="BE186" s="101"/>
      <c r="BF186" s="101"/>
      <c r="BG186" s="101"/>
      <c r="BH186" s="101"/>
      <c r="BI186" s="101"/>
      <c r="BJ186" s="101"/>
      <c r="BK186" s="101"/>
      <c r="BL186" s="101"/>
      <c r="BM186" s="101"/>
      <c r="BN186" s="101"/>
      <c r="BO186" s="101"/>
      <c r="BP186" s="101"/>
      <c r="BQ186" s="101"/>
      <c r="BR186" s="101"/>
      <c r="BS186" s="101"/>
      <c r="BT186" s="101"/>
      <c r="BU186" s="101"/>
      <c r="BV186" s="101"/>
      <c r="BW186" s="101"/>
      <c r="BX186" s="101"/>
      <c r="BY186" s="101"/>
      <c r="BZ186" s="101"/>
      <c r="CA186" s="101"/>
      <c r="CB186" s="101"/>
      <c r="CC186" s="101"/>
      <c r="CD186" s="101"/>
      <c r="CE186" s="101"/>
      <c r="CF186" s="101"/>
      <c r="CG186" s="101"/>
      <c r="CH186" s="101"/>
      <c r="CI186" s="101"/>
      <c r="CJ186" s="101"/>
      <c r="CK186" s="101"/>
      <c r="CL186" s="101"/>
      <c r="CM186" s="101"/>
      <c r="CN186" s="101"/>
      <c r="CO186" s="101"/>
      <c r="CP186" s="101"/>
      <c r="CQ186" s="101"/>
      <c r="CR186" s="101"/>
      <c r="CS186" s="101"/>
      <c r="CT186" s="101"/>
      <c r="CU186" s="101"/>
      <c r="CV186" s="101"/>
      <c r="CW186" s="101"/>
      <c r="CX186" s="101"/>
      <c r="CY186" s="101"/>
      <c r="CZ186" s="101"/>
      <c r="DA186" s="101"/>
      <c r="DB186" s="101"/>
      <c r="DC186" s="101"/>
      <c r="DD186" s="101"/>
      <c r="DE186" s="101"/>
      <c r="DF186" s="101"/>
      <c r="DG186" s="101"/>
      <c r="DH186" s="101"/>
      <c r="DI186" s="101"/>
      <c r="DJ186" s="101"/>
      <c r="DK186" s="101"/>
      <c r="DL186" s="101"/>
      <c r="DM186" s="101"/>
      <c r="DN186" s="101"/>
      <c r="DO186" s="101"/>
      <c r="DP186" s="101"/>
      <c r="DQ186" s="101"/>
      <c r="DR186" s="101"/>
      <c r="DS186" s="101"/>
      <c r="DT186" s="101"/>
      <c r="DU186" s="101"/>
      <c r="DV186" s="101"/>
      <c r="DW186" s="101"/>
      <c r="DX186" s="101"/>
      <c r="DY186" s="101"/>
      <c r="DZ186" s="101"/>
      <c r="EA186" s="101"/>
      <c r="EB186" s="101"/>
      <c r="EC186" s="101"/>
      <c r="ED186" s="101"/>
      <c r="EE186" s="101"/>
      <c r="EF186" s="101"/>
      <c r="EG186" s="101"/>
      <c r="EH186" s="101"/>
      <c r="EI186" s="101"/>
      <c r="EJ186" s="101"/>
      <c r="EK186" s="101"/>
      <c r="EL186" s="101"/>
      <c r="EM186" s="101"/>
      <c r="EN186" s="101"/>
      <c r="EO186" s="101"/>
      <c r="EP186" s="101"/>
      <c r="EQ186" s="101"/>
      <c r="ER186" s="101"/>
      <c r="ES186" s="101"/>
      <c r="ET186" s="101"/>
      <c r="EU186" s="101"/>
      <c r="EV186" s="101"/>
      <c r="EW186" s="101"/>
      <c r="EX186" s="101"/>
      <c r="EY186" s="101"/>
      <c r="EZ186" s="101"/>
      <c r="FA186" s="101"/>
      <c r="FB186" s="101"/>
      <c r="FC186" s="101"/>
      <c r="FD186" s="101"/>
      <c r="FE186" s="101"/>
      <c r="FF186" s="101"/>
      <c r="FG186" s="101"/>
      <c r="FH186" s="101"/>
      <c r="FI186" s="101"/>
      <c r="FJ186" s="101"/>
      <c r="FK186" s="101"/>
      <c r="FL186" s="101"/>
      <c r="FM186" s="101"/>
      <c r="FN186" s="101"/>
      <c r="FO186" s="101"/>
      <c r="FP186" s="101"/>
      <c r="FQ186" s="101"/>
      <c r="FR186" s="101"/>
      <c r="FS186" s="101"/>
      <c r="FT186" s="101"/>
      <c r="FU186" s="101"/>
      <c r="FV186" s="101"/>
      <c r="FW186" s="101"/>
      <c r="FX186" s="101"/>
      <c r="FY186" s="101"/>
      <c r="FZ186" s="101"/>
      <c r="GA186" s="101"/>
      <c r="GB186" s="101"/>
      <c r="GC186" s="101"/>
      <c r="GD186" s="101"/>
      <c r="GE186" s="101"/>
      <c r="GF186" s="101"/>
      <c r="GG186" s="101"/>
      <c r="GH186" s="101"/>
      <c r="GI186" s="101"/>
      <c r="GJ186" s="101"/>
      <c r="GK186" s="101"/>
      <c r="GL186" s="101"/>
      <c r="GM186" s="101"/>
      <c r="GN186" s="101"/>
      <c r="GO186" s="101"/>
      <c r="GP186" s="101"/>
      <c r="GQ186" s="101"/>
      <c r="GR186" s="101"/>
      <c r="GS186" s="101"/>
      <c r="GT186" s="101"/>
      <c r="GU186" s="101"/>
      <c r="GV186" s="101"/>
      <c r="GW186" s="101"/>
      <c r="GX186" s="101"/>
      <c r="GY186" s="101"/>
      <c r="GZ186" s="101"/>
      <c r="HA186" s="101"/>
      <c r="HB186" s="101"/>
      <c r="HC186" s="101"/>
      <c r="HD186" s="101"/>
      <c r="HE186" s="101"/>
      <c r="HF186" s="101"/>
      <c r="HG186" s="101"/>
      <c r="HH186" s="101"/>
      <c r="HI186" s="101"/>
      <c r="HJ186" s="101"/>
      <c r="HK186" s="101"/>
      <c r="HL186" s="101"/>
      <c r="HM186" s="101"/>
      <c r="HN186" s="101"/>
      <c r="HO186" s="101"/>
      <c r="HP186" s="101"/>
      <c r="HQ186" s="101"/>
      <c r="HR186" s="101"/>
      <c r="HS186" s="101"/>
      <c r="HT186" s="101"/>
      <c r="HU186" s="101"/>
      <c r="HV186" s="101"/>
      <c r="HW186" s="101"/>
      <c r="HX186" s="101"/>
      <c r="HY186" s="101"/>
      <c r="HZ186" s="101"/>
      <c r="IA186" s="101"/>
      <c r="IB186" s="101"/>
      <c r="IC186" s="101"/>
      <c r="ID186" s="101"/>
      <c r="IE186" s="101"/>
      <c r="IF186" s="101"/>
      <c r="IG186" s="101"/>
      <c r="IH186" s="101"/>
      <c r="II186" s="101"/>
      <c r="IJ186" s="101"/>
      <c r="IK186" s="101"/>
      <c r="IL186" s="101"/>
      <c r="IM186" s="101"/>
      <c r="IN186" s="101"/>
      <c r="IO186" s="101"/>
      <c r="IP186" s="101"/>
      <c r="IQ186" s="101"/>
      <c r="IR186" s="101"/>
      <c r="IS186" s="101"/>
      <c r="IT186" s="101"/>
    </row>
    <row r="187" spans="1:254">
      <c r="A187" s="101"/>
      <c r="B187" s="101"/>
      <c r="C187" s="101"/>
      <c r="D187" s="101"/>
      <c r="F187" s="7"/>
      <c r="G187" s="7"/>
      <c r="H187" s="7"/>
      <c r="I187" s="7"/>
      <c r="J187" s="7"/>
      <c r="K187" s="7"/>
      <c r="L187" s="7"/>
      <c r="M187" s="52"/>
      <c r="N187" s="52"/>
      <c r="O187" s="7"/>
      <c r="P187" s="52"/>
      <c r="Q187" s="52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  <c r="AJ187" s="101"/>
      <c r="AK187" s="101"/>
      <c r="AL187" s="101"/>
      <c r="AM187" s="101"/>
      <c r="AN187" s="101"/>
      <c r="AO187" s="101"/>
      <c r="AP187" s="101"/>
      <c r="AQ187" s="101"/>
      <c r="AR187" s="101"/>
      <c r="AS187" s="101"/>
      <c r="AT187" s="101"/>
      <c r="AU187" s="101"/>
      <c r="AV187" s="101"/>
      <c r="AW187" s="101"/>
      <c r="AX187" s="101"/>
      <c r="AY187" s="101"/>
      <c r="AZ187" s="101"/>
      <c r="BA187" s="101"/>
      <c r="BB187" s="101"/>
      <c r="BC187" s="101"/>
      <c r="BD187" s="101"/>
      <c r="BE187" s="101"/>
      <c r="BF187" s="101"/>
      <c r="BG187" s="101"/>
      <c r="BH187" s="101"/>
      <c r="BI187" s="101"/>
      <c r="BJ187" s="101"/>
      <c r="BK187" s="101"/>
      <c r="BL187" s="101"/>
      <c r="BM187" s="101"/>
      <c r="BN187" s="101"/>
      <c r="BO187" s="101"/>
      <c r="BP187" s="101"/>
      <c r="BQ187" s="101"/>
      <c r="BR187" s="101"/>
      <c r="BS187" s="101"/>
      <c r="BT187" s="101"/>
      <c r="BU187" s="101"/>
      <c r="BV187" s="101"/>
      <c r="BW187" s="101"/>
      <c r="BX187" s="101"/>
      <c r="BY187" s="101"/>
      <c r="BZ187" s="101"/>
      <c r="CA187" s="101"/>
      <c r="CB187" s="101"/>
      <c r="CC187" s="101"/>
      <c r="CD187" s="101"/>
      <c r="CE187" s="101"/>
      <c r="CF187" s="101"/>
      <c r="CG187" s="101"/>
      <c r="CH187" s="101"/>
      <c r="CI187" s="101"/>
      <c r="CJ187" s="101"/>
      <c r="CK187" s="101"/>
      <c r="CL187" s="101"/>
      <c r="CM187" s="101"/>
      <c r="CN187" s="101"/>
      <c r="CO187" s="101"/>
      <c r="CP187" s="101"/>
      <c r="CQ187" s="101"/>
      <c r="CR187" s="101"/>
      <c r="CS187" s="101"/>
      <c r="CT187" s="101"/>
      <c r="CU187" s="101"/>
      <c r="CV187" s="101"/>
      <c r="CW187" s="101"/>
      <c r="CX187" s="101"/>
      <c r="CY187" s="101"/>
      <c r="CZ187" s="101"/>
      <c r="DA187" s="101"/>
      <c r="DB187" s="101"/>
      <c r="DC187" s="101"/>
      <c r="DD187" s="101"/>
      <c r="DE187" s="101"/>
      <c r="DF187" s="101"/>
      <c r="DG187" s="101"/>
      <c r="DH187" s="101"/>
      <c r="DI187" s="101"/>
      <c r="DJ187" s="101"/>
      <c r="DK187" s="101"/>
      <c r="DL187" s="101"/>
      <c r="DM187" s="101"/>
      <c r="DN187" s="101"/>
      <c r="DO187" s="101"/>
      <c r="DP187" s="101"/>
      <c r="DQ187" s="101"/>
      <c r="DR187" s="101"/>
      <c r="DS187" s="101"/>
      <c r="DT187" s="101"/>
      <c r="DU187" s="101"/>
      <c r="DV187" s="101"/>
      <c r="DW187" s="101"/>
      <c r="DX187" s="101"/>
      <c r="DY187" s="101"/>
      <c r="DZ187" s="101"/>
      <c r="EA187" s="101"/>
      <c r="EB187" s="101"/>
      <c r="EC187" s="101"/>
      <c r="ED187" s="101"/>
      <c r="EE187" s="101"/>
      <c r="EF187" s="101"/>
      <c r="EG187" s="101"/>
      <c r="EH187" s="101"/>
      <c r="EI187" s="101"/>
      <c r="EJ187" s="101"/>
      <c r="EK187" s="101"/>
      <c r="EL187" s="101"/>
      <c r="EM187" s="101"/>
      <c r="EN187" s="101"/>
      <c r="EO187" s="101"/>
      <c r="EP187" s="101"/>
      <c r="EQ187" s="101"/>
      <c r="ER187" s="101"/>
      <c r="ES187" s="101"/>
      <c r="ET187" s="101"/>
      <c r="EU187" s="101"/>
      <c r="EV187" s="101"/>
      <c r="EW187" s="101"/>
      <c r="EX187" s="101"/>
      <c r="EY187" s="101"/>
      <c r="EZ187" s="101"/>
      <c r="FA187" s="101"/>
      <c r="FB187" s="101"/>
      <c r="FC187" s="101"/>
      <c r="FD187" s="101"/>
      <c r="FE187" s="101"/>
      <c r="FF187" s="101"/>
      <c r="FG187" s="101"/>
      <c r="FH187" s="101"/>
      <c r="FI187" s="101"/>
      <c r="FJ187" s="101"/>
      <c r="FK187" s="101"/>
      <c r="FL187" s="101"/>
      <c r="FM187" s="101"/>
      <c r="FN187" s="101"/>
      <c r="FO187" s="101"/>
      <c r="FP187" s="101"/>
      <c r="FQ187" s="101"/>
      <c r="FR187" s="101"/>
      <c r="FS187" s="101"/>
      <c r="FT187" s="101"/>
      <c r="FU187" s="101"/>
      <c r="FV187" s="101"/>
      <c r="FW187" s="101"/>
      <c r="FX187" s="101"/>
      <c r="FY187" s="101"/>
      <c r="FZ187" s="101"/>
      <c r="GA187" s="101"/>
      <c r="GB187" s="101"/>
      <c r="GC187" s="101"/>
      <c r="GD187" s="101"/>
      <c r="GE187" s="101"/>
      <c r="GF187" s="101"/>
      <c r="GG187" s="101"/>
      <c r="GH187" s="101"/>
      <c r="GI187" s="101"/>
      <c r="GJ187" s="101"/>
      <c r="GK187" s="101"/>
      <c r="GL187" s="101"/>
      <c r="GM187" s="101"/>
      <c r="GN187" s="101"/>
      <c r="GO187" s="101"/>
      <c r="GP187" s="101"/>
      <c r="GQ187" s="101"/>
      <c r="GR187" s="101"/>
      <c r="GS187" s="101"/>
      <c r="GT187" s="101"/>
      <c r="GU187" s="101"/>
      <c r="GV187" s="101"/>
      <c r="GW187" s="101"/>
      <c r="GX187" s="101"/>
      <c r="GY187" s="101"/>
      <c r="GZ187" s="101"/>
      <c r="HA187" s="101"/>
      <c r="HB187" s="101"/>
      <c r="HC187" s="101"/>
      <c r="HD187" s="101"/>
      <c r="HE187" s="101"/>
      <c r="HF187" s="101"/>
      <c r="HG187" s="101"/>
      <c r="HH187" s="101"/>
      <c r="HI187" s="101"/>
      <c r="HJ187" s="101"/>
      <c r="HK187" s="101"/>
      <c r="HL187" s="101"/>
      <c r="HM187" s="101"/>
      <c r="HN187" s="101"/>
      <c r="HO187" s="101"/>
      <c r="HP187" s="101"/>
      <c r="HQ187" s="101"/>
      <c r="HR187" s="101"/>
      <c r="HS187" s="101"/>
      <c r="HT187" s="101"/>
      <c r="HU187" s="101"/>
      <c r="HV187" s="101"/>
      <c r="HW187" s="101"/>
      <c r="HX187" s="101"/>
      <c r="HY187" s="101"/>
      <c r="HZ187" s="101"/>
      <c r="IA187" s="101"/>
      <c r="IB187" s="101"/>
      <c r="IC187" s="101"/>
      <c r="ID187" s="101"/>
      <c r="IE187" s="101"/>
      <c r="IF187" s="101"/>
      <c r="IG187" s="101"/>
      <c r="IH187" s="101"/>
      <c r="II187" s="101"/>
      <c r="IJ187" s="101"/>
      <c r="IK187" s="101"/>
      <c r="IL187" s="101"/>
      <c r="IM187" s="101"/>
      <c r="IN187" s="101"/>
      <c r="IO187" s="101"/>
      <c r="IP187" s="101"/>
      <c r="IQ187" s="101"/>
      <c r="IR187" s="101"/>
      <c r="IS187" s="101"/>
      <c r="IT187" s="101"/>
    </row>
    <row r="188" spans="1:254">
      <c r="A188" s="101"/>
      <c r="B188" s="101"/>
      <c r="C188" s="101"/>
      <c r="D188" s="101"/>
      <c r="F188" s="7"/>
      <c r="G188" s="7"/>
      <c r="H188" s="7"/>
      <c r="I188" s="7"/>
      <c r="J188" s="7"/>
      <c r="K188" s="7"/>
      <c r="L188" s="7"/>
      <c r="M188" s="52"/>
      <c r="N188" s="52"/>
      <c r="O188" s="7"/>
      <c r="P188" s="52"/>
      <c r="Q188" s="52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  <c r="AJ188" s="101"/>
      <c r="AK188" s="101"/>
      <c r="AL188" s="101"/>
      <c r="AM188" s="101"/>
      <c r="AN188" s="101"/>
      <c r="AO188" s="101"/>
      <c r="AP188" s="101"/>
      <c r="AQ188" s="101"/>
      <c r="AR188" s="101"/>
      <c r="AS188" s="101"/>
      <c r="AT188" s="101"/>
      <c r="AU188" s="101"/>
      <c r="AV188" s="101"/>
      <c r="AW188" s="101"/>
      <c r="AX188" s="101"/>
      <c r="AY188" s="101"/>
      <c r="AZ188" s="101"/>
      <c r="BA188" s="101"/>
      <c r="BB188" s="101"/>
      <c r="BC188" s="101"/>
      <c r="BD188" s="101"/>
      <c r="BE188" s="101"/>
      <c r="BF188" s="101"/>
      <c r="BG188" s="101"/>
      <c r="BH188" s="101"/>
      <c r="BI188" s="101"/>
      <c r="BJ188" s="101"/>
      <c r="BK188" s="101"/>
      <c r="BL188" s="101"/>
      <c r="BM188" s="101"/>
      <c r="BN188" s="101"/>
      <c r="BO188" s="101"/>
      <c r="BP188" s="101"/>
      <c r="BQ188" s="101"/>
      <c r="BR188" s="101"/>
      <c r="BS188" s="101"/>
      <c r="BT188" s="101"/>
      <c r="BU188" s="101"/>
      <c r="BV188" s="101"/>
      <c r="BW188" s="101"/>
      <c r="BX188" s="101"/>
      <c r="BY188" s="101"/>
      <c r="BZ188" s="101"/>
      <c r="CA188" s="101"/>
      <c r="CB188" s="101"/>
      <c r="CC188" s="101"/>
      <c r="CD188" s="101"/>
      <c r="CE188" s="101"/>
      <c r="CF188" s="101"/>
      <c r="CG188" s="101"/>
      <c r="CH188" s="101"/>
      <c r="CI188" s="101"/>
      <c r="CJ188" s="101"/>
      <c r="CK188" s="101"/>
      <c r="CL188" s="101"/>
      <c r="CM188" s="101"/>
      <c r="CN188" s="101"/>
      <c r="CO188" s="101"/>
      <c r="CP188" s="101"/>
      <c r="CQ188" s="101"/>
      <c r="CR188" s="101"/>
      <c r="CS188" s="101"/>
      <c r="CT188" s="101"/>
      <c r="CU188" s="101"/>
      <c r="CV188" s="101"/>
      <c r="CW188" s="101"/>
      <c r="CX188" s="101"/>
      <c r="CY188" s="101"/>
      <c r="CZ188" s="101"/>
      <c r="DA188" s="101"/>
      <c r="DB188" s="101"/>
      <c r="DC188" s="101"/>
      <c r="DD188" s="101"/>
      <c r="DE188" s="101"/>
      <c r="DF188" s="101"/>
      <c r="DG188" s="101"/>
      <c r="DH188" s="101"/>
      <c r="DI188" s="101"/>
      <c r="DJ188" s="101"/>
      <c r="DK188" s="101"/>
      <c r="DL188" s="101"/>
      <c r="DM188" s="101"/>
      <c r="DN188" s="101"/>
      <c r="DO188" s="101"/>
      <c r="DP188" s="101"/>
      <c r="DQ188" s="101"/>
      <c r="DR188" s="101"/>
      <c r="DS188" s="101"/>
      <c r="DT188" s="101"/>
      <c r="DU188" s="101"/>
      <c r="DV188" s="101"/>
      <c r="DW188" s="101"/>
      <c r="DX188" s="101"/>
      <c r="DY188" s="101"/>
      <c r="DZ188" s="101"/>
      <c r="EA188" s="101"/>
      <c r="EB188" s="101"/>
      <c r="EC188" s="101"/>
      <c r="ED188" s="101"/>
      <c r="EE188" s="101"/>
      <c r="EF188" s="101"/>
      <c r="EG188" s="101"/>
      <c r="EH188" s="101"/>
      <c r="EI188" s="101"/>
      <c r="EJ188" s="101"/>
      <c r="EK188" s="101"/>
      <c r="EL188" s="101"/>
      <c r="EM188" s="101"/>
      <c r="EN188" s="101"/>
      <c r="EO188" s="101"/>
      <c r="EP188" s="101"/>
      <c r="EQ188" s="101"/>
      <c r="ER188" s="101"/>
      <c r="ES188" s="101"/>
      <c r="ET188" s="101"/>
      <c r="EU188" s="101"/>
      <c r="EV188" s="101"/>
      <c r="EW188" s="101"/>
      <c r="EX188" s="101"/>
      <c r="EY188" s="101"/>
      <c r="EZ188" s="101"/>
      <c r="FA188" s="101"/>
      <c r="FB188" s="101"/>
      <c r="FC188" s="101"/>
      <c r="FD188" s="101"/>
      <c r="FE188" s="101"/>
      <c r="FF188" s="101"/>
      <c r="FG188" s="101"/>
      <c r="FH188" s="101"/>
      <c r="FI188" s="101"/>
      <c r="FJ188" s="101"/>
      <c r="FK188" s="101"/>
      <c r="FL188" s="101"/>
      <c r="FM188" s="101"/>
      <c r="FN188" s="101"/>
      <c r="FO188" s="101"/>
      <c r="FP188" s="101"/>
      <c r="FQ188" s="101"/>
      <c r="FR188" s="101"/>
      <c r="FS188" s="101"/>
      <c r="FT188" s="101"/>
      <c r="FU188" s="101"/>
      <c r="FV188" s="101"/>
      <c r="FW188" s="101"/>
      <c r="FX188" s="101"/>
      <c r="FY188" s="101"/>
      <c r="FZ188" s="101"/>
      <c r="GA188" s="101"/>
      <c r="GB188" s="101"/>
      <c r="GC188" s="101"/>
      <c r="GD188" s="101"/>
      <c r="GE188" s="101"/>
      <c r="GF188" s="101"/>
      <c r="GG188" s="101"/>
      <c r="GH188" s="101"/>
      <c r="GI188" s="101"/>
      <c r="GJ188" s="101"/>
      <c r="GK188" s="101"/>
      <c r="GL188" s="101"/>
      <c r="GM188" s="101"/>
      <c r="GN188" s="101"/>
      <c r="GO188" s="101"/>
      <c r="GP188" s="101"/>
      <c r="GQ188" s="101"/>
      <c r="GR188" s="101"/>
      <c r="GS188" s="101"/>
      <c r="GT188" s="101"/>
      <c r="GU188" s="101"/>
      <c r="GV188" s="101"/>
      <c r="GW188" s="101"/>
      <c r="GX188" s="101"/>
      <c r="GY188" s="101"/>
      <c r="GZ188" s="101"/>
      <c r="HA188" s="101"/>
      <c r="HB188" s="101"/>
      <c r="HC188" s="101"/>
      <c r="HD188" s="101"/>
      <c r="HE188" s="101"/>
      <c r="HF188" s="101"/>
      <c r="HG188" s="101"/>
      <c r="HH188" s="101"/>
      <c r="HI188" s="101"/>
      <c r="HJ188" s="101"/>
      <c r="HK188" s="101"/>
      <c r="HL188" s="101"/>
      <c r="HM188" s="101"/>
      <c r="HN188" s="101"/>
      <c r="HO188" s="101"/>
      <c r="HP188" s="101"/>
      <c r="HQ188" s="101"/>
      <c r="HR188" s="101"/>
      <c r="HS188" s="101"/>
      <c r="HT188" s="101"/>
      <c r="HU188" s="101"/>
      <c r="HV188" s="101"/>
      <c r="HW188" s="101"/>
      <c r="HX188" s="101"/>
      <c r="HY188" s="101"/>
      <c r="HZ188" s="101"/>
      <c r="IA188" s="101"/>
      <c r="IB188" s="101"/>
      <c r="IC188" s="101"/>
      <c r="ID188" s="101"/>
      <c r="IE188" s="101"/>
      <c r="IF188" s="101"/>
      <c r="IG188" s="101"/>
      <c r="IH188" s="101"/>
      <c r="II188" s="101"/>
      <c r="IJ188" s="101"/>
      <c r="IK188" s="101"/>
      <c r="IL188" s="101"/>
      <c r="IM188" s="101"/>
      <c r="IN188" s="101"/>
      <c r="IO188" s="101"/>
      <c r="IP188" s="101"/>
      <c r="IQ188" s="101"/>
      <c r="IR188" s="101"/>
      <c r="IS188" s="101"/>
      <c r="IT188" s="101"/>
    </row>
    <row r="189" spans="1:254">
      <c r="A189" s="101"/>
      <c r="B189" s="101"/>
      <c r="C189" s="101"/>
      <c r="D189" s="101"/>
      <c r="F189" s="7"/>
      <c r="G189" s="7"/>
      <c r="H189" s="7"/>
      <c r="I189" s="7"/>
      <c r="J189" s="7"/>
      <c r="K189" s="7"/>
      <c r="L189" s="7"/>
      <c r="M189" s="52"/>
      <c r="N189" s="52"/>
      <c r="O189" s="7"/>
      <c r="P189" s="52"/>
      <c r="Q189" s="52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  <c r="AJ189" s="101"/>
      <c r="AK189" s="101"/>
      <c r="AL189" s="101"/>
      <c r="AM189" s="101"/>
      <c r="AN189" s="101"/>
      <c r="AO189" s="101"/>
      <c r="AP189" s="101"/>
      <c r="AQ189" s="101"/>
      <c r="AR189" s="101"/>
      <c r="AS189" s="101"/>
      <c r="AT189" s="101"/>
      <c r="AU189" s="101"/>
      <c r="AV189" s="101"/>
      <c r="AW189" s="101"/>
      <c r="AX189" s="101"/>
      <c r="AY189" s="101"/>
      <c r="AZ189" s="101"/>
      <c r="BA189" s="101"/>
      <c r="BB189" s="101"/>
      <c r="BC189" s="101"/>
      <c r="BD189" s="101"/>
      <c r="BE189" s="101"/>
      <c r="BF189" s="101"/>
      <c r="BG189" s="101"/>
      <c r="BH189" s="101"/>
      <c r="BI189" s="101"/>
      <c r="BJ189" s="101"/>
      <c r="BK189" s="101"/>
      <c r="BL189" s="101"/>
      <c r="BM189" s="101"/>
      <c r="BN189" s="101"/>
      <c r="BO189" s="101"/>
      <c r="BP189" s="101"/>
      <c r="BQ189" s="101"/>
      <c r="BR189" s="101"/>
      <c r="BS189" s="101"/>
      <c r="BT189" s="101"/>
      <c r="BU189" s="101"/>
      <c r="BV189" s="101"/>
      <c r="BW189" s="101"/>
      <c r="BX189" s="101"/>
      <c r="BY189" s="101"/>
      <c r="BZ189" s="101"/>
      <c r="CA189" s="101"/>
      <c r="CB189" s="101"/>
      <c r="CC189" s="101"/>
      <c r="CD189" s="101"/>
      <c r="CE189" s="101"/>
      <c r="CF189" s="101"/>
      <c r="CG189" s="101"/>
      <c r="CH189" s="101"/>
      <c r="CI189" s="101"/>
      <c r="CJ189" s="101"/>
      <c r="CK189" s="101"/>
      <c r="CL189" s="101"/>
      <c r="CM189" s="101"/>
      <c r="CN189" s="101"/>
      <c r="CO189" s="101"/>
      <c r="CP189" s="101"/>
      <c r="CQ189" s="101"/>
      <c r="CR189" s="101"/>
      <c r="CS189" s="101"/>
      <c r="CT189" s="101"/>
      <c r="CU189" s="101"/>
      <c r="CV189" s="101"/>
      <c r="CW189" s="101"/>
      <c r="CX189" s="101"/>
      <c r="CY189" s="101"/>
      <c r="CZ189" s="101"/>
      <c r="DA189" s="101"/>
      <c r="DB189" s="101"/>
      <c r="DC189" s="101"/>
      <c r="DD189" s="101"/>
      <c r="DE189" s="101"/>
      <c r="DF189" s="101"/>
      <c r="DG189" s="101"/>
      <c r="DH189" s="101"/>
      <c r="DI189" s="101"/>
      <c r="DJ189" s="101"/>
      <c r="DK189" s="101"/>
      <c r="DL189" s="101"/>
      <c r="DM189" s="101"/>
      <c r="DN189" s="101"/>
      <c r="DO189" s="101"/>
      <c r="DP189" s="101"/>
      <c r="DQ189" s="101"/>
      <c r="DR189" s="101"/>
      <c r="DS189" s="101"/>
      <c r="DT189" s="101"/>
      <c r="DU189" s="101"/>
      <c r="DV189" s="101"/>
      <c r="DW189" s="101"/>
      <c r="DX189" s="101"/>
      <c r="DY189" s="101"/>
      <c r="DZ189" s="101"/>
      <c r="EA189" s="101"/>
      <c r="EB189" s="101"/>
      <c r="EC189" s="101"/>
      <c r="ED189" s="101"/>
      <c r="EE189" s="101"/>
      <c r="EF189" s="101"/>
      <c r="EG189" s="101"/>
      <c r="EH189" s="101"/>
      <c r="EI189" s="101"/>
      <c r="EJ189" s="101"/>
      <c r="EK189" s="101"/>
      <c r="EL189" s="101"/>
      <c r="EM189" s="101"/>
      <c r="EN189" s="101"/>
      <c r="EO189" s="101"/>
      <c r="EP189" s="101"/>
      <c r="EQ189" s="101"/>
      <c r="ER189" s="101"/>
      <c r="ES189" s="101"/>
      <c r="ET189" s="101"/>
      <c r="EU189" s="101"/>
      <c r="EV189" s="101"/>
      <c r="EW189" s="101"/>
      <c r="EX189" s="101"/>
      <c r="EY189" s="101"/>
      <c r="EZ189" s="101"/>
      <c r="FA189" s="101"/>
      <c r="FB189" s="101"/>
      <c r="FC189" s="101"/>
      <c r="FD189" s="101"/>
      <c r="FE189" s="101"/>
      <c r="FF189" s="101"/>
      <c r="FG189" s="101"/>
      <c r="FH189" s="101"/>
      <c r="FI189" s="101"/>
      <c r="FJ189" s="101"/>
      <c r="FK189" s="101"/>
      <c r="FL189" s="101"/>
      <c r="FM189" s="101"/>
      <c r="FN189" s="101"/>
      <c r="FO189" s="101"/>
      <c r="FP189" s="101"/>
      <c r="FQ189" s="101"/>
      <c r="FR189" s="101"/>
      <c r="FS189" s="101"/>
      <c r="FT189" s="101"/>
      <c r="FU189" s="101"/>
      <c r="FV189" s="101"/>
      <c r="FW189" s="101"/>
      <c r="FX189" s="101"/>
      <c r="FY189" s="101"/>
      <c r="FZ189" s="101"/>
      <c r="GA189" s="101"/>
      <c r="GB189" s="101"/>
      <c r="GC189" s="101"/>
      <c r="GD189" s="101"/>
      <c r="GE189" s="101"/>
      <c r="GF189" s="101"/>
      <c r="GG189" s="101"/>
      <c r="GH189" s="101"/>
      <c r="GI189" s="101"/>
      <c r="GJ189" s="101"/>
      <c r="GK189" s="101"/>
      <c r="GL189" s="101"/>
      <c r="GM189" s="101"/>
      <c r="GN189" s="101"/>
      <c r="GO189" s="101"/>
      <c r="GP189" s="101"/>
      <c r="GQ189" s="101"/>
      <c r="GR189" s="101"/>
      <c r="GS189" s="101"/>
      <c r="GT189" s="101"/>
      <c r="GU189" s="101"/>
      <c r="GV189" s="101"/>
      <c r="GW189" s="101"/>
      <c r="GX189" s="101"/>
      <c r="GY189" s="101"/>
      <c r="GZ189" s="101"/>
      <c r="HA189" s="101"/>
      <c r="HB189" s="101"/>
      <c r="HC189" s="101"/>
      <c r="HD189" s="101"/>
      <c r="HE189" s="101"/>
      <c r="HF189" s="101"/>
      <c r="HG189" s="101"/>
      <c r="HH189" s="101"/>
      <c r="HI189" s="101"/>
      <c r="HJ189" s="101"/>
      <c r="HK189" s="101"/>
      <c r="HL189" s="101"/>
      <c r="HM189" s="101"/>
      <c r="HN189" s="101"/>
      <c r="HO189" s="101"/>
      <c r="HP189" s="101"/>
      <c r="HQ189" s="101"/>
      <c r="HR189" s="101"/>
      <c r="HS189" s="101"/>
      <c r="HT189" s="101"/>
      <c r="HU189" s="101"/>
      <c r="HV189" s="101"/>
      <c r="HW189" s="101"/>
      <c r="HX189" s="101"/>
      <c r="HY189" s="101"/>
      <c r="HZ189" s="101"/>
      <c r="IA189" s="101"/>
      <c r="IB189" s="101"/>
      <c r="IC189" s="101"/>
      <c r="ID189" s="101"/>
      <c r="IE189" s="101"/>
      <c r="IF189" s="101"/>
      <c r="IG189" s="101"/>
      <c r="IH189" s="101"/>
      <c r="II189" s="101"/>
      <c r="IJ189" s="101"/>
      <c r="IK189" s="101"/>
      <c r="IL189" s="101"/>
      <c r="IM189" s="101"/>
      <c r="IN189" s="101"/>
      <c r="IO189" s="101"/>
      <c r="IP189" s="101"/>
      <c r="IQ189" s="101"/>
      <c r="IR189" s="101"/>
      <c r="IS189" s="101"/>
      <c r="IT189" s="101"/>
    </row>
    <row r="190" spans="1:254">
      <c r="A190" s="101"/>
      <c r="B190" s="101"/>
      <c r="C190" s="101"/>
      <c r="D190" s="101"/>
      <c r="F190" s="7"/>
      <c r="G190" s="7"/>
      <c r="H190" s="7"/>
      <c r="I190" s="7"/>
      <c r="J190" s="7"/>
      <c r="K190" s="7"/>
      <c r="L190" s="7"/>
      <c r="M190" s="52"/>
      <c r="N190" s="52"/>
      <c r="O190" s="7"/>
      <c r="P190" s="52"/>
      <c r="Q190" s="52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  <c r="AJ190" s="101"/>
      <c r="AK190" s="101"/>
      <c r="AL190" s="101"/>
      <c r="AM190" s="101"/>
      <c r="AN190" s="101"/>
      <c r="AO190" s="101"/>
      <c r="AP190" s="101"/>
      <c r="AQ190" s="101"/>
      <c r="AR190" s="101"/>
      <c r="AS190" s="101"/>
      <c r="AT190" s="101"/>
      <c r="AU190" s="101"/>
      <c r="AV190" s="101"/>
      <c r="AW190" s="101"/>
      <c r="AX190" s="101"/>
      <c r="AY190" s="101"/>
      <c r="AZ190" s="101"/>
      <c r="BA190" s="101"/>
      <c r="BB190" s="101"/>
      <c r="BC190" s="101"/>
      <c r="BD190" s="101"/>
      <c r="BE190" s="101"/>
      <c r="BF190" s="101"/>
      <c r="BG190" s="101"/>
      <c r="BH190" s="101"/>
      <c r="BI190" s="101"/>
      <c r="BJ190" s="101"/>
      <c r="BK190" s="101"/>
      <c r="BL190" s="101"/>
      <c r="BM190" s="101"/>
      <c r="BN190" s="101"/>
      <c r="BO190" s="101"/>
      <c r="BP190" s="101"/>
      <c r="BQ190" s="101"/>
      <c r="BR190" s="101"/>
      <c r="BS190" s="101"/>
      <c r="BT190" s="101"/>
      <c r="BU190" s="101"/>
      <c r="BV190" s="101"/>
      <c r="BW190" s="101"/>
      <c r="BX190" s="101"/>
      <c r="BY190" s="101"/>
      <c r="BZ190" s="101"/>
      <c r="CA190" s="101"/>
      <c r="CB190" s="101"/>
      <c r="CC190" s="101"/>
      <c r="CD190" s="101"/>
      <c r="CE190" s="101"/>
      <c r="CF190" s="101"/>
      <c r="CG190" s="101"/>
      <c r="CH190" s="101"/>
      <c r="CI190" s="101"/>
      <c r="CJ190" s="101"/>
      <c r="CK190" s="101"/>
      <c r="CL190" s="101"/>
      <c r="CM190" s="101"/>
      <c r="CN190" s="101"/>
      <c r="CO190" s="101"/>
      <c r="CP190" s="101"/>
      <c r="CQ190" s="101"/>
      <c r="CR190" s="101"/>
      <c r="CS190" s="101"/>
      <c r="CT190" s="101"/>
      <c r="CU190" s="101"/>
      <c r="CV190" s="101"/>
      <c r="CW190" s="101"/>
      <c r="CX190" s="101"/>
      <c r="CY190" s="101"/>
      <c r="CZ190" s="101"/>
      <c r="DA190" s="101"/>
      <c r="DB190" s="101"/>
      <c r="DC190" s="101"/>
      <c r="DD190" s="101"/>
      <c r="DE190" s="101"/>
      <c r="DF190" s="101"/>
      <c r="DG190" s="101"/>
      <c r="DH190" s="101"/>
      <c r="DI190" s="101"/>
      <c r="DJ190" s="101"/>
      <c r="DK190" s="101"/>
      <c r="DL190" s="101"/>
      <c r="DM190" s="101"/>
      <c r="DN190" s="101"/>
      <c r="DO190" s="101"/>
      <c r="DP190" s="101"/>
      <c r="DQ190" s="101"/>
      <c r="DR190" s="101"/>
      <c r="DS190" s="101"/>
      <c r="DT190" s="101"/>
      <c r="DU190" s="101"/>
      <c r="DV190" s="101"/>
      <c r="DW190" s="101"/>
      <c r="DX190" s="101"/>
      <c r="DY190" s="101"/>
      <c r="DZ190" s="101"/>
      <c r="EA190" s="101"/>
      <c r="EB190" s="101"/>
      <c r="EC190" s="101"/>
      <c r="ED190" s="101"/>
      <c r="EE190" s="101"/>
      <c r="EF190" s="101"/>
      <c r="EG190" s="101"/>
      <c r="EH190" s="101"/>
      <c r="EI190" s="101"/>
      <c r="EJ190" s="101"/>
      <c r="EK190" s="101"/>
      <c r="EL190" s="101"/>
      <c r="EM190" s="101"/>
      <c r="EN190" s="101"/>
      <c r="EO190" s="101"/>
      <c r="EP190" s="101"/>
      <c r="EQ190" s="101"/>
      <c r="ER190" s="101"/>
      <c r="ES190" s="101"/>
      <c r="ET190" s="101"/>
      <c r="EU190" s="101"/>
      <c r="EV190" s="101"/>
      <c r="EW190" s="101"/>
      <c r="EX190" s="101"/>
      <c r="EY190" s="101"/>
      <c r="EZ190" s="101"/>
      <c r="FA190" s="101"/>
      <c r="FB190" s="101"/>
      <c r="FC190" s="101"/>
      <c r="FD190" s="101"/>
      <c r="FE190" s="101"/>
      <c r="FF190" s="101"/>
      <c r="FG190" s="101"/>
      <c r="FH190" s="101"/>
      <c r="FI190" s="101"/>
      <c r="FJ190" s="101"/>
      <c r="FK190" s="101"/>
      <c r="FL190" s="101"/>
      <c r="FM190" s="101"/>
      <c r="FN190" s="101"/>
      <c r="FO190" s="101"/>
      <c r="FP190" s="101"/>
      <c r="FQ190" s="101"/>
      <c r="FR190" s="101"/>
      <c r="FS190" s="101"/>
      <c r="FT190" s="101"/>
      <c r="FU190" s="101"/>
      <c r="FV190" s="101"/>
      <c r="FW190" s="101"/>
      <c r="FX190" s="101"/>
      <c r="FY190" s="101"/>
      <c r="FZ190" s="101"/>
      <c r="GA190" s="101"/>
      <c r="GB190" s="101"/>
      <c r="GC190" s="101"/>
      <c r="GD190" s="101"/>
      <c r="GE190" s="101"/>
      <c r="GF190" s="101"/>
      <c r="GG190" s="101"/>
      <c r="GH190" s="101"/>
      <c r="GI190" s="101"/>
      <c r="GJ190" s="101"/>
      <c r="GK190" s="101"/>
      <c r="GL190" s="101"/>
      <c r="GM190" s="101"/>
      <c r="GN190" s="101"/>
      <c r="GO190" s="101"/>
      <c r="GP190" s="101"/>
      <c r="GQ190" s="101"/>
      <c r="GR190" s="101"/>
      <c r="GS190" s="101"/>
      <c r="GT190" s="101"/>
      <c r="GU190" s="101"/>
      <c r="GV190" s="101"/>
      <c r="GW190" s="101"/>
      <c r="GX190" s="101"/>
      <c r="GY190" s="101"/>
      <c r="GZ190" s="101"/>
      <c r="HA190" s="101"/>
      <c r="HB190" s="101"/>
      <c r="HC190" s="101"/>
      <c r="HD190" s="101"/>
      <c r="HE190" s="101"/>
      <c r="HF190" s="101"/>
      <c r="HG190" s="101"/>
      <c r="HH190" s="101"/>
      <c r="HI190" s="101"/>
      <c r="HJ190" s="101"/>
      <c r="HK190" s="101"/>
      <c r="HL190" s="101"/>
      <c r="HM190" s="101"/>
      <c r="HN190" s="101"/>
      <c r="HO190" s="101"/>
      <c r="HP190" s="101"/>
      <c r="HQ190" s="101"/>
      <c r="HR190" s="101"/>
      <c r="HS190" s="101"/>
      <c r="HT190" s="101"/>
      <c r="HU190" s="101"/>
      <c r="HV190" s="101"/>
      <c r="HW190" s="101"/>
      <c r="HX190" s="101"/>
      <c r="HY190" s="101"/>
      <c r="HZ190" s="101"/>
      <c r="IA190" s="101"/>
      <c r="IB190" s="101"/>
      <c r="IC190" s="101"/>
      <c r="ID190" s="101"/>
      <c r="IE190" s="101"/>
      <c r="IF190" s="101"/>
      <c r="IG190" s="101"/>
      <c r="IH190" s="101"/>
      <c r="II190" s="101"/>
      <c r="IJ190" s="101"/>
      <c r="IK190" s="101"/>
      <c r="IL190" s="101"/>
      <c r="IM190" s="101"/>
      <c r="IN190" s="101"/>
      <c r="IO190" s="101"/>
      <c r="IP190" s="101"/>
      <c r="IQ190" s="101"/>
      <c r="IR190" s="101"/>
      <c r="IS190" s="101"/>
      <c r="IT190" s="101"/>
    </row>
    <row r="191" spans="1:254">
      <c r="A191" s="101"/>
      <c r="B191" s="101"/>
      <c r="C191" s="101"/>
      <c r="D191" s="101"/>
      <c r="F191" s="7"/>
      <c r="G191" s="7"/>
      <c r="H191" s="7"/>
      <c r="I191" s="7"/>
      <c r="J191" s="7"/>
      <c r="K191" s="7"/>
      <c r="L191" s="7"/>
      <c r="M191" s="52"/>
      <c r="N191" s="52"/>
      <c r="O191" s="7"/>
      <c r="P191" s="52"/>
      <c r="Q191" s="52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  <c r="AO191" s="101"/>
      <c r="AP191" s="101"/>
      <c r="AQ191" s="101"/>
      <c r="AR191" s="101"/>
      <c r="AS191" s="101"/>
      <c r="AT191" s="101"/>
      <c r="AU191" s="101"/>
      <c r="AV191" s="101"/>
      <c r="AW191" s="101"/>
      <c r="AX191" s="101"/>
      <c r="AY191" s="101"/>
      <c r="AZ191" s="101"/>
      <c r="BA191" s="101"/>
      <c r="BB191" s="101"/>
      <c r="BC191" s="101"/>
      <c r="BD191" s="101"/>
      <c r="BE191" s="101"/>
      <c r="BF191" s="101"/>
      <c r="BG191" s="101"/>
      <c r="BH191" s="101"/>
      <c r="BI191" s="101"/>
      <c r="BJ191" s="101"/>
      <c r="BK191" s="101"/>
      <c r="BL191" s="101"/>
      <c r="BM191" s="101"/>
      <c r="BN191" s="101"/>
      <c r="BO191" s="101"/>
      <c r="BP191" s="101"/>
      <c r="BQ191" s="101"/>
      <c r="BR191" s="101"/>
      <c r="BS191" s="101"/>
      <c r="BT191" s="101"/>
      <c r="BU191" s="101"/>
      <c r="BV191" s="101"/>
      <c r="BW191" s="101"/>
      <c r="BX191" s="101"/>
      <c r="BY191" s="101"/>
      <c r="BZ191" s="101"/>
      <c r="CA191" s="101"/>
      <c r="CB191" s="101"/>
      <c r="CC191" s="101"/>
      <c r="CD191" s="101"/>
      <c r="CE191" s="101"/>
      <c r="CF191" s="101"/>
      <c r="CG191" s="101"/>
      <c r="CH191" s="101"/>
      <c r="CI191" s="101"/>
      <c r="CJ191" s="101"/>
      <c r="CK191" s="101"/>
      <c r="CL191" s="101"/>
      <c r="CM191" s="101"/>
      <c r="CN191" s="101"/>
      <c r="CO191" s="101"/>
      <c r="CP191" s="101"/>
      <c r="CQ191" s="101"/>
      <c r="CR191" s="101"/>
      <c r="CS191" s="101"/>
      <c r="CT191" s="101"/>
      <c r="CU191" s="101"/>
      <c r="CV191" s="101"/>
      <c r="CW191" s="101"/>
      <c r="CX191" s="101"/>
      <c r="CY191" s="101"/>
      <c r="CZ191" s="101"/>
      <c r="DA191" s="101"/>
      <c r="DB191" s="101"/>
      <c r="DC191" s="101"/>
      <c r="DD191" s="101"/>
      <c r="DE191" s="101"/>
      <c r="DF191" s="101"/>
      <c r="DG191" s="101"/>
      <c r="DH191" s="101"/>
      <c r="DI191" s="101"/>
      <c r="DJ191" s="101"/>
      <c r="DK191" s="101"/>
      <c r="DL191" s="101"/>
      <c r="DM191" s="101"/>
      <c r="DN191" s="101"/>
      <c r="DO191" s="101"/>
      <c r="DP191" s="101"/>
      <c r="DQ191" s="101"/>
      <c r="DR191" s="101"/>
      <c r="DS191" s="101"/>
      <c r="DT191" s="101"/>
      <c r="DU191" s="101"/>
      <c r="DV191" s="101"/>
      <c r="DW191" s="101"/>
      <c r="DX191" s="101"/>
      <c r="DY191" s="101"/>
      <c r="DZ191" s="101"/>
      <c r="EA191" s="101"/>
      <c r="EB191" s="101"/>
      <c r="EC191" s="101"/>
      <c r="ED191" s="101"/>
      <c r="EE191" s="101"/>
      <c r="EF191" s="101"/>
      <c r="EG191" s="101"/>
      <c r="EH191" s="101"/>
      <c r="EI191" s="101"/>
      <c r="EJ191" s="101"/>
      <c r="EK191" s="101"/>
      <c r="EL191" s="101"/>
      <c r="EM191" s="101"/>
      <c r="EN191" s="101"/>
      <c r="EO191" s="101"/>
      <c r="EP191" s="101"/>
      <c r="EQ191" s="101"/>
      <c r="ER191" s="101"/>
      <c r="ES191" s="101"/>
      <c r="ET191" s="101"/>
      <c r="EU191" s="101"/>
      <c r="EV191" s="101"/>
      <c r="EW191" s="101"/>
      <c r="EX191" s="101"/>
      <c r="EY191" s="101"/>
      <c r="EZ191" s="101"/>
      <c r="FA191" s="101"/>
      <c r="FB191" s="101"/>
      <c r="FC191" s="101"/>
      <c r="FD191" s="101"/>
      <c r="FE191" s="101"/>
      <c r="FF191" s="101"/>
      <c r="FG191" s="101"/>
      <c r="FH191" s="101"/>
      <c r="FI191" s="101"/>
      <c r="FJ191" s="101"/>
      <c r="FK191" s="101"/>
      <c r="FL191" s="101"/>
      <c r="FM191" s="101"/>
      <c r="FN191" s="101"/>
      <c r="FO191" s="101"/>
      <c r="FP191" s="101"/>
      <c r="FQ191" s="101"/>
      <c r="FR191" s="101"/>
      <c r="FS191" s="101"/>
      <c r="FT191" s="101"/>
      <c r="FU191" s="101"/>
      <c r="FV191" s="101"/>
      <c r="FW191" s="101"/>
      <c r="FX191" s="101"/>
      <c r="FY191" s="101"/>
      <c r="FZ191" s="101"/>
      <c r="GA191" s="101"/>
      <c r="GB191" s="101"/>
      <c r="GC191" s="101"/>
      <c r="GD191" s="101"/>
      <c r="GE191" s="101"/>
      <c r="GF191" s="101"/>
      <c r="GG191" s="101"/>
      <c r="GH191" s="101"/>
      <c r="GI191" s="101"/>
      <c r="GJ191" s="101"/>
      <c r="GK191" s="101"/>
      <c r="GL191" s="101"/>
      <c r="GM191" s="101"/>
      <c r="GN191" s="101"/>
      <c r="GO191" s="101"/>
      <c r="GP191" s="101"/>
      <c r="GQ191" s="101"/>
      <c r="GR191" s="101"/>
      <c r="GS191" s="101"/>
      <c r="GT191" s="101"/>
      <c r="GU191" s="101"/>
      <c r="GV191" s="101"/>
      <c r="GW191" s="101"/>
      <c r="GX191" s="101"/>
      <c r="GY191" s="101"/>
      <c r="GZ191" s="101"/>
      <c r="HA191" s="101"/>
      <c r="HB191" s="101"/>
      <c r="HC191" s="101"/>
      <c r="HD191" s="101"/>
      <c r="HE191" s="101"/>
      <c r="HF191" s="101"/>
      <c r="HG191" s="101"/>
      <c r="HH191" s="101"/>
      <c r="HI191" s="101"/>
      <c r="HJ191" s="101"/>
      <c r="HK191" s="101"/>
      <c r="HL191" s="101"/>
      <c r="HM191" s="101"/>
      <c r="HN191" s="101"/>
      <c r="HO191" s="101"/>
      <c r="HP191" s="101"/>
      <c r="HQ191" s="101"/>
      <c r="HR191" s="101"/>
      <c r="HS191" s="101"/>
      <c r="HT191" s="101"/>
      <c r="HU191" s="101"/>
      <c r="HV191" s="101"/>
      <c r="HW191" s="101"/>
      <c r="HX191" s="101"/>
      <c r="HY191" s="101"/>
      <c r="HZ191" s="101"/>
      <c r="IA191" s="101"/>
      <c r="IB191" s="101"/>
      <c r="IC191" s="101"/>
      <c r="ID191" s="101"/>
      <c r="IE191" s="101"/>
      <c r="IF191" s="101"/>
      <c r="IG191" s="101"/>
      <c r="IH191" s="101"/>
      <c r="II191" s="101"/>
      <c r="IJ191" s="101"/>
      <c r="IK191" s="101"/>
      <c r="IL191" s="101"/>
      <c r="IM191" s="101"/>
      <c r="IN191" s="101"/>
      <c r="IO191" s="101"/>
      <c r="IP191" s="101"/>
      <c r="IQ191" s="101"/>
      <c r="IR191" s="101"/>
      <c r="IS191" s="101"/>
      <c r="IT191" s="101"/>
    </row>
    <row r="192" spans="1:254">
      <c r="A192" s="101"/>
      <c r="B192" s="101"/>
      <c r="C192" s="101"/>
      <c r="D192" s="101"/>
      <c r="F192" s="7"/>
      <c r="G192" s="7"/>
      <c r="H192" s="7"/>
      <c r="I192" s="7"/>
      <c r="J192" s="7"/>
      <c r="K192" s="7"/>
      <c r="L192" s="7"/>
      <c r="M192" s="52"/>
      <c r="N192" s="52"/>
      <c r="O192" s="7"/>
      <c r="P192" s="52"/>
      <c r="Q192" s="52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  <c r="AX192" s="101"/>
      <c r="AY192" s="101"/>
      <c r="AZ192" s="101"/>
      <c r="BA192" s="101"/>
      <c r="BB192" s="101"/>
      <c r="BC192" s="101"/>
      <c r="BD192" s="101"/>
      <c r="BE192" s="101"/>
      <c r="BF192" s="101"/>
      <c r="BG192" s="101"/>
      <c r="BH192" s="101"/>
      <c r="BI192" s="101"/>
      <c r="BJ192" s="101"/>
      <c r="BK192" s="101"/>
      <c r="BL192" s="101"/>
      <c r="BM192" s="101"/>
      <c r="BN192" s="101"/>
      <c r="BO192" s="101"/>
      <c r="BP192" s="101"/>
      <c r="BQ192" s="101"/>
      <c r="BR192" s="101"/>
      <c r="BS192" s="101"/>
      <c r="BT192" s="101"/>
      <c r="BU192" s="101"/>
      <c r="BV192" s="101"/>
      <c r="BW192" s="101"/>
      <c r="BX192" s="101"/>
      <c r="BY192" s="101"/>
      <c r="BZ192" s="101"/>
      <c r="CA192" s="101"/>
      <c r="CB192" s="101"/>
      <c r="CC192" s="101"/>
      <c r="CD192" s="101"/>
      <c r="CE192" s="101"/>
      <c r="CF192" s="101"/>
      <c r="CG192" s="101"/>
      <c r="CH192" s="101"/>
      <c r="CI192" s="101"/>
      <c r="CJ192" s="101"/>
      <c r="CK192" s="101"/>
      <c r="CL192" s="101"/>
      <c r="CM192" s="101"/>
      <c r="CN192" s="101"/>
      <c r="CO192" s="101"/>
      <c r="CP192" s="101"/>
      <c r="CQ192" s="101"/>
      <c r="CR192" s="101"/>
      <c r="CS192" s="101"/>
      <c r="CT192" s="101"/>
      <c r="CU192" s="101"/>
      <c r="CV192" s="101"/>
      <c r="CW192" s="101"/>
      <c r="CX192" s="101"/>
      <c r="CY192" s="101"/>
      <c r="CZ192" s="101"/>
      <c r="DA192" s="101"/>
      <c r="DB192" s="101"/>
      <c r="DC192" s="101"/>
      <c r="DD192" s="101"/>
      <c r="DE192" s="101"/>
      <c r="DF192" s="101"/>
      <c r="DG192" s="101"/>
      <c r="DH192" s="101"/>
      <c r="DI192" s="101"/>
      <c r="DJ192" s="101"/>
      <c r="DK192" s="101"/>
      <c r="DL192" s="101"/>
      <c r="DM192" s="101"/>
      <c r="DN192" s="101"/>
      <c r="DO192" s="101"/>
      <c r="DP192" s="101"/>
      <c r="DQ192" s="101"/>
      <c r="DR192" s="101"/>
      <c r="DS192" s="101"/>
      <c r="DT192" s="101"/>
      <c r="DU192" s="101"/>
      <c r="DV192" s="101"/>
      <c r="DW192" s="101"/>
      <c r="DX192" s="101"/>
      <c r="DY192" s="101"/>
      <c r="DZ192" s="101"/>
      <c r="EA192" s="101"/>
      <c r="EB192" s="101"/>
      <c r="EC192" s="101"/>
      <c r="ED192" s="101"/>
      <c r="EE192" s="101"/>
      <c r="EF192" s="101"/>
      <c r="EG192" s="101"/>
      <c r="EH192" s="101"/>
      <c r="EI192" s="101"/>
      <c r="EJ192" s="101"/>
      <c r="EK192" s="101"/>
      <c r="EL192" s="101"/>
      <c r="EM192" s="101"/>
      <c r="EN192" s="101"/>
      <c r="EO192" s="101"/>
      <c r="EP192" s="101"/>
      <c r="EQ192" s="101"/>
      <c r="ER192" s="101"/>
      <c r="ES192" s="101"/>
      <c r="ET192" s="101"/>
      <c r="EU192" s="101"/>
      <c r="EV192" s="101"/>
      <c r="EW192" s="101"/>
      <c r="EX192" s="101"/>
      <c r="EY192" s="101"/>
      <c r="EZ192" s="101"/>
      <c r="FA192" s="101"/>
      <c r="FB192" s="101"/>
      <c r="FC192" s="101"/>
      <c r="FD192" s="101"/>
      <c r="FE192" s="101"/>
      <c r="FF192" s="101"/>
      <c r="FG192" s="101"/>
      <c r="FH192" s="101"/>
      <c r="FI192" s="101"/>
      <c r="FJ192" s="101"/>
      <c r="FK192" s="101"/>
      <c r="FL192" s="101"/>
      <c r="FM192" s="101"/>
      <c r="FN192" s="101"/>
      <c r="FO192" s="101"/>
      <c r="FP192" s="101"/>
      <c r="FQ192" s="101"/>
      <c r="FR192" s="101"/>
      <c r="FS192" s="101"/>
      <c r="FT192" s="101"/>
      <c r="FU192" s="101"/>
      <c r="FV192" s="101"/>
      <c r="FW192" s="101"/>
      <c r="FX192" s="101"/>
      <c r="FY192" s="101"/>
      <c r="FZ192" s="101"/>
      <c r="GA192" s="101"/>
      <c r="GB192" s="101"/>
      <c r="GC192" s="101"/>
      <c r="GD192" s="101"/>
      <c r="GE192" s="101"/>
      <c r="GF192" s="101"/>
      <c r="GG192" s="101"/>
      <c r="GH192" s="101"/>
      <c r="GI192" s="101"/>
      <c r="GJ192" s="101"/>
      <c r="GK192" s="101"/>
      <c r="GL192" s="101"/>
      <c r="GM192" s="101"/>
      <c r="GN192" s="101"/>
      <c r="GO192" s="101"/>
      <c r="GP192" s="101"/>
      <c r="GQ192" s="101"/>
      <c r="GR192" s="101"/>
      <c r="GS192" s="101"/>
      <c r="GT192" s="101"/>
      <c r="GU192" s="101"/>
      <c r="GV192" s="101"/>
      <c r="GW192" s="101"/>
      <c r="GX192" s="101"/>
      <c r="GY192" s="101"/>
      <c r="GZ192" s="101"/>
      <c r="HA192" s="101"/>
      <c r="HB192" s="101"/>
      <c r="HC192" s="101"/>
      <c r="HD192" s="101"/>
      <c r="HE192" s="101"/>
      <c r="HF192" s="101"/>
      <c r="HG192" s="101"/>
      <c r="HH192" s="101"/>
      <c r="HI192" s="101"/>
      <c r="HJ192" s="101"/>
      <c r="HK192" s="101"/>
      <c r="HL192" s="101"/>
      <c r="HM192" s="101"/>
      <c r="HN192" s="101"/>
      <c r="HO192" s="101"/>
      <c r="HP192" s="101"/>
      <c r="HQ192" s="101"/>
      <c r="HR192" s="101"/>
      <c r="HS192" s="101"/>
      <c r="HT192" s="101"/>
      <c r="HU192" s="101"/>
      <c r="HV192" s="101"/>
      <c r="HW192" s="101"/>
      <c r="HX192" s="101"/>
      <c r="HY192" s="101"/>
      <c r="HZ192" s="101"/>
      <c r="IA192" s="101"/>
      <c r="IB192" s="101"/>
      <c r="IC192" s="101"/>
      <c r="ID192" s="101"/>
      <c r="IE192" s="101"/>
      <c r="IF192" s="101"/>
      <c r="IG192" s="101"/>
      <c r="IH192" s="101"/>
      <c r="II192" s="101"/>
      <c r="IJ192" s="101"/>
      <c r="IK192" s="101"/>
      <c r="IL192" s="101"/>
      <c r="IM192" s="101"/>
      <c r="IN192" s="101"/>
      <c r="IO192" s="101"/>
      <c r="IP192" s="101"/>
      <c r="IQ192" s="101"/>
      <c r="IR192" s="101"/>
      <c r="IS192" s="101"/>
      <c r="IT192" s="101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3"/>
  <sheetViews>
    <sheetView topLeftCell="A11" zoomScaleNormal="100" workbookViewId="0">
      <selection activeCell="C20" sqref="C20"/>
    </sheetView>
  </sheetViews>
  <sheetFormatPr defaultColWidth="9.81640625" defaultRowHeight="15.6"/>
  <cols>
    <col min="1" max="1" width="20.81640625" style="338" customWidth="1"/>
    <col min="2" max="16384" width="9.81640625" style="338"/>
  </cols>
  <sheetData>
    <row r="1" spans="1:23" ht="22.2">
      <c r="A1" s="336" t="s">
        <v>0</v>
      </c>
      <c r="B1" s="337"/>
      <c r="C1" s="337"/>
      <c r="D1" s="337"/>
    </row>
    <row r="2" spans="1:23">
      <c r="A2" s="339" t="s">
        <v>408</v>
      </c>
      <c r="B2" s="340"/>
      <c r="C2" s="341"/>
      <c r="D2" s="337"/>
    </row>
    <row r="3" spans="1:23" ht="12.75" customHeight="1">
      <c r="A3" s="342">
        <v>0</v>
      </c>
      <c r="B3" s="342"/>
      <c r="C3" s="343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</row>
    <row r="4" spans="1:23">
      <c r="A4" s="337"/>
      <c r="B4" s="337"/>
      <c r="C4" s="344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</row>
    <row r="5" spans="1:23">
      <c r="A5" s="337" t="s">
        <v>50</v>
      </c>
      <c r="C5" s="575">
        <f ca="1">'144A DEBT'!C5</f>
        <v>2000</v>
      </c>
      <c r="D5" s="575">
        <f ca="1">'144A DEBT'!D5</f>
        <v>2001</v>
      </c>
      <c r="E5" s="575">
        <f ca="1">'144A DEBT'!E5</f>
        <v>2002</v>
      </c>
      <c r="F5" s="575">
        <f ca="1">'144A DEBT'!F5</f>
        <v>2003</v>
      </c>
      <c r="G5" s="575">
        <f ca="1">'144A DEBT'!G5</f>
        <v>2004</v>
      </c>
      <c r="H5" s="575">
        <f ca="1">'144A DEBT'!H5</f>
        <v>2005</v>
      </c>
      <c r="I5" s="575">
        <f ca="1">'144A DEBT'!I5</f>
        <v>2006</v>
      </c>
      <c r="J5" s="575">
        <f ca="1">'144A DEBT'!J5</f>
        <v>2007</v>
      </c>
      <c r="K5" s="575">
        <f ca="1">'144A DEBT'!K5</f>
        <v>2008</v>
      </c>
      <c r="L5" s="575">
        <f ca="1">'144A DEBT'!L5</f>
        <v>2009</v>
      </c>
      <c r="M5" s="575">
        <f ca="1">'144A DEBT'!M5</f>
        <v>2010</v>
      </c>
      <c r="N5" s="575">
        <f ca="1">'144A DEBT'!N5</f>
        <v>2011</v>
      </c>
      <c r="O5" s="575">
        <f ca="1">'144A DEBT'!O5</f>
        <v>2012</v>
      </c>
      <c r="P5" s="575">
        <f ca="1">'144A DEBT'!P5</f>
        <v>2013</v>
      </c>
      <c r="Q5" s="575">
        <f ca="1">'144A DEBT'!Q5</f>
        <v>2014</v>
      </c>
      <c r="R5" s="575">
        <f ca="1">'144A DEBT'!R5</f>
        <v>2015</v>
      </c>
      <c r="S5" s="575">
        <f ca="1">'144A DEBT'!S5</f>
        <v>2016</v>
      </c>
      <c r="T5" s="575">
        <f ca="1">'144A DEBT'!T5</f>
        <v>2017</v>
      </c>
      <c r="U5" s="575">
        <f ca="1">'144A DEBT'!U5</f>
        <v>2018</v>
      </c>
      <c r="V5" s="575">
        <f ca="1">'144A DEBT'!V5</f>
        <v>2019</v>
      </c>
      <c r="W5" s="575">
        <v>2020</v>
      </c>
    </row>
    <row r="6" spans="1:23">
      <c r="A6" s="337" t="s">
        <v>392</v>
      </c>
      <c r="C6" s="575">
        <f ca="1">'144A DEBT'!C6</f>
        <v>1</v>
      </c>
      <c r="D6" s="575">
        <f ca="1">'144A DEBT'!D6</f>
        <v>2</v>
      </c>
      <c r="E6" s="575">
        <f ca="1">'144A DEBT'!E6</f>
        <v>3</v>
      </c>
      <c r="F6" s="575">
        <f ca="1">'144A DEBT'!F6</f>
        <v>4</v>
      </c>
      <c r="G6" s="575">
        <f ca="1">'144A DEBT'!G6</f>
        <v>5</v>
      </c>
      <c r="H6" s="575">
        <f ca="1">'144A DEBT'!H6</f>
        <v>6</v>
      </c>
      <c r="I6" s="575">
        <f ca="1">'144A DEBT'!I6</f>
        <v>7</v>
      </c>
      <c r="J6" s="575">
        <f ca="1">'144A DEBT'!J6</f>
        <v>8</v>
      </c>
      <c r="K6" s="575">
        <f ca="1">'144A DEBT'!K6</f>
        <v>9</v>
      </c>
      <c r="L6" s="575">
        <f ca="1">'144A DEBT'!L6</f>
        <v>10</v>
      </c>
      <c r="M6" s="575">
        <f ca="1">'144A DEBT'!M6</f>
        <v>11</v>
      </c>
      <c r="N6" s="575">
        <f ca="1">'144A DEBT'!N6</f>
        <v>12</v>
      </c>
      <c r="O6" s="575">
        <f ca="1">'144A DEBT'!O6</f>
        <v>13</v>
      </c>
      <c r="P6" s="575">
        <f ca="1">'144A DEBT'!P6</f>
        <v>14</v>
      </c>
      <c r="Q6" s="575">
        <f ca="1">'144A DEBT'!Q6</f>
        <v>15</v>
      </c>
      <c r="R6" s="575">
        <f ca="1">'144A DEBT'!R6</f>
        <v>16</v>
      </c>
      <c r="S6" s="575">
        <f ca="1">'144A DEBT'!S6</f>
        <v>17</v>
      </c>
      <c r="T6" s="575">
        <f ca="1">'144A DEBT'!T6</f>
        <v>18</v>
      </c>
      <c r="U6" s="575">
        <f ca="1">'144A DEBT'!U6</f>
        <v>19</v>
      </c>
      <c r="V6" s="575">
        <f ca="1">'144A DEBT'!V6</f>
        <v>20</v>
      </c>
      <c r="W6" s="575">
        <v>21</v>
      </c>
    </row>
    <row r="7" spans="1:23">
      <c r="A7" s="337" t="s">
        <v>409</v>
      </c>
      <c r="C7" s="576">
        <f ca="1">'144A DEBT'!C7</f>
        <v>7</v>
      </c>
      <c r="D7" s="576">
        <f ca="1">'144A DEBT'!D7</f>
        <v>12</v>
      </c>
      <c r="E7" s="576">
        <f ca="1">'144A DEBT'!E7</f>
        <v>12</v>
      </c>
      <c r="F7" s="576">
        <f ca="1">'144A DEBT'!F7</f>
        <v>12</v>
      </c>
      <c r="G7" s="576">
        <f ca="1">'144A DEBT'!G7</f>
        <v>12</v>
      </c>
      <c r="H7" s="576">
        <f ca="1">'144A DEBT'!H7</f>
        <v>12</v>
      </c>
      <c r="I7" s="576">
        <f ca="1">'144A DEBT'!I7</f>
        <v>12</v>
      </c>
      <c r="J7" s="576">
        <f ca="1">'144A DEBT'!J7</f>
        <v>12</v>
      </c>
      <c r="K7" s="576">
        <f ca="1">'144A DEBT'!K7</f>
        <v>12</v>
      </c>
      <c r="L7" s="576">
        <f ca="1">'144A DEBT'!L7</f>
        <v>12</v>
      </c>
      <c r="M7" s="576">
        <f ca="1">'144A DEBT'!M7</f>
        <v>12</v>
      </c>
      <c r="N7" s="576">
        <f ca="1">'144A DEBT'!N7</f>
        <v>12</v>
      </c>
      <c r="O7" s="576">
        <f ca="1">'144A DEBT'!O7</f>
        <v>12</v>
      </c>
      <c r="P7" s="576">
        <f ca="1">'144A DEBT'!P7</f>
        <v>12</v>
      </c>
      <c r="Q7" s="576">
        <f ca="1">'144A DEBT'!Q7</f>
        <v>12</v>
      </c>
      <c r="R7" s="576">
        <f ca="1">'144A DEBT'!R7</f>
        <v>12</v>
      </c>
      <c r="S7" s="576">
        <f ca="1">'144A DEBT'!S7</f>
        <v>12</v>
      </c>
      <c r="T7" s="576">
        <f ca="1">'144A DEBT'!T7</f>
        <v>12</v>
      </c>
      <c r="U7" s="576">
        <f ca="1">'144A DEBT'!U7</f>
        <v>12</v>
      </c>
      <c r="V7" s="576">
        <f ca="1">'144A DEBT'!V7</f>
        <v>12</v>
      </c>
      <c r="W7" s="576">
        <f ca="1">'144A DEBT'!W7</f>
        <v>0</v>
      </c>
    </row>
    <row r="8" spans="1:23">
      <c r="A8" s="337"/>
      <c r="B8" s="337"/>
      <c r="C8" s="337"/>
      <c r="D8" s="337"/>
    </row>
    <row r="9" spans="1:23">
      <c r="A9" s="339" t="s">
        <v>393</v>
      </c>
      <c r="B9" s="346"/>
      <c r="C9" s="347"/>
      <c r="D9" s="347"/>
      <c r="E9" s="348"/>
    </row>
    <row r="10" spans="1:23">
      <c r="A10" s="349" t="s">
        <v>30</v>
      </c>
      <c r="B10" s="345" t="s">
        <v>411</v>
      </c>
      <c r="C10" s="337">
        <f ca="1">ROUND(B11-SUM(C35:S35),0)</f>
        <v>26772</v>
      </c>
      <c r="D10" s="350" t="s">
        <v>330</v>
      </c>
      <c r="E10" s="348"/>
    </row>
    <row r="11" spans="1:23">
      <c r="A11" s="349" t="s">
        <v>394</v>
      </c>
      <c r="B11" s="351">
        <f>'ENA Assumptions'!B2</f>
        <v>118125</v>
      </c>
      <c r="C11" s="337" t="s">
        <v>395</v>
      </c>
      <c r="D11" s="337"/>
      <c r="E11" s="348"/>
    </row>
    <row r="12" spans="1:23">
      <c r="A12" s="349" t="s">
        <v>396</v>
      </c>
      <c r="B12" s="352">
        <f>'ENA Assumptions'!B3</f>
        <v>0.08</v>
      </c>
      <c r="C12" s="337" t="s">
        <v>76</v>
      </c>
      <c r="D12" s="337"/>
      <c r="E12" s="348"/>
    </row>
    <row r="13" spans="1:23">
      <c r="A13" s="349" t="s">
        <v>397</v>
      </c>
      <c r="B13" s="337">
        <f>'ENA Assumptions'!B4</f>
        <v>20</v>
      </c>
      <c r="C13" s="337" t="s">
        <v>398</v>
      </c>
      <c r="D13" s="337"/>
      <c r="E13" s="348"/>
    </row>
    <row r="14" spans="1:23">
      <c r="A14" s="349" t="s">
        <v>399</v>
      </c>
      <c r="B14" s="337" t="str">
        <f>IF('ASSUM 1'!N26=1,"Custom",IF('ASSUM 1'!S33=0,"Mortgage","Levelized"))</f>
        <v>Custom</v>
      </c>
      <c r="C14" s="337"/>
      <c r="D14" s="337"/>
      <c r="E14" s="348"/>
    </row>
    <row r="15" spans="1:23">
      <c r="A15" s="349" t="s">
        <v>400</v>
      </c>
      <c r="B15" s="353">
        <f>'ENA Assumptions'!B6</f>
        <v>1</v>
      </c>
      <c r="C15" s="337" t="s">
        <v>401</v>
      </c>
      <c r="D15" s="337"/>
      <c r="E15" s="348"/>
    </row>
    <row r="16" spans="1:23" ht="16.2" thickBot="1">
      <c r="A16" s="347"/>
      <c r="B16" s="354"/>
      <c r="C16" s="347"/>
      <c r="D16" s="347"/>
    </row>
    <row r="17" spans="1:24" ht="16.2" thickTop="1">
      <c r="A17" s="355" t="s">
        <v>26</v>
      </c>
      <c r="B17" s="356"/>
      <c r="C17" s="357"/>
      <c r="D17" s="357"/>
      <c r="E17" s="356"/>
      <c r="F17" s="356"/>
      <c r="G17" s="356"/>
      <c r="H17" s="356"/>
      <c r="I17" s="356"/>
      <c r="J17" s="356"/>
      <c r="K17" s="356"/>
      <c r="L17" s="356"/>
      <c r="M17" s="356"/>
      <c r="N17" s="356"/>
      <c r="O17" s="356"/>
      <c r="P17" s="356"/>
      <c r="Q17" s="356"/>
      <c r="R17" s="356"/>
      <c r="S17" s="356"/>
      <c r="T17" s="356"/>
      <c r="U17" s="356"/>
      <c r="V17" s="356"/>
      <c r="W17" s="356"/>
      <c r="X17" s="767"/>
    </row>
    <row r="18" spans="1:24">
      <c r="A18" s="359"/>
      <c r="C18" s="351"/>
      <c r="D18" s="351"/>
      <c r="X18" s="767"/>
    </row>
    <row r="19" spans="1:24">
      <c r="A19" s="359" t="s">
        <v>407</v>
      </c>
      <c r="C19" s="360">
        <f t="shared" ref="C19:S19" ca="1" si="0">IF(C$7&lt;12,0,B26+1)</f>
        <v>0</v>
      </c>
      <c r="D19" s="337">
        <f t="shared" ca="1" si="0"/>
        <v>1</v>
      </c>
      <c r="E19" s="337">
        <f t="shared" ca="1" si="0"/>
        <v>3</v>
      </c>
      <c r="F19" s="337">
        <f t="shared" ca="1" si="0"/>
        <v>5</v>
      </c>
      <c r="G19" s="337">
        <f t="shared" ca="1" si="0"/>
        <v>7</v>
      </c>
      <c r="H19" s="337">
        <f t="shared" ca="1" si="0"/>
        <v>9</v>
      </c>
      <c r="I19" s="337">
        <f t="shared" ca="1" si="0"/>
        <v>11</v>
      </c>
      <c r="J19" s="337">
        <f t="shared" ca="1" si="0"/>
        <v>13</v>
      </c>
      <c r="K19" s="337">
        <f t="shared" ca="1" si="0"/>
        <v>15</v>
      </c>
      <c r="L19" s="337">
        <f t="shared" ca="1" si="0"/>
        <v>17</v>
      </c>
      <c r="M19" s="337">
        <f t="shared" ca="1" si="0"/>
        <v>19</v>
      </c>
      <c r="N19" s="337">
        <f t="shared" ca="1" si="0"/>
        <v>21</v>
      </c>
      <c r="O19" s="337">
        <f t="shared" ca="1" si="0"/>
        <v>23</v>
      </c>
      <c r="P19" s="337">
        <f t="shared" ca="1" si="0"/>
        <v>25</v>
      </c>
      <c r="Q19" s="337">
        <f t="shared" ca="1" si="0"/>
        <v>27</v>
      </c>
      <c r="R19" s="337">
        <f t="shared" ca="1" si="0"/>
        <v>29</v>
      </c>
      <c r="S19" s="337">
        <f t="shared" ca="1" si="0"/>
        <v>31</v>
      </c>
      <c r="T19" s="337">
        <f ca="1">IF(T$7&lt;12,0,S26+1)</f>
        <v>33</v>
      </c>
      <c r="U19" s="337">
        <f ca="1">IF(U$7&lt;12,0,T26+1)</f>
        <v>35</v>
      </c>
      <c r="V19" s="337">
        <f ca="1">IF(V$7&lt;12,0,U26+1)</f>
        <v>37</v>
      </c>
      <c r="W19" s="337">
        <v>39</v>
      </c>
      <c r="X19" s="767"/>
    </row>
    <row r="20" spans="1:24">
      <c r="A20" s="359" t="s">
        <v>20</v>
      </c>
      <c r="C20" s="351">
        <f>B11</f>
        <v>118125</v>
      </c>
      <c r="D20" s="351">
        <f t="shared" ref="D20:S20" ca="1" si="1">C31</f>
        <v>118125</v>
      </c>
      <c r="E20" s="351">
        <f t="shared" ca="1" si="1"/>
        <v>116139.18709601989</v>
      </c>
      <c r="F20" s="351">
        <f t="shared" ca="1" si="1"/>
        <v>113919.29186216624</v>
      </c>
      <c r="G20" s="351">
        <f t="shared" ca="1" si="1"/>
        <v>111159.92158167947</v>
      </c>
      <c r="H20" s="351">
        <f t="shared" ca="1" si="1"/>
        <v>107862.97055031684</v>
      </c>
      <c r="I20" s="351">
        <f t="shared" ca="1" si="1"/>
        <v>104566.0195189542</v>
      </c>
      <c r="J20" s="351">
        <f t="shared" ca="1" si="1"/>
        <v>100056.57736831481</v>
      </c>
      <c r="K20" s="351">
        <f t="shared" ca="1" si="1"/>
        <v>95547.135217675401</v>
      </c>
      <c r="L20" s="351">
        <f t="shared" ca="1" si="1"/>
        <v>89633.161382558668</v>
      </c>
      <c r="M20" s="351">
        <f t="shared" ca="1" si="1"/>
        <v>83719.187547441936</v>
      </c>
      <c r="N20" s="351">
        <f t="shared" ca="1" si="1"/>
        <v>76240.861017735515</v>
      </c>
      <c r="O20" s="351">
        <f t="shared" ca="1" si="1"/>
        <v>68762.53448802908</v>
      </c>
      <c r="P20" s="351">
        <f t="shared" ca="1" si="1"/>
        <v>61084.40948802908</v>
      </c>
      <c r="Q20" s="351">
        <f t="shared" ca="1" si="1"/>
        <v>53406.28448802908</v>
      </c>
      <c r="R20" s="351">
        <f t="shared" ca="1" si="1"/>
        <v>44519.01724702007</v>
      </c>
      <c r="S20" s="351">
        <f t="shared" ca="1" si="1"/>
        <v>35631.750006011047</v>
      </c>
      <c r="T20" s="351">
        <f ca="1">S31</f>
        <v>26772.375006011047</v>
      </c>
      <c r="U20" s="351">
        <f ca="1">T31</f>
        <v>17913.000006011047</v>
      </c>
      <c r="V20" s="351">
        <f ca="1">U31</f>
        <v>12006.750006011047</v>
      </c>
      <c r="W20" s="351">
        <f ca="1">V31</f>
        <v>6100.5000060110469</v>
      </c>
      <c r="X20" s="767"/>
    </row>
    <row r="21" spans="1:24">
      <c r="A21" s="359" t="s">
        <v>402</v>
      </c>
      <c r="C21" s="351">
        <f ca="1">IF(C19&gt;=1,VLOOKUP(C5,'ASSUM 1'!$K$7:$N$23,4)*$C$20/2,0)</f>
        <v>0</v>
      </c>
      <c r="D21" s="768">
        <f ca="1">VLOOKUP(D5,'ENA Assumptions'!$A$11:$E$31,3)*VLOOKUP(D5,'ENA Assumptions'!$A$11:$E$31,5)*$C$20*IF(D19=0,0,1)</f>
        <v>595.74387119403627</v>
      </c>
      <c r="E21" s="768">
        <f ca="1">VLOOKUP(E5,'ENA Assumptions'!$A$11:$E$31,3)*VLOOKUP(E5,'ENA Assumptions'!$A$11:$E$31,5)*$C$20*IF(E19=0,0,1)</f>
        <v>665.9685701560926</v>
      </c>
      <c r="F21" s="768">
        <f ca="1">VLOOKUP(F5,'ENA Assumptions'!$A$11:$E$31,3)*VLOOKUP(F5,'ENA Assumptions'!$A$11:$E$31,5)*$C$20*IF(F19=0,0,1)</f>
        <v>827.81108414603057</v>
      </c>
      <c r="G21" s="768">
        <f ca="1">VLOOKUP(G5,'ENA Assumptions'!$A$11:$E$31,3)*VLOOKUP(G5,'ENA Assumptions'!$A$11:$E$31,5)*$C$20*IF(G19=0,0,1)</f>
        <v>989.08530940879223</v>
      </c>
      <c r="H21" s="768">
        <f ca="1">VLOOKUP(H5,'ENA Assumptions'!$A$11:$E$31,3)*VLOOKUP(H5,'ENA Assumptions'!$A$11:$E$31,5)*$C$20*IF(H19=0,0,1)</f>
        <v>989.08530940879223</v>
      </c>
      <c r="I21" s="768">
        <f ca="1">VLOOKUP(I5,'ENA Assumptions'!$A$11:$E$31,3)*VLOOKUP(I5,'ENA Assumptions'!$A$11:$E$31,5)*$C$20*IF(I19=0,0,1)</f>
        <v>1352.8326451918174</v>
      </c>
      <c r="J21" s="768">
        <f ca="1">VLOOKUP(J5,'ENA Assumptions'!$A$11:$E$31,3)*VLOOKUP(J5,'ENA Assumptions'!$A$11:$E$31,5)*$C$20*IF(J19=0,0,1)</f>
        <v>1352.8326451918213</v>
      </c>
      <c r="K21" s="768">
        <f ca="1">VLOOKUP(K5,'ENA Assumptions'!$A$11:$E$31,3)*VLOOKUP(K5,'ENA Assumptions'!$A$11:$E$31,5)*$C$20*IF(K19=0,0,1)</f>
        <v>1774.1921505350224</v>
      </c>
      <c r="L21" s="768">
        <f ca="1">VLOOKUP(L5,'ENA Assumptions'!$A$11:$E$31,3)*VLOOKUP(L5,'ENA Assumptions'!$A$11:$E$31,5)*$C$20*IF(L19=0,0,1)</f>
        <v>1774.1921505350224</v>
      </c>
      <c r="M21" s="768">
        <f ca="1">VLOOKUP(M5,'ENA Assumptions'!$A$11:$E$31,3)*VLOOKUP(M5,'ENA Assumptions'!$A$11:$E$31,5)*$C$20*IF(M19=0,0,1)</f>
        <v>2243.4979589119271</v>
      </c>
      <c r="N21" s="768">
        <f ca="1">VLOOKUP(N5,'ENA Assumptions'!$A$11:$E$31,3)*VLOOKUP(N5,'ENA Assumptions'!$A$11:$E$31,5)*$C$20*IF(N19=0,0,1)</f>
        <v>2243.4979589119312</v>
      </c>
      <c r="O21" s="768">
        <f ca="1">VLOOKUP(O5,'ENA Assumptions'!$A$11:$E$31,3)*VLOOKUP(O5,'ENA Assumptions'!$A$11:$E$31,5)*$C$20*IF(O19=0,0,1)</f>
        <v>2303.4375000000005</v>
      </c>
      <c r="P21" s="768">
        <f ca="1">VLOOKUP(P5,'ENA Assumptions'!$A$11:$E$31,3)*VLOOKUP(P5,'ENA Assumptions'!$A$11:$E$31,5)*$C$20*IF(P19=0,0,1)</f>
        <v>2303.4375000000005</v>
      </c>
      <c r="Q21" s="768">
        <f ca="1">VLOOKUP(Q5,'ENA Assumptions'!$A$11:$E$31,3)*VLOOKUP(Q5,'ENA Assumptions'!$A$11:$E$31,5)*$C$20*IF(Q19=0,0,1)</f>
        <v>2666.1801723027024</v>
      </c>
      <c r="R21" s="768">
        <f ca="1">VLOOKUP(R5,'ENA Assumptions'!$A$11:$E$31,3)*VLOOKUP(R5,'ENA Assumptions'!$A$11:$E$31,5)*$C$20*IF(R19=0,0,1)</f>
        <v>2666.180172302707</v>
      </c>
      <c r="S21" s="768">
        <f ca="1">VLOOKUP(S5,'ENA Assumptions'!$A$11:$E$31,3)*VLOOKUP(S5,'ENA Assumptions'!$A$11:$E$31,5)*$C$20*IF(S19=0,0,1)</f>
        <v>2657.8125000000005</v>
      </c>
      <c r="T21" s="768">
        <f ca="1">VLOOKUP(T5,'ENA Assumptions'!$A$11:$E$31,3)*VLOOKUP(T5,'ENA Assumptions'!$A$11:$E$31,5)*$C$20*IF(T19=0,0,1)</f>
        <v>2657.8125000000005</v>
      </c>
      <c r="U21" s="768">
        <f ca="1">VLOOKUP(U5,'ENA Assumptions'!$A$11:$E$31,3)*VLOOKUP(U5,'ENA Assumptions'!$A$11:$E$31,5)*$C$20*IF(U19=0,0,1)</f>
        <v>1771.8750000000005</v>
      </c>
      <c r="V21" s="768">
        <f ca="1">VLOOKUP(V5,'ENA Assumptions'!$A$11:$E$31,3)*VLOOKUP(V5,'ENA Assumptions'!$A$11:$E$31,5)*$C$20*IF(V19=0,0,1)</f>
        <v>1771.8750000000005</v>
      </c>
      <c r="W21" s="768">
        <f>VLOOKUP(W5,'ENA Assumptions'!$A$11:$E$31,3)*VLOOKUP(W5,'ENA Assumptions'!$A$11:$E$31,5)*$C$20*IF(W19=0,0,1)</f>
        <v>1828.5750000000003</v>
      </c>
      <c r="X21" s="767"/>
    </row>
    <row r="22" spans="1:24">
      <c r="A22" s="359" t="s">
        <v>403</v>
      </c>
      <c r="C22" s="351">
        <f ca="1">IF(OR(C7&lt;12,C19=0),0,+C20*'144A DEBT'!S42/2)</f>
        <v>0</v>
      </c>
      <c r="D22" s="351">
        <f ca="1">IF(OR(D7&lt;12,D19=0),0,+D20*'ASSUM 1'!$S$42/2)</f>
        <v>4725</v>
      </c>
      <c r="E22" s="351">
        <f ca="1">IF(OR(E7&lt;12,E19=0),0,+E20*'ASSUM 1'!$S$42/2)</f>
        <v>4645.5674838407958</v>
      </c>
      <c r="F22" s="351">
        <f ca="1">IF(OR(F7&lt;12,F19=0),0,+F20*'ASSUM 1'!$S$42/2)</f>
        <v>4556.7716744866493</v>
      </c>
      <c r="G22" s="351">
        <f ca="1">IF(OR(G7&lt;12,G19=0),0,+G20*'ASSUM 1'!$S$42/2)</f>
        <v>4446.3968632671795</v>
      </c>
      <c r="H22" s="351">
        <f ca="1">IF(OR(H7&lt;12,H19=0),0,+H20*'ASSUM 1'!$S$42/2)</f>
        <v>4314.5188220126738</v>
      </c>
      <c r="I22" s="351">
        <f ca="1">IF(OR(I7&lt;12,I19=0),0,+I20*'ASSUM 1'!$S$42/2)</f>
        <v>4182.6407807581681</v>
      </c>
      <c r="J22" s="351">
        <f ca="1">IF(OR(J7&lt;12,J19=0),0,+J20*'ASSUM 1'!$S$42/2)</f>
        <v>4002.2630947325929</v>
      </c>
      <c r="K22" s="351">
        <f ca="1">IF(OR(K7&lt;12,K19=0),0,+K20*'ASSUM 1'!$S$42/2)</f>
        <v>3821.8854087070163</v>
      </c>
      <c r="L22" s="351">
        <f ca="1">IF(OR(L7&lt;12,L19=0),0,+L20*'ASSUM 1'!$S$42/2)</f>
        <v>3585.3264553023469</v>
      </c>
      <c r="M22" s="351">
        <f ca="1">IF(OR(M7&lt;12,M19=0),0,+M20*'ASSUM 1'!$S$42/2)</f>
        <v>3348.7675018976774</v>
      </c>
      <c r="N22" s="351">
        <f ca="1">IF(OR(N7&lt;12,N19=0),0,+N20*'ASSUM 1'!$S$42/2)</f>
        <v>3049.6344407094207</v>
      </c>
      <c r="O22" s="351">
        <f ca="1">IF(OR(O7&lt;12,O19=0),0,+O20*'ASSUM 1'!$S$42/2)</f>
        <v>2750.501379521163</v>
      </c>
      <c r="P22" s="351">
        <f ca="1">IF(OR(P7&lt;12,P19=0),0,+P20*'ASSUM 1'!$S$42/2)</f>
        <v>2443.376379521163</v>
      </c>
      <c r="Q22" s="351">
        <f ca="1">IF(OR(Q7&lt;12,Q19=0),0,+Q20*'ASSUM 1'!$S$42/2)</f>
        <v>2136.251379521163</v>
      </c>
      <c r="R22" s="351">
        <f ca="1">IF(OR(R7&lt;12,R19=0),0,+R20*'ASSUM 1'!$S$42/2)</f>
        <v>1780.7606898808028</v>
      </c>
      <c r="S22" s="351">
        <f ca="1">IF(OR(S7&lt;12,S19=0),0,+S20*'ASSUM 1'!$S$42/2)</f>
        <v>1425.270000240442</v>
      </c>
      <c r="T22" s="351">
        <f ca="1">IF(OR(T7&lt;12,T19=0),0,+T20*'ASSUM 1'!$S$42/2)</f>
        <v>1070.895000240442</v>
      </c>
      <c r="U22" s="351">
        <f ca="1">IF(OR(U7&lt;12,U19=0),0,+U20*'ASSUM 1'!$S$42/2)</f>
        <v>716.52000024044185</v>
      </c>
      <c r="V22" s="351">
        <f ca="1">IF(OR(V7&lt;12,V19=0),0,+V20*'ASSUM 1'!$S$42/2)</f>
        <v>480.2700002404419</v>
      </c>
      <c r="W22" s="351">
        <f ca="1">IF(OR(W7&lt;12,W19=0),0,+W20*'ASSUM 1'!$S$42/2)</f>
        <v>0</v>
      </c>
      <c r="X22" s="767"/>
    </row>
    <row r="23" spans="1:24">
      <c r="A23" s="359" t="s">
        <v>404</v>
      </c>
      <c r="C23" s="351">
        <f ca="1">IF(C7&lt;12,0,IF(C20&gt;1,PMT('ASSUM 1'!S42/2,'144A DEBT'!S32*IF('ASSUM 1'!S34="semi",2,1),-(($C$20))),0))</f>
        <v>0</v>
      </c>
      <c r="D23" s="351">
        <f ca="1">D22+D21</f>
        <v>5320.7438711940358</v>
      </c>
      <c r="E23" s="351">
        <f t="shared" ref="E23:W23" ca="1" si="2">E22+E21</f>
        <v>5311.5360539968888</v>
      </c>
      <c r="F23" s="351">
        <f t="shared" ca="1" si="2"/>
        <v>5384.5827586326795</v>
      </c>
      <c r="G23" s="351">
        <f t="shared" ca="1" si="2"/>
        <v>5435.4821726759719</v>
      </c>
      <c r="H23" s="351">
        <f t="shared" ca="1" si="2"/>
        <v>5303.6041314214663</v>
      </c>
      <c r="I23" s="351">
        <f t="shared" ca="1" si="2"/>
        <v>5535.4734259499855</v>
      </c>
      <c r="J23" s="351">
        <f t="shared" ca="1" si="2"/>
        <v>5355.0957399244144</v>
      </c>
      <c r="K23" s="351">
        <f t="shared" ca="1" si="2"/>
        <v>5596.0775592420387</v>
      </c>
      <c r="L23" s="351">
        <f t="shared" ca="1" si="2"/>
        <v>5359.5186058373693</v>
      </c>
      <c r="M23" s="351">
        <f t="shared" ca="1" si="2"/>
        <v>5592.2654608096045</v>
      </c>
      <c r="N23" s="351">
        <f t="shared" ca="1" si="2"/>
        <v>5293.1323996213523</v>
      </c>
      <c r="O23" s="351">
        <f t="shared" ca="1" si="2"/>
        <v>5053.9388795211635</v>
      </c>
      <c r="P23" s="351">
        <f t="shared" ca="1" si="2"/>
        <v>4746.8138795211635</v>
      </c>
      <c r="Q23" s="351">
        <f t="shared" ca="1" si="2"/>
        <v>4802.4315518238654</v>
      </c>
      <c r="R23" s="351">
        <f t="shared" ca="1" si="2"/>
        <v>4446.94086218351</v>
      </c>
      <c r="S23" s="351">
        <f t="shared" ca="1" si="2"/>
        <v>4083.0825002404426</v>
      </c>
      <c r="T23" s="351">
        <f t="shared" ca="1" si="2"/>
        <v>3728.7075002404426</v>
      </c>
      <c r="U23" s="351">
        <f t="shared" ca="1" si="2"/>
        <v>2488.3950002404422</v>
      </c>
      <c r="V23" s="351">
        <f t="shared" ca="1" si="2"/>
        <v>2252.1450002404422</v>
      </c>
      <c r="W23" s="351">
        <f t="shared" ca="1" si="2"/>
        <v>1828.5750000000003</v>
      </c>
      <c r="X23" s="767"/>
    </row>
    <row r="24" spans="1:24">
      <c r="A24" s="359" t="s">
        <v>268</v>
      </c>
      <c r="C24" s="351">
        <f t="shared" ref="C24:S24" ca="1" si="3">C20-C21</f>
        <v>118125</v>
      </c>
      <c r="D24" s="351">
        <f t="shared" ca="1" si="3"/>
        <v>117529.25612880597</v>
      </c>
      <c r="E24" s="351">
        <f t="shared" ca="1" si="3"/>
        <v>115473.21852586379</v>
      </c>
      <c r="F24" s="351">
        <f t="shared" ca="1" si="3"/>
        <v>113091.48077802021</v>
      </c>
      <c r="G24" s="351">
        <f t="shared" ca="1" si="3"/>
        <v>110170.83627227068</v>
      </c>
      <c r="H24" s="351">
        <f t="shared" ca="1" si="3"/>
        <v>106873.88524090804</v>
      </c>
      <c r="I24" s="351">
        <f t="shared" ca="1" si="3"/>
        <v>103213.18687376239</v>
      </c>
      <c r="J24" s="351">
        <f t="shared" ca="1" si="3"/>
        <v>98703.744723122989</v>
      </c>
      <c r="K24" s="351">
        <f t="shared" ca="1" si="3"/>
        <v>93772.943067140382</v>
      </c>
      <c r="L24" s="351">
        <f t="shared" ca="1" si="3"/>
        <v>87858.96923202365</v>
      </c>
      <c r="M24" s="351">
        <f t="shared" ca="1" si="3"/>
        <v>81475.689588530004</v>
      </c>
      <c r="N24" s="351">
        <f t="shared" ca="1" si="3"/>
        <v>73997.363058823583</v>
      </c>
      <c r="O24" s="351">
        <f t="shared" ca="1" si="3"/>
        <v>66459.09698802908</v>
      </c>
      <c r="P24" s="351">
        <f t="shared" ca="1" si="3"/>
        <v>58780.97198802908</v>
      </c>
      <c r="Q24" s="351">
        <f t="shared" ca="1" si="3"/>
        <v>50740.104315726378</v>
      </c>
      <c r="R24" s="351">
        <f t="shared" ca="1" si="3"/>
        <v>41852.837074717361</v>
      </c>
      <c r="S24" s="351">
        <f t="shared" ca="1" si="3"/>
        <v>32973.937506011047</v>
      </c>
      <c r="T24" s="351">
        <f ca="1">T20-T21</f>
        <v>24114.562506011047</v>
      </c>
      <c r="U24" s="351">
        <f ca="1">U20-U21</f>
        <v>16141.125006011047</v>
      </c>
      <c r="V24" s="351">
        <f ca="1">V20-V21</f>
        <v>10234.875006011047</v>
      </c>
      <c r="W24" s="351">
        <f ca="1">W20-W21</f>
        <v>4271.9250060110462</v>
      </c>
      <c r="X24" s="767"/>
    </row>
    <row r="25" spans="1:24">
      <c r="A25" s="359"/>
      <c r="C25" s="351"/>
      <c r="D25" s="351"/>
      <c r="X25" s="767"/>
    </row>
    <row r="26" spans="1:24">
      <c r="A26" s="359" t="s">
        <v>407</v>
      </c>
      <c r="C26" s="361">
        <v>0</v>
      </c>
      <c r="D26" s="337">
        <f ca="1">+D19+1</f>
        <v>2</v>
      </c>
      <c r="E26" s="337">
        <f t="shared" ref="E26:S26" ca="1" si="4">+E19+1</f>
        <v>4</v>
      </c>
      <c r="F26" s="337">
        <f t="shared" ca="1" si="4"/>
        <v>6</v>
      </c>
      <c r="G26" s="337">
        <f t="shared" ca="1" si="4"/>
        <v>8</v>
      </c>
      <c r="H26" s="337">
        <f t="shared" ca="1" si="4"/>
        <v>10</v>
      </c>
      <c r="I26" s="337">
        <f t="shared" ca="1" si="4"/>
        <v>12</v>
      </c>
      <c r="J26" s="337">
        <f t="shared" ca="1" si="4"/>
        <v>14</v>
      </c>
      <c r="K26" s="337">
        <f t="shared" ca="1" si="4"/>
        <v>16</v>
      </c>
      <c r="L26" s="337">
        <f t="shared" ca="1" si="4"/>
        <v>18</v>
      </c>
      <c r="M26" s="337">
        <f t="shared" ca="1" si="4"/>
        <v>20</v>
      </c>
      <c r="N26" s="337">
        <f t="shared" ca="1" si="4"/>
        <v>22</v>
      </c>
      <c r="O26" s="337">
        <f t="shared" ca="1" si="4"/>
        <v>24</v>
      </c>
      <c r="P26" s="337">
        <f t="shared" ca="1" si="4"/>
        <v>26</v>
      </c>
      <c r="Q26" s="337">
        <f t="shared" ca="1" si="4"/>
        <v>28</v>
      </c>
      <c r="R26" s="337">
        <f t="shared" ca="1" si="4"/>
        <v>30</v>
      </c>
      <c r="S26" s="337">
        <f t="shared" ca="1" si="4"/>
        <v>32</v>
      </c>
      <c r="T26" s="337">
        <f ca="1">+T19+1</f>
        <v>34</v>
      </c>
      <c r="U26" s="337">
        <f ca="1">+U19+1</f>
        <v>36</v>
      </c>
      <c r="V26" s="337">
        <f ca="1">+V19+1</f>
        <v>38</v>
      </c>
      <c r="W26" s="337">
        <v>40</v>
      </c>
      <c r="X26" s="767"/>
    </row>
    <row r="27" spans="1:24">
      <c r="A27" s="359" t="s">
        <v>20</v>
      </c>
      <c r="C27" s="351">
        <f t="shared" ref="C27:S27" ca="1" si="5">C24</f>
        <v>118125</v>
      </c>
      <c r="D27" s="351">
        <f t="shared" ca="1" si="5"/>
        <v>117529.25612880597</v>
      </c>
      <c r="E27" s="351">
        <f t="shared" ca="1" si="5"/>
        <v>115473.21852586379</v>
      </c>
      <c r="F27" s="351">
        <f t="shared" ca="1" si="5"/>
        <v>113091.48077802021</v>
      </c>
      <c r="G27" s="351">
        <f t="shared" ca="1" si="5"/>
        <v>110170.83627227068</v>
      </c>
      <c r="H27" s="351">
        <f t="shared" ca="1" si="5"/>
        <v>106873.88524090804</v>
      </c>
      <c r="I27" s="351">
        <f t="shared" ca="1" si="5"/>
        <v>103213.18687376239</v>
      </c>
      <c r="J27" s="351">
        <f t="shared" ca="1" si="5"/>
        <v>98703.744723122989</v>
      </c>
      <c r="K27" s="351">
        <f t="shared" ca="1" si="5"/>
        <v>93772.943067140382</v>
      </c>
      <c r="L27" s="351">
        <f t="shared" ca="1" si="5"/>
        <v>87858.96923202365</v>
      </c>
      <c r="M27" s="351">
        <f t="shared" ca="1" si="5"/>
        <v>81475.689588530004</v>
      </c>
      <c r="N27" s="351">
        <f t="shared" ca="1" si="5"/>
        <v>73997.363058823583</v>
      </c>
      <c r="O27" s="351">
        <f t="shared" ca="1" si="5"/>
        <v>66459.09698802908</v>
      </c>
      <c r="P27" s="351">
        <f t="shared" ca="1" si="5"/>
        <v>58780.97198802908</v>
      </c>
      <c r="Q27" s="351">
        <f t="shared" ca="1" si="5"/>
        <v>50740.104315726378</v>
      </c>
      <c r="R27" s="351">
        <f t="shared" ca="1" si="5"/>
        <v>41852.837074717361</v>
      </c>
      <c r="S27" s="351">
        <f t="shared" ca="1" si="5"/>
        <v>32973.937506011047</v>
      </c>
      <c r="T27" s="351">
        <f ca="1">T24</f>
        <v>24114.562506011047</v>
      </c>
      <c r="U27" s="351">
        <f ca="1">U24</f>
        <v>16141.125006011047</v>
      </c>
      <c r="V27" s="351">
        <f ca="1">V24</f>
        <v>10234.875006011047</v>
      </c>
      <c r="W27" s="351">
        <f ca="1">W24</f>
        <v>4271.9250060110462</v>
      </c>
      <c r="X27" s="767"/>
    </row>
    <row r="28" spans="1:24">
      <c r="A28" s="359" t="s">
        <v>402</v>
      </c>
      <c r="C28" s="621">
        <f ca="1">VLOOKUP(C5,'ASSUM 1'!$K$7:$N$23,4)/2*$C$20*IF(C26=0,0,1)</f>
        <v>0</v>
      </c>
      <c r="D28" s="621">
        <f ca="1">VLOOKUP(D5,'ENA Assumptions'!$A$11:$E$31,3)*VLOOKUP(D5,'ENA Assumptions'!$A$11:$E$31,4)*$C$20*IF(D26=0,0,1)</f>
        <v>1390.0690327860843</v>
      </c>
      <c r="E28" s="621">
        <f ca="1">VLOOKUP(E5,'ENA Assumptions'!$A$11:$E$31,3)*VLOOKUP(E5,'ENA Assumptions'!$A$11:$E$31,4)*$C$20*IF(E26=0,0,1)</f>
        <v>1553.9266636975492</v>
      </c>
      <c r="F28" s="621">
        <f ca="1">VLOOKUP(F5,'ENA Assumptions'!$A$11:$E$31,3)*VLOOKUP(F5,'ENA Assumptions'!$A$11:$E$31,4)*$C$20*IF(F26=0,0,1)</f>
        <v>1931.5591963407376</v>
      </c>
      <c r="G28" s="621">
        <f ca="1">VLOOKUP(G5,'ENA Assumptions'!$A$11:$E$31,3)*VLOOKUP(G5,'ENA Assumptions'!$A$11:$E$31,4)*$C$20*IF(G26=0,0,1)</f>
        <v>2307.8657219538482</v>
      </c>
      <c r="H28" s="621">
        <f ca="1">VLOOKUP(H5,'ENA Assumptions'!$A$11:$E$31,3)*VLOOKUP(H5,'ENA Assumptions'!$A$11:$E$31,4)*$C$20*IF(H26=0,0,1)</f>
        <v>2307.8657219538482</v>
      </c>
      <c r="I28" s="621">
        <f ca="1">VLOOKUP(I5,'ENA Assumptions'!$A$11:$E$31,3)*VLOOKUP(I5,'ENA Assumptions'!$A$11:$E$31,4)*$C$20*IF(I26=0,0,1)</f>
        <v>3156.6095054475732</v>
      </c>
      <c r="J28" s="621">
        <f ca="1">VLOOKUP(J5,'ENA Assumptions'!$A$11:$E$31,3)*VLOOKUP(J5,'ENA Assumptions'!$A$11:$E$31,4)*$C$20*IF(J26=0,0,1)</f>
        <v>3156.6095054475823</v>
      </c>
      <c r="K28" s="621">
        <f ca="1">VLOOKUP(K5,'ENA Assumptions'!$A$11:$E$31,3)*VLOOKUP(K5,'ENA Assumptions'!$A$11:$E$31,4)*$C$20*IF(K26=0,0,1)</f>
        <v>4139.7816845817179</v>
      </c>
      <c r="L28" s="621">
        <f ca="1">VLOOKUP(L5,'ENA Assumptions'!$A$11:$E$31,3)*VLOOKUP(L5,'ENA Assumptions'!$A$11:$E$31,4)*$C$20*IF(L26=0,0,1)</f>
        <v>4139.7816845817179</v>
      </c>
      <c r="M28" s="621">
        <f ca="1">VLOOKUP(M5,'ENA Assumptions'!$A$11:$E$31,3)*VLOOKUP(M5,'ENA Assumptions'!$A$11:$E$31,4)*$C$20*IF(M26=0,0,1)</f>
        <v>5234.8285707944951</v>
      </c>
      <c r="N28" s="621">
        <f ca="1">VLOOKUP(N5,'ENA Assumptions'!$A$11:$E$31,3)*VLOOKUP(N5,'ENA Assumptions'!$A$11:$E$31,4)*$C$20*IF(N26=0,0,1)</f>
        <v>5234.8285707945042</v>
      </c>
      <c r="O28" s="621">
        <f ca="1">VLOOKUP(O5,'ENA Assumptions'!$A$11:$E$31,3)*VLOOKUP(O5,'ENA Assumptions'!$A$11:$E$31,4)*$C$20*IF(O26=0,0,1)</f>
        <v>5374.6875</v>
      </c>
      <c r="P28" s="621">
        <f ca="1">VLOOKUP(P5,'ENA Assumptions'!$A$11:$E$31,3)*VLOOKUP(P5,'ENA Assumptions'!$A$11:$E$31,4)*$C$20*IF(P26=0,0,1)</f>
        <v>5374.6875</v>
      </c>
      <c r="Q28" s="621">
        <f ca="1">VLOOKUP(Q5,'ENA Assumptions'!$A$11:$E$31,3)*VLOOKUP(Q5,'ENA Assumptions'!$A$11:$E$31,4)*$C$20*IF(Q26=0,0,1)</f>
        <v>6221.0870687063043</v>
      </c>
      <c r="R28" s="621">
        <f ca="1">VLOOKUP(R5,'ENA Assumptions'!$A$11:$E$31,3)*VLOOKUP(R5,'ENA Assumptions'!$A$11:$E$31,4)*$C$20*IF(R26=0,0,1)</f>
        <v>6221.0870687063143</v>
      </c>
      <c r="S28" s="621">
        <f ca="1">VLOOKUP(S5,'ENA Assumptions'!$A$11:$E$31,3)*VLOOKUP(S5,'ENA Assumptions'!$A$11:$E$31,4)*$C$20*IF(S26=0,0,1)</f>
        <v>6201.5625</v>
      </c>
      <c r="T28" s="621">
        <f ca="1">VLOOKUP(T5,'ENA Assumptions'!$A$11:$E$31,3)*VLOOKUP(T5,'ENA Assumptions'!$A$11:$E$31,4)*$C$20*IF(T26=0,0,1)</f>
        <v>6201.5625</v>
      </c>
      <c r="U28" s="621">
        <f ca="1">VLOOKUP(U5,'ENA Assumptions'!$A$11:$E$31,3)*VLOOKUP(U5,'ENA Assumptions'!$A$11:$E$31,4)*$C$20*IF(U26=0,0,1)</f>
        <v>4134.375</v>
      </c>
      <c r="V28" s="621">
        <f ca="1">VLOOKUP(V5,'ENA Assumptions'!$A$11:$E$31,3)*VLOOKUP(V5,'ENA Assumptions'!$A$11:$E$31,4)*$C$20*IF(V26=0,0,1)</f>
        <v>4134.375</v>
      </c>
      <c r="W28" s="621">
        <f>VLOOKUP(W5,'ENA Assumptions'!$A$11:$E$31,3)*VLOOKUP(W5,'ENA Assumptions'!$A$11:$E$31,4)*$C$20*IF(W26=0,0,1)</f>
        <v>4266.6750000000002</v>
      </c>
      <c r="X28" s="767"/>
    </row>
    <row r="29" spans="1:24">
      <c r="A29" s="359" t="s">
        <v>403</v>
      </c>
      <c r="C29" s="620">
        <v>0</v>
      </c>
      <c r="D29" s="351">
        <f ca="1">D27*'ASSUM 1'!$S$42/2</f>
        <v>4701.1702451522387</v>
      </c>
      <c r="E29" s="351">
        <f ca="1">E27*'ASSUM 1'!$S$42/2</f>
        <v>4618.9287410345514</v>
      </c>
      <c r="F29" s="351">
        <f ca="1">F27*'ASSUM 1'!$S$42/2</f>
        <v>4523.6592311208087</v>
      </c>
      <c r="G29" s="351">
        <f ca="1">G27*'ASSUM 1'!$S$42/2</f>
        <v>4406.8334508908274</v>
      </c>
      <c r="H29" s="351">
        <f ca="1">H27*'ASSUM 1'!$S$42/2</f>
        <v>4274.9554096363217</v>
      </c>
      <c r="I29" s="351">
        <f ca="1">I27*'ASSUM 1'!$S$42/2</f>
        <v>4128.5274749504952</v>
      </c>
      <c r="J29" s="351">
        <f ca="1">J27*'ASSUM 1'!$S$42/2</f>
        <v>3948.1497889249194</v>
      </c>
      <c r="K29" s="351">
        <f ca="1">K27*'ASSUM 1'!$S$42/2</f>
        <v>3750.9177226856154</v>
      </c>
      <c r="L29" s="351">
        <f ca="1">L27*'ASSUM 1'!$S$42/2</f>
        <v>3514.358769280946</v>
      </c>
      <c r="M29" s="351">
        <f ca="1">M27*'ASSUM 1'!$S$42/2</f>
        <v>3259.0275835412003</v>
      </c>
      <c r="N29" s="351">
        <f ca="1">N27*'ASSUM 1'!$S$42/2</f>
        <v>2959.8945223529436</v>
      </c>
      <c r="O29" s="351">
        <f ca="1">O27*'ASSUM 1'!$S$42/2</f>
        <v>2658.3638795211632</v>
      </c>
      <c r="P29" s="351">
        <f ca="1">P27*'ASSUM 1'!$S$42/2</f>
        <v>2351.2388795211632</v>
      </c>
      <c r="Q29" s="351">
        <f ca="1">Q27*'ASSUM 1'!$S$42/2</f>
        <v>2029.6041726290553</v>
      </c>
      <c r="R29" s="351">
        <f ca="1">R27*'ASSUM 1'!$S$42/2</f>
        <v>1674.1134829886944</v>
      </c>
      <c r="S29" s="351">
        <f ca="1">S27*'ASSUM 1'!$S$42/2</f>
        <v>1318.957500240442</v>
      </c>
      <c r="T29" s="351">
        <f ca="1">T27*'ASSUM 1'!$S$42/2</f>
        <v>964.58250024044185</v>
      </c>
      <c r="U29" s="351">
        <f ca="1">U27*'ASSUM 1'!$S$42/2</f>
        <v>645.64500024044185</v>
      </c>
      <c r="V29" s="351">
        <f ca="1">V27*'ASSUM 1'!$S$42/2</f>
        <v>409.3950002404419</v>
      </c>
      <c r="W29" s="351">
        <f ca="1">W27*'ASSUM 1'!$S$42/2</f>
        <v>170.87700024044184</v>
      </c>
      <c r="X29" s="767"/>
    </row>
    <row r="30" spans="1:24">
      <c r="A30" s="359" t="s">
        <v>404</v>
      </c>
      <c r="C30" s="351">
        <f ca="1">C29+C28</f>
        <v>0</v>
      </c>
      <c r="D30" s="351">
        <f ca="1">D29+D28</f>
        <v>6091.2392779383226</v>
      </c>
      <c r="E30" s="351">
        <f t="shared" ref="E30:W30" ca="1" si="6">E29+E28</f>
        <v>6172.8554047321004</v>
      </c>
      <c r="F30" s="351">
        <f t="shared" ca="1" si="6"/>
        <v>6455.2184274615465</v>
      </c>
      <c r="G30" s="351">
        <f t="shared" ca="1" si="6"/>
        <v>6714.6991728446756</v>
      </c>
      <c r="H30" s="351">
        <f t="shared" ca="1" si="6"/>
        <v>6582.8211315901699</v>
      </c>
      <c r="I30" s="351">
        <f t="shared" ca="1" si="6"/>
        <v>7285.1369803980688</v>
      </c>
      <c r="J30" s="351">
        <f t="shared" ca="1" si="6"/>
        <v>7104.7592943725012</v>
      </c>
      <c r="K30" s="351">
        <f t="shared" ca="1" si="6"/>
        <v>7890.6994072673333</v>
      </c>
      <c r="L30" s="351">
        <f t="shared" ca="1" si="6"/>
        <v>7654.1404538626639</v>
      </c>
      <c r="M30" s="351">
        <f t="shared" ca="1" si="6"/>
        <v>8493.8561543356955</v>
      </c>
      <c r="N30" s="351">
        <f t="shared" ca="1" si="6"/>
        <v>8194.7230931474478</v>
      </c>
      <c r="O30" s="351">
        <f t="shared" ca="1" si="6"/>
        <v>8033.0513795211627</v>
      </c>
      <c r="P30" s="351">
        <f t="shared" ca="1" si="6"/>
        <v>7725.9263795211627</v>
      </c>
      <c r="Q30" s="351">
        <f t="shared" ca="1" si="6"/>
        <v>8250.6912413353602</v>
      </c>
      <c r="R30" s="351">
        <f t="shared" ca="1" si="6"/>
        <v>7895.2005516950085</v>
      </c>
      <c r="S30" s="351">
        <f t="shared" ca="1" si="6"/>
        <v>7520.5200002404417</v>
      </c>
      <c r="T30" s="351">
        <f t="shared" ca="1" si="6"/>
        <v>7166.1450002404417</v>
      </c>
      <c r="U30" s="351">
        <f t="shared" ca="1" si="6"/>
        <v>4780.0200002404417</v>
      </c>
      <c r="V30" s="351">
        <f t="shared" ca="1" si="6"/>
        <v>4543.7700002404417</v>
      </c>
      <c r="W30" s="351">
        <f t="shared" ca="1" si="6"/>
        <v>4437.5520002404419</v>
      </c>
      <c r="X30" s="767"/>
    </row>
    <row r="31" spans="1:24">
      <c r="A31" s="359" t="s">
        <v>268</v>
      </c>
      <c r="C31" s="351">
        <f t="shared" ref="C31:S31" ca="1" si="7">C27-C28</f>
        <v>118125</v>
      </c>
      <c r="D31" s="351">
        <f t="shared" ca="1" si="7"/>
        <v>116139.18709601989</v>
      </c>
      <c r="E31" s="351">
        <f t="shared" ca="1" si="7"/>
        <v>113919.29186216624</v>
      </c>
      <c r="F31" s="351">
        <f t="shared" ca="1" si="7"/>
        <v>111159.92158167947</v>
      </c>
      <c r="G31" s="351">
        <f t="shared" ca="1" si="7"/>
        <v>107862.97055031684</v>
      </c>
      <c r="H31" s="351">
        <f t="shared" ca="1" si="7"/>
        <v>104566.0195189542</v>
      </c>
      <c r="I31" s="351">
        <f t="shared" ca="1" si="7"/>
        <v>100056.57736831481</v>
      </c>
      <c r="J31" s="351">
        <f t="shared" ca="1" si="7"/>
        <v>95547.135217675401</v>
      </c>
      <c r="K31" s="351">
        <f t="shared" ca="1" si="7"/>
        <v>89633.161382558668</v>
      </c>
      <c r="L31" s="351">
        <f t="shared" ca="1" si="7"/>
        <v>83719.187547441936</v>
      </c>
      <c r="M31" s="351">
        <f t="shared" ca="1" si="7"/>
        <v>76240.861017735515</v>
      </c>
      <c r="N31" s="351">
        <f t="shared" ca="1" si="7"/>
        <v>68762.53448802908</v>
      </c>
      <c r="O31" s="351">
        <f t="shared" ca="1" si="7"/>
        <v>61084.40948802908</v>
      </c>
      <c r="P31" s="351">
        <f t="shared" ca="1" si="7"/>
        <v>53406.28448802908</v>
      </c>
      <c r="Q31" s="351">
        <f t="shared" ca="1" si="7"/>
        <v>44519.01724702007</v>
      </c>
      <c r="R31" s="351">
        <f t="shared" ca="1" si="7"/>
        <v>35631.750006011047</v>
      </c>
      <c r="S31" s="351">
        <f t="shared" ca="1" si="7"/>
        <v>26772.375006011047</v>
      </c>
      <c r="T31" s="351">
        <f ca="1">T27-T28</f>
        <v>17913.000006011047</v>
      </c>
      <c r="U31" s="351">
        <f ca="1">U27-U28</f>
        <v>12006.750006011047</v>
      </c>
      <c r="V31" s="351">
        <f ca="1">V27-V28</f>
        <v>6100.5000060110469</v>
      </c>
      <c r="W31" s="351">
        <f ca="1">W27-W28</f>
        <v>5.2500060110460254</v>
      </c>
      <c r="X31" s="767"/>
    </row>
    <row r="32" spans="1:24">
      <c r="A32" s="359"/>
      <c r="C32" s="351"/>
      <c r="D32" s="351"/>
      <c r="X32" s="767"/>
    </row>
    <row r="33" spans="1:44">
      <c r="A33" s="363" t="s">
        <v>405</v>
      </c>
      <c r="C33" s="351"/>
      <c r="D33" s="351"/>
      <c r="X33" s="767"/>
    </row>
    <row r="34" spans="1:44">
      <c r="A34" s="359" t="s">
        <v>403</v>
      </c>
      <c r="C34" s="351">
        <f t="shared" ref="C34:S34" ca="1" si="8">ROUND(+C29+C22,2)</f>
        <v>0</v>
      </c>
      <c r="D34" s="351">
        <f t="shared" ca="1" si="8"/>
        <v>9426.17</v>
      </c>
      <c r="E34" s="351">
        <f t="shared" ca="1" si="8"/>
        <v>9264.5</v>
      </c>
      <c r="F34" s="351">
        <f t="shared" ca="1" si="8"/>
        <v>9080.43</v>
      </c>
      <c r="G34" s="351">
        <f t="shared" ca="1" si="8"/>
        <v>8853.23</v>
      </c>
      <c r="H34" s="351">
        <f t="shared" ca="1" si="8"/>
        <v>8589.4699999999993</v>
      </c>
      <c r="I34" s="351">
        <f t="shared" ca="1" si="8"/>
        <v>8311.17</v>
      </c>
      <c r="J34" s="351">
        <f t="shared" ca="1" si="8"/>
        <v>7950.41</v>
      </c>
      <c r="K34" s="351">
        <f t="shared" ca="1" si="8"/>
        <v>7572.8</v>
      </c>
      <c r="L34" s="351">
        <f t="shared" ca="1" si="8"/>
        <v>7099.69</v>
      </c>
      <c r="M34" s="351">
        <f t="shared" ca="1" si="8"/>
        <v>6607.8</v>
      </c>
      <c r="N34" s="351">
        <f t="shared" ca="1" si="8"/>
        <v>6009.53</v>
      </c>
      <c r="O34" s="351">
        <f t="shared" ca="1" si="8"/>
        <v>5408.87</v>
      </c>
      <c r="P34" s="351">
        <f t="shared" ca="1" si="8"/>
        <v>4794.62</v>
      </c>
      <c r="Q34" s="351">
        <f t="shared" ca="1" si="8"/>
        <v>4165.8599999999997</v>
      </c>
      <c r="R34" s="351">
        <f t="shared" ca="1" si="8"/>
        <v>3454.87</v>
      </c>
      <c r="S34" s="351">
        <f t="shared" ca="1" si="8"/>
        <v>2744.23</v>
      </c>
      <c r="T34" s="351">
        <f ca="1">ROUND(+T29+T22,2)</f>
        <v>2035.48</v>
      </c>
      <c r="U34" s="351">
        <f ca="1">ROUND(+U29+U22,2)</f>
        <v>1362.17</v>
      </c>
      <c r="V34" s="351">
        <f ca="1">ROUND(+V29+V22,2)</f>
        <v>889.67</v>
      </c>
      <c r="W34" s="351">
        <f ca="1">ROUND(+W29+W22,2)</f>
        <v>170.88</v>
      </c>
      <c r="X34" s="767"/>
    </row>
    <row r="35" spans="1:44">
      <c r="A35" s="359" t="s">
        <v>402</v>
      </c>
      <c r="C35" s="364">
        <f t="shared" ref="C35:S35" ca="1" si="9">C28+C21</f>
        <v>0</v>
      </c>
      <c r="D35" s="364">
        <f t="shared" ca="1" si="9"/>
        <v>1985.8129039801206</v>
      </c>
      <c r="E35" s="364">
        <f t="shared" ca="1" si="9"/>
        <v>2219.8952338536419</v>
      </c>
      <c r="F35" s="364">
        <f t="shared" ca="1" si="9"/>
        <v>2759.370280486768</v>
      </c>
      <c r="G35" s="364">
        <f t="shared" ca="1" si="9"/>
        <v>3296.9510313626406</v>
      </c>
      <c r="H35" s="364">
        <f t="shared" ca="1" si="9"/>
        <v>3296.9510313626406</v>
      </c>
      <c r="I35" s="364">
        <f t="shared" ca="1" si="9"/>
        <v>4509.4421506393901</v>
      </c>
      <c r="J35" s="364">
        <f t="shared" ca="1" si="9"/>
        <v>4509.4421506394037</v>
      </c>
      <c r="K35" s="364">
        <f t="shared" ca="1" si="9"/>
        <v>5913.9738351167398</v>
      </c>
      <c r="L35" s="364">
        <f t="shared" ca="1" si="9"/>
        <v>5913.9738351167398</v>
      </c>
      <c r="M35" s="364">
        <f t="shared" ca="1" si="9"/>
        <v>7478.3265297064227</v>
      </c>
      <c r="N35" s="364">
        <f t="shared" ca="1" si="9"/>
        <v>7478.3265297064354</v>
      </c>
      <c r="O35" s="364">
        <f t="shared" ca="1" si="9"/>
        <v>7678.125</v>
      </c>
      <c r="P35" s="364">
        <f t="shared" ca="1" si="9"/>
        <v>7678.125</v>
      </c>
      <c r="Q35" s="364">
        <f t="shared" ca="1" si="9"/>
        <v>8887.2672410090072</v>
      </c>
      <c r="R35" s="364">
        <f t="shared" ca="1" si="9"/>
        <v>8887.2672410090217</v>
      </c>
      <c r="S35" s="364">
        <f t="shared" ca="1" si="9"/>
        <v>8859.375</v>
      </c>
      <c r="T35" s="364">
        <f ca="1">T28+T21</f>
        <v>8859.375</v>
      </c>
      <c r="U35" s="364">
        <f ca="1">U28+U21</f>
        <v>5906.25</v>
      </c>
      <c r="V35" s="364">
        <f ca="1">V28+V21</f>
        <v>5906.25</v>
      </c>
      <c r="W35" s="364">
        <f>W28+W21</f>
        <v>6095.25</v>
      </c>
      <c r="X35" s="767"/>
    </row>
    <row r="36" spans="1:44" ht="16.2" thickBot="1">
      <c r="A36" s="359" t="s">
        <v>406</v>
      </c>
      <c r="C36" s="351">
        <f t="shared" ref="C36:S36" ca="1" si="10">C34+C35</f>
        <v>0</v>
      </c>
      <c r="D36" s="351">
        <f t="shared" ca="1" si="10"/>
        <v>11411.982903980121</v>
      </c>
      <c r="E36" s="351">
        <f t="shared" ca="1" si="10"/>
        <v>11484.395233853642</v>
      </c>
      <c r="F36" s="351">
        <f t="shared" ca="1" si="10"/>
        <v>11839.800280486768</v>
      </c>
      <c r="G36" s="351">
        <f t="shared" ca="1" si="10"/>
        <v>12150.181031362641</v>
      </c>
      <c r="H36" s="351">
        <f t="shared" ca="1" si="10"/>
        <v>11886.421031362639</v>
      </c>
      <c r="I36" s="351">
        <f t="shared" ca="1" si="10"/>
        <v>12820.61215063939</v>
      </c>
      <c r="J36" s="351">
        <f t="shared" ca="1" si="10"/>
        <v>12459.852150639403</v>
      </c>
      <c r="K36" s="351">
        <f t="shared" ca="1" si="10"/>
        <v>13486.773835116739</v>
      </c>
      <c r="L36" s="351">
        <f t="shared" ca="1" si="10"/>
        <v>13013.663835116738</v>
      </c>
      <c r="M36" s="351">
        <f t="shared" ca="1" si="10"/>
        <v>14086.126529706424</v>
      </c>
      <c r="N36" s="351">
        <f t="shared" ca="1" si="10"/>
        <v>13487.856529706434</v>
      </c>
      <c r="O36" s="351">
        <f t="shared" ca="1" si="10"/>
        <v>13086.994999999999</v>
      </c>
      <c r="P36" s="351">
        <f t="shared" ca="1" si="10"/>
        <v>12472.744999999999</v>
      </c>
      <c r="Q36" s="351">
        <f t="shared" ca="1" si="10"/>
        <v>13053.127241009006</v>
      </c>
      <c r="R36" s="351">
        <f t="shared" ca="1" si="10"/>
        <v>12342.137241009023</v>
      </c>
      <c r="S36" s="351">
        <f t="shared" ca="1" si="10"/>
        <v>11603.605</v>
      </c>
      <c r="T36" s="351">
        <f ca="1">T34+T35</f>
        <v>10894.855</v>
      </c>
      <c r="U36" s="351">
        <f ca="1">U34+U35</f>
        <v>7268.42</v>
      </c>
      <c r="V36" s="351">
        <f ca="1">V34+V35</f>
        <v>6795.92</v>
      </c>
      <c r="W36" s="351">
        <f ca="1">W34+W35</f>
        <v>6266.13</v>
      </c>
      <c r="X36" s="767"/>
    </row>
    <row r="37" spans="1:44" ht="16.2" thickTop="1">
      <c r="A37" s="356"/>
      <c r="B37" s="356"/>
      <c r="C37" s="824">
        <f ca="1">C24</f>
        <v>118125</v>
      </c>
      <c r="D37" s="824">
        <f ca="1">C31</f>
        <v>118125</v>
      </c>
      <c r="E37" s="824">
        <f ca="1">D24</f>
        <v>117529.25612880597</v>
      </c>
      <c r="F37" s="824">
        <f ca="1">D31</f>
        <v>116139.18709601989</v>
      </c>
      <c r="G37" s="824">
        <f ca="1">E24</f>
        <v>115473.21852586379</v>
      </c>
      <c r="H37" s="824">
        <f ca="1">E31</f>
        <v>113919.29186216624</v>
      </c>
      <c r="I37" s="824">
        <f ca="1">F24</f>
        <v>113091.48077802021</v>
      </c>
      <c r="J37" s="824">
        <f ca="1">F31</f>
        <v>111159.92158167947</v>
      </c>
      <c r="K37" s="824">
        <f ca="1">G24</f>
        <v>110170.83627227068</v>
      </c>
      <c r="L37" s="824">
        <f ca="1">G31</f>
        <v>107862.97055031684</v>
      </c>
      <c r="M37" s="824">
        <f ca="1">H24</f>
        <v>106873.88524090804</v>
      </c>
      <c r="N37" s="824">
        <f ca="1">H31</f>
        <v>104566.0195189542</v>
      </c>
      <c r="O37" s="824">
        <f ca="1">I24</f>
        <v>103213.18687376239</v>
      </c>
      <c r="P37" s="824">
        <f ca="1">I31</f>
        <v>100056.57736831481</v>
      </c>
      <c r="Q37" s="824">
        <f ca="1">J24</f>
        <v>98703.744723122989</v>
      </c>
      <c r="R37" s="824">
        <f ca="1">J31</f>
        <v>95547.135217675401</v>
      </c>
      <c r="S37" s="824">
        <f ca="1">K24</f>
        <v>93772.943067140382</v>
      </c>
      <c r="T37" s="824">
        <f ca="1">K31</f>
        <v>89633.161382558668</v>
      </c>
      <c r="U37" s="824">
        <f ca="1">L24</f>
        <v>87858.96923202365</v>
      </c>
      <c r="V37" s="824">
        <f ca="1">L31</f>
        <v>83719.187547441936</v>
      </c>
      <c r="W37" s="824">
        <f ca="1">M24</f>
        <v>81475.689588530004</v>
      </c>
      <c r="X37" s="779">
        <f ca="1">M31</f>
        <v>76240.861017735515</v>
      </c>
      <c r="Y37" s="779">
        <f ca="1">N24</f>
        <v>73997.363058823583</v>
      </c>
      <c r="Z37" s="779">
        <f ca="1">N31</f>
        <v>68762.53448802908</v>
      </c>
      <c r="AA37" s="779">
        <f ca="1">O24</f>
        <v>66459.09698802908</v>
      </c>
      <c r="AB37" s="779">
        <f ca="1">O31</f>
        <v>61084.40948802908</v>
      </c>
      <c r="AC37" s="779">
        <f ca="1">P24</f>
        <v>58780.97198802908</v>
      </c>
      <c r="AD37" s="779">
        <f ca="1">P31</f>
        <v>53406.28448802908</v>
      </c>
      <c r="AE37" s="779">
        <f ca="1">Q24</f>
        <v>50740.104315726378</v>
      </c>
      <c r="AF37" s="779">
        <f ca="1">Q31</f>
        <v>44519.01724702007</v>
      </c>
      <c r="AG37" s="779">
        <f ca="1">R24</f>
        <v>41852.837074717361</v>
      </c>
      <c r="AH37" s="779">
        <f ca="1">R31</f>
        <v>35631.750006011047</v>
      </c>
      <c r="AI37" s="779">
        <f ca="1">S24</f>
        <v>32973.937506011047</v>
      </c>
      <c r="AJ37" s="779">
        <f ca="1">S31</f>
        <v>26772.375006011047</v>
      </c>
      <c r="AK37" s="779">
        <f ca="1">T24</f>
        <v>24114.562506011047</v>
      </c>
      <c r="AL37" s="779">
        <f ca="1">T31</f>
        <v>17913.000006011047</v>
      </c>
      <c r="AM37" s="779">
        <f ca="1">U24</f>
        <v>16141.125006011047</v>
      </c>
      <c r="AN37" s="779">
        <f ca="1">U31</f>
        <v>12006.750006011047</v>
      </c>
      <c r="AO37" s="779">
        <f ca="1">V24</f>
        <v>10234.875006011047</v>
      </c>
      <c r="AP37" s="779">
        <f ca="1">V30</f>
        <v>4543.7700002404417</v>
      </c>
      <c r="AQ37" s="779">
        <f ca="1">W24</f>
        <v>4271.9250060110462</v>
      </c>
      <c r="AR37" s="338">
        <v>0</v>
      </c>
    </row>
    <row r="38" spans="1:44"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5"/>
      <c r="N38" s="365"/>
      <c r="O38" s="365"/>
      <c r="P38" s="365"/>
      <c r="Q38" s="365"/>
      <c r="R38" s="365"/>
      <c r="S38" s="365"/>
    </row>
    <row r="39" spans="1:44">
      <c r="A39" s="345" t="s">
        <v>327</v>
      </c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</row>
    <row r="40" spans="1:44">
      <c r="A40" s="337" t="s">
        <v>266</v>
      </c>
      <c r="C40" s="362">
        <f ca="1">'ASSUM 1'!R46</f>
        <v>9607.2300000000014</v>
      </c>
      <c r="D40" s="351">
        <f t="shared" ref="D40:R40" ca="1" si="11">C42</f>
        <v>11754.556096209162</v>
      </c>
      <c r="E40" s="351">
        <f t="shared" ca="1" si="11"/>
        <v>12036.281945541015</v>
      </c>
      <c r="F40" s="351">
        <f t="shared" ca="1" si="11"/>
        <v>12231.373328898168</v>
      </c>
      <c r="G40" s="351">
        <f t="shared" ca="1" si="11"/>
        <v>12560.768039824159</v>
      </c>
      <c r="H40" s="351">
        <f t="shared" ca="1" si="11"/>
        <v>12733.464600574982</v>
      </c>
      <c r="I40" s="351">
        <f t="shared" ca="1" si="11"/>
        <v>13173.405700243738</v>
      </c>
      <c r="J40" s="351">
        <f t="shared" ca="1" si="11"/>
        <v>13306.854576057149</v>
      </c>
      <c r="K40" s="351">
        <f t="shared" ca="1" si="11"/>
        <v>13432.28314592927</v>
      </c>
      <c r="L40" s="351">
        <f t="shared" ca="1" si="11"/>
        <v>13229.477378905916</v>
      </c>
      <c r="M40" s="351">
        <f t="shared" ca="1" si="11"/>
        <v>13237.370060084368</v>
      </c>
      <c r="N40" s="351">
        <f t="shared" ca="1" si="11"/>
        <v>12888.572202344896</v>
      </c>
      <c r="O40" s="351">
        <f t="shared" ca="1" si="11"/>
        <v>12511.721896403606</v>
      </c>
      <c r="P40" s="351">
        <f t="shared" ca="1" si="11"/>
        <v>12073.293896403606</v>
      </c>
      <c r="Q40" s="351">
        <f t="shared" ca="1" si="11"/>
        <v>11032.428896403604</v>
      </c>
      <c r="R40" s="351">
        <f t="shared" ca="1" si="11"/>
        <v>9780.9874482018022</v>
      </c>
      <c r="S40" s="351">
        <f ca="1">R42</f>
        <v>8565.7859999999982</v>
      </c>
      <c r="T40" s="351">
        <f ca="1">S42</f>
        <v>7806.3312500000002</v>
      </c>
      <c r="U40" s="351">
        <f ca="1">T42</f>
        <v>6776.8233333333337</v>
      </c>
      <c r="V40" s="351">
        <f ca="1">U42</f>
        <v>6531.0249999999987</v>
      </c>
      <c r="W40" s="351">
        <f ca="1">V42</f>
        <v>6266.13</v>
      </c>
    </row>
    <row r="41" spans="1:44">
      <c r="A41" s="337" t="s">
        <v>328</v>
      </c>
      <c r="C41" s="364">
        <f ca="1">C40-((AVERAGE(D36:H36))*'ASSUM 1'!$Q$46/12)</f>
        <v>-2147.3260962091608</v>
      </c>
      <c r="D41" s="364">
        <f ca="1">D40-((AVERAGE(E36:I36))*'ASSUM 1'!$Q$46/12)</f>
        <v>-281.72584933185317</v>
      </c>
      <c r="E41" s="364">
        <f ca="1">E40-((AVERAGE(F36:J36))*'ASSUM 1'!$Q$46/12)</f>
        <v>-195.09138335715215</v>
      </c>
      <c r="F41" s="364">
        <f ca="1">F40-((AVERAGE(G36:K36))*'ASSUM 1'!$Q$46/12)</f>
        <v>-329.3947109259916</v>
      </c>
      <c r="G41" s="364">
        <f ca="1">G40-((AVERAGE(H36:L36))*'ASSUM 1'!$Q$46/12)</f>
        <v>-172.69656075082275</v>
      </c>
      <c r="H41" s="364">
        <f ca="1">H40-((AVERAGE(I36:M36))*'ASSUM 1'!$Q$46/12)</f>
        <v>-439.94109966875658</v>
      </c>
      <c r="I41" s="364">
        <f ca="1">I40-((AVERAGE(J36:N36))*'ASSUM 1'!$Q$46/12)</f>
        <v>-133.44887581341027</v>
      </c>
      <c r="J41" s="364">
        <f ca="1">J40-((AVERAGE(K36:O36))*'ASSUM 1'!$Q$46/12)</f>
        <v>-125.42856987212144</v>
      </c>
      <c r="K41" s="364">
        <f ca="1">K40-((AVERAGE(L36:P36))*'ASSUM 1'!$Q$46/12)</f>
        <v>202.80576702335384</v>
      </c>
      <c r="L41" s="364">
        <f ca="1">L40-((AVERAGE(M36:Q36))*'ASSUM 1'!$Q$46/12)</f>
        <v>-7.892681178451312</v>
      </c>
      <c r="M41" s="364">
        <f ca="1">M40-((AVERAGE(N36:R36))*'ASSUM 1'!$Q$46/12)</f>
        <v>348.79785773947151</v>
      </c>
      <c r="N41" s="364">
        <f ca="1">N40-((AVERAGE(O36:S36))*'ASSUM 1'!$Q$46/12)</f>
        <v>376.85030594129057</v>
      </c>
      <c r="O41" s="364">
        <f ca="1">O40-((AVERAGE(P36:T36))*'ASSUM 1'!$Q$46/12)</f>
        <v>438.42799999999988</v>
      </c>
      <c r="P41" s="364">
        <f ca="1">P40-((AVERAGE(Q36:U36))*'ASSUM 1'!$Q$46/12)</f>
        <v>1040.8650000000016</v>
      </c>
      <c r="Q41" s="364">
        <f ca="1">Q40-((AVERAGE(R36:V36))*'ASSUM 1'!$Q$46/12)</f>
        <v>1251.4414482018019</v>
      </c>
      <c r="R41" s="364">
        <f ca="1">R40-((AVERAGE(S36:W36))*'ASSUM 1'!$Q$46/12)</f>
        <v>1215.2014482018039</v>
      </c>
      <c r="S41" s="364">
        <f ca="1">S40-((AVERAGE(T36:X36))*'ASSUM 1'!$Q$46/12)</f>
        <v>759.45474999999806</v>
      </c>
      <c r="T41" s="364">
        <f ca="1">T40-((AVERAGE(U36:Y36))*'ASSUM 1'!$Q$46/12)</f>
        <v>1029.5079166666665</v>
      </c>
      <c r="U41" s="364">
        <f ca="1">U40-((AVERAGE(V36:Z36))*'ASSUM 1'!$Q$46/12)</f>
        <v>245.79833333333499</v>
      </c>
      <c r="V41" s="364">
        <f ca="1">V40-((AVERAGE(W36:AA36))*'ASSUM 1'!$Q$46/12)</f>
        <v>264.89499999999862</v>
      </c>
      <c r="W41" s="364">
        <v>0</v>
      </c>
    </row>
    <row r="42" spans="1:44">
      <c r="A42" s="337"/>
      <c r="C42" s="351">
        <f t="shared" ref="C42:R42" ca="1" si="12">C40-C41</f>
        <v>11754.556096209162</v>
      </c>
      <c r="D42" s="351">
        <f t="shared" ca="1" si="12"/>
        <v>12036.281945541015</v>
      </c>
      <c r="E42" s="351">
        <f t="shared" ca="1" si="12"/>
        <v>12231.373328898168</v>
      </c>
      <c r="F42" s="351">
        <f t="shared" ca="1" si="12"/>
        <v>12560.768039824159</v>
      </c>
      <c r="G42" s="351">
        <f t="shared" ca="1" si="12"/>
        <v>12733.464600574982</v>
      </c>
      <c r="H42" s="351">
        <f t="shared" ca="1" si="12"/>
        <v>13173.405700243738</v>
      </c>
      <c r="I42" s="351">
        <f t="shared" ca="1" si="12"/>
        <v>13306.854576057149</v>
      </c>
      <c r="J42" s="351">
        <f t="shared" ca="1" si="12"/>
        <v>13432.28314592927</v>
      </c>
      <c r="K42" s="351">
        <f t="shared" ca="1" si="12"/>
        <v>13229.477378905916</v>
      </c>
      <c r="L42" s="351">
        <f t="shared" ca="1" si="12"/>
        <v>13237.370060084368</v>
      </c>
      <c r="M42" s="351">
        <f t="shared" ca="1" si="12"/>
        <v>12888.572202344896</v>
      </c>
      <c r="N42" s="351">
        <f t="shared" ca="1" si="12"/>
        <v>12511.721896403606</v>
      </c>
      <c r="O42" s="351">
        <f t="shared" ca="1" si="12"/>
        <v>12073.293896403606</v>
      </c>
      <c r="P42" s="351">
        <f t="shared" ca="1" si="12"/>
        <v>11032.428896403604</v>
      </c>
      <c r="Q42" s="351">
        <f t="shared" ca="1" si="12"/>
        <v>9780.9874482018022</v>
      </c>
      <c r="R42" s="351">
        <f t="shared" ca="1" si="12"/>
        <v>8565.7859999999982</v>
      </c>
      <c r="S42" s="351">
        <f ca="1">S40-S41</f>
        <v>7806.3312500000002</v>
      </c>
      <c r="T42" s="351">
        <f ca="1">T40-T41</f>
        <v>6776.8233333333337</v>
      </c>
      <c r="U42" s="351">
        <f ca="1">U40-U41</f>
        <v>6531.0249999999987</v>
      </c>
      <c r="V42" s="351">
        <f ca="1">V40-V41</f>
        <v>6266.13</v>
      </c>
      <c r="W42" s="351">
        <v>0</v>
      </c>
    </row>
    <row r="43" spans="1:44">
      <c r="A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  <c r="T43" s="337"/>
      <c r="U43" s="337"/>
      <c r="V43" s="337"/>
      <c r="W43" s="337"/>
    </row>
    <row r="44" spans="1:44">
      <c r="A44" s="345" t="s">
        <v>329</v>
      </c>
      <c r="C44" s="351">
        <f ca="1">C42*'ASSUM 1'!$S$46</f>
        <v>94.036448769673299</v>
      </c>
      <c r="D44" s="351">
        <f ca="1">D42*'ASSUM 1'!$S$46</f>
        <v>96.29025556432812</v>
      </c>
      <c r="E44" s="351">
        <f ca="1">E42*'ASSUM 1'!$S$46</f>
        <v>97.850986631185336</v>
      </c>
      <c r="F44" s="351">
        <f ca="1">F42*'ASSUM 1'!$S$46</f>
        <v>100.48614431859328</v>
      </c>
      <c r="G44" s="351">
        <f ca="1">G42*'ASSUM 1'!$S$46</f>
        <v>101.86771680459985</v>
      </c>
      <c r="H44" s="351">
        <f ca="1">H42*'ASSUM 1'!$S$46</f>
        <v>105.38724560194991</v>
      </c>
      <c r="I44" s="351">
        <f ca="1">I42*'ASSUM 1'!$S$46</f>
        <v>106.45483660845719</v>
      </c>
      <c r="J44" s="351">
        <f ca="1">J42*'ASSUM 1'!$S$46</f>
        <v>107.45826516743416</v>
      </c>
      <c r="K44" s="351">
        <f ca="1">K42*'ASSUM 1'!$S$46</f>
        <v>105.83581903124734</v>
      </c>
      <c r="L44" s="351">
        <f ca="1">L42*'ASSUM 1'!$S$46</f>
        <v>105.89896048067494</v>
      </c>
      <c r="M44" s="351">
        <f ca="1">M42*'ASSUM 1'!$S$46</f>
        <v>103.10857761875917</v>
      </c>
      <c r="N44" s="351">
        <f ca="1">N42*'ASSUM 1'!$S$46</f>
        <v>100.09377517122884</v>
      </c>
      <c r="O44" s="351">
        <f ca="1">O42*'ASSUM 1'!$S$46</f>
        <v>96.586351171228841</v>
      </c>
      <c r="P44" s="351">
        <f ca="1">P42*'ASSUM 1'!$S$46</f>
        <v>88.25943117122884</v>
      </c>
      <c r="Q44" s="351">
        <f ca="1">Q42*'ASSUM 1'!$S$46</f>
        <v>78.247899585614419</v>
      </c>
      <c r="R44" s="351">
        <f ca="1">R42*'ASSUM 1'!$S$46</f>
        <v>68.526287999999994</v>
      </c>
      <c r="S44" s="351">
        <f ca="1">S42*'ASSUM 1'!$S$46</f>
        <v>62.450650000000003</v>
      </c>
      <c r="T44" s="351">
        <f ca="1">T42*'ASSUM 1'!$S$46</f>
        <v>54.214586666666669</v>
      </c>
      <c r="U44" s="351">
        <f ca="1">U42*'ASSUM 1'!$S$46</f>
        <v>52.24819999999999</v>
      </c>
      <c r="V44" s="351">
        <f ca="1">V42*'ASSUM 1'!$S$46</f>
        <v>50.129040000000003</v>
      </c>
      <c r="W44" s="351">
        <v>0</v>
      </c>
    </row>
    <row r="47" spans="1:44">
      <c r="A47" s="338" t="s">
        <v>441</v>
      </c>
      <c r="C47" s="338">
        <v>0.5</v>
      </c>
      <c r="D47" s="338">
        <v>1.5</v>
      </c>
      <c r="E47" s="338">
        <v>2.5</v>
      </c>
      <c r="F47" s="338">
        <v>3.5</v>
      </c>
      <c r="G47" s="338">
        <v>4.5</v>
      </c>
      <c r="H47" s="338">
        <v>5.5</v>
      </c>
      <c r="I47" s="338">
        <v>6.5</v>
      </c>
      <c r="J47" s="338">
        <v>7.5</v>
      </c>
      <c r="K47" s="338">
        <v>8.5</v>
      </c>
      <c r="L47" s="338">
        <v>9.5</v>
      </c>
      <c r="M47" s="338">
        <v>10.5</v>
      </c>
      <c r="N47" s="338">
        <v>11.5</v>
      </c>
      <c r="O47" s="338">
        <v>12.5</v>
      </c>
      <c r="P47" s="338">
        <v>13.5</v>
      </c>
      <c r="Q47" s="338">
        <v>14.5</v>
      </c>
      <c r="R47" s="338">
        <v>15.5</v>
      </c>
      <c r="S47" s="338">
        <v>16.5</v>
      </c>
      <c r="T47" s="338">
        <v>17.5</v>
      </c>
      <c r="U47" s="338">
        <v>18.5</v>
      </c>
      <c r="V47" s="338">
        <v>19.5</v>
      </c>
      <c r="W47" s="338">
        <v>20.5</v>
      </c>
    </row>
    <row r="48" spans="1:44">
      <c r="A48" s="338" t="s">
        <v>451</v>
      </c>
      <c r="B48" s="778">
        <f ca="1">SUM(C48:W48)</f>
        <v>1051484.5661325592</v>
      </c>
      <c r="C48" s="778">
        <f ca="1">C47*C30</f>
        <v>0</v>
      </c>
      <c r="D48" s="778">
        <f ca="1">D47*D28</f>
        <v>2085.1035491791263</v>
      </c>
      <c r="E48" s="778">
        <f t="shared" ref="E48:W48" ca="1" si="13">E47*E28</f>
        <v>3884.8166592438729</v>
      </c>
      <c r="F48" s="778">
        <f t="shared" ca="1" si="13"/>
        <v>6760.4571871925818</v>
      </c>
      <c r="G48" s="778">
        <f t="shared" ca="1" si="13"/>
        <v>10385.395748792316</v>
      </c>
      <c r="H48" s="778">
        <f t="shared" ca="1" si="13"/>
        <v>12693.261470746165</v>
      </c>
      <c r="I48" s="778">
        <f t="shared" ca="1" si="13"/>
        <v>20517.961785409225</v>
      </c>
      <c r="J48" s="778">
        <f t="shared" ca="1" si="13"/>
        <v>23674.571290856868</v>
      </c>
      <c r="K48" s="778">
        <f t="shared" ca="1" si="13"/>
        <v>35188.1443189446</v>
      </c>
      <c r="L48" s="778">
        <f t="shared" ca="1" si="13"/>
        <v>39327.926003526321</v>
      </c>
      <c r="M48" s="778">
        <f t="shared" ca="1" si="13"/>
        <v>54965.699993342198</v>
      </c>
      <c r="N48" s="778">
        <f t="shared" ca="1" si="13"/>
        <v>60200.528564136795</v>
      </c>
      <c r="O48" s="778">
        <f t="shared" ca="1" si="13"/>
        <v>67183.59375</v>
      </c>
      <c r="P48" s="778">
        <f t="shared" ca="1" si="13"/>
        <v>72558.28125</v>
      </c>
      <c r="Q48" s="778">
        <f t="shared" ca="1" si="13"/>
        <v>90205.762496241412</v>
      </c>
      <c r="R48" s="778">
        <f t="shared" ca="1" si="13"/>
        <v>96426.849564947872</v>
      </c>
      <c r="S48" s="778">
        <f t="shared" ca="1" si="13"/>
        <v>102325.78125</v>
      </c>
      <c r="T48" s="778">
        <f t="shared" ca="1" si="13"/>
        <v>108527.34375</v>
      </c>
      <c r="U48" s="778">
        <f t="shared" ca="1" si="13"/>
        <v>76485.9375</v>
      </c>
      <c r="V48" s="778">
        <f t="shared" ca="1" si="13"/>
        <v>80620.3125</v>
      </c>
      <c r="W48" s="778">
        <f t="shared" si="13"/>
        <v>87466.837500000009</v>
      </c>
    </row>
    <row r="50" spans="1:23">
      <c r="A50" s="338" t="s">
        <v>441</v>
      </c>
      <c r="C50" s="338">
        <v>1</v>
      </c>
      <c r="D50" s="338">
        <v>2</v>
      </c>
      <c r="E50" s="338">
        <v>3</v>
      </c>
      <c r="F50" s="338">
        <v>4</v>
      </c>
      <c r="G50" s="338">
        <v>5</v>
      </c>
      <c r="H50" s="338">
        <v>6</v>
      </c>
      <c r="I50" s="338">
        <v>7</v>
      </c>
      <c r="J50" s="338">
        <v>8</v>
      </c>
      <c r="K50" s="338">
        <v>9</v>
      </c>
      <c r="L50" s="338">
        <v>10</v>
      </c>
      <c r="M50" s="338">
        <v>11</v>
      </c>
      <c r="N50" s="338">
        <v>12</v>
      </c>
      <c r="O50" s="338">
        <v>13</v>
      </c>
      <c r="P50" s="338">
        <v>14</v>
      </c>
      <c r="Q50" s="338">
        <v>15</v>
      </c>
      <c r="R50" s="338">
        <v>16</v>
      </c>
      <c r="S50" s="338">
        <v>17</v>
      </c>
      <c r="T50" s="338">
        <v>18</v>
      </c>
      <c r="U50" s="338">
        <v>19</v>
      </c>
      <c r="V50" s="338">
        <v>20</v>
      </c>
      <c r="W50" s="338">
        <v>21</v>
      </c>
    </row>
    <row r="51" spans="1:23">
      <c r="A51" s="338" t="s">
        <v>451</v>
      </c>
      <c r="B51" s="778">
        <f ca="1">SUM(C51:W51)</f>
        <v>432918.28012914141</v>
      </c>
      <c r="C51" s="779">
        <f ca="1">C50*D21</f>
        <v>595.74387119403627</v>
      </c>
      <c r="D51" s="779">
        <f t="shared" ref="D51:W51" ca="1" si="14">D50*E21</f>
        <v>1331.9371403121852</v>
      </c>
      <c r="E51" s="779">
        <f t="shared" ca="1" si="14"/>
        <v>2483.4332524380916</v>
      </c>
      <c r="F51" s="779">
        <f t="shared" ca="1" si="14"/>
        <v>3956.3412376351689</v>
      </c>
      <c r="G51" s="779">
        <f t="shared" ca="1" si="14"/>
        <v>4945.4265470439614</v>
      </c>
      <c r="H51" s="779">
        <f t="shared" ca="1" si="14"/>
        <v>8116.9958711509043</v>
      </c>
      <c r="I51" s="779">
        <f t="shared" ca="1" si="14"/>
        <v>9469.8285163427481</v>
      </c>
      <c r="J51" s="779">
        <f t="shared" ca="1" si="14"/>
        <v>14193.537204280179</v>
      </c>
      <c r="K51" s="779">
        <f t="shared" ca="1" si="14"/>
        <v>15967.729354815201</v>
      </c>
      <c r="L51" s="779">
        <f t="shared" ca="1" si="14"/>
        <v>22434.97958911927</v>
      </c>
      <c r="M51" s="779">
        <f t="shared" ca="1" si="14"/>
        <v>24678.477548031242</v>
      </c>
      <c r="N51" s="779">
        <f t="shared" ca="1" si="14"/>
        <v>27641.250000000007</v>
      </c>
      <c r="O51" s="779">
        <f t="shared" ca="1" si="14"/>
        <v>29944.687500000007</v>
      </c>
      <c r="P51" s="779">
        <f t="shared" ca="1" si="14"/>
        <v>37326.522412237835</v>
      </c>
      <c r="Q51" s="779">
        <f t="shared" ca="1" si="14"/>
        <v>39992.702584540602</v>
      </c>
      <c r="R51" s="779">
        <f t="shared" ca="1" si="14"/>
        <v>42525.000000000007</v>
      </c>
      <c r="S51" s="779">
        <f t="shared" ca="1" si="14"/>
        <v>45182.812500000007</v>
      </c>
      <c r="T51" s="779">
        <f t="shared" ca="1" si="14"/>
        <v>31893.750000000007</v>
      </c>
      <c r="U51" s="779">
        <f t="shared" ca="1" si="14"/>
        <v>33665.625000000007</v>
      </c>
      <c r="V51" s="779">
        <f t="shared" si="14"/>
        <v>36571.500000000007</v>
      </c>
      <c r="W51" s="779">
        <f t="shared" si="14"/>
        <v>0</v>
      </c>
    </row>
    <row r="53" spans="1:23">
      <c r="A53" s="338" t="s">
        <v>442</v>
      </c>
      <c r="B53" s="780">
        <f ca="1">(B48+B51)/C20</f>
        <v>12.566373301686355</v>
      </c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view="pageBreakPreview" topLeftCell="A81" zoomScale="60" zoomScaleNormal="100" workbookViewId="0">
      <selection activeCell="D96" sqref="D96"/>
    </sheetView>
  </sheetViews>
  <sheetFormatPr defaultColWidth="9.81640625" defaultRowHeight="15.6"/>
  <cols>
    <col min="1" max="1" width="25.81640625" style="406" customWidth="1"/>
    <col min="2" max="2" width="4.81640625" style="406" customWidth="1"/>
    <col min="3" max="8" width="9.81640625" style="406" customWidth="1"/>
    <col min="9" max="9" width="11.6328125" style="406" customWidth="1"/>
    <col min="10" max="16384" width="9.81640625" style="406"/>
  </cols>
  <sheetData>
    <row r="1" spans="1:27" ht="22.2">
      <c r="A1" s="402" t="str">
        <f ca="1">'144A IDC'!A1</f>
        <v>DELMARVA, VA</v>
      </c>
      <c r="B1" s="403"/>
      <c r="C1" s="404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5"/>
      <c r="V1" s="403"/>
      <c r="W1" s="403"/>
      <c r="X1" s="403"/>
      <c r="Y1" s="403"/>
      <c r="Z1" s="403"/>
      <c r="AA1" s="403"/>
    </row>
    <row r="2" spans="1:27">
      <c r="A2" s="407" t="s">
        <v>332</v>
      </c>
      <c r="B2" s="408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9"/>
      <c r="V2" s="403"/>
      <c r="W2" s="403"/>
      <c r="X2" s="403"/>
      <c r="Y2" s="403"/>
      <c r="Z2" s="403"/>
      <c r="AA2" s="403"/>
    </row>
    <row r="3" spans="1:27" ht="7.5" customHeight="1">
      <c r="A3" s="410"/>
      <c r="B3" s="410"/>
      <c r="C3" s="410"/>
      <c r="D3" s="410"/>
      <c r="E3" s="410"/>
      <c r="F3" s="411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2"/>
      <c r="V3" s="412"/>
      <c r="W3" s="412"/>
      <c r="X3" s="412"/>
      <c r="Y3" s="412"/>
      <c r="Z3" s="403"/>
      <c r="AA3" s="403"/>
    </row>
    <row r="4" spans="1:27">
      <c r="A4" s="403"/>
      <c r="B4" s="403"/>
      <c r="C4" s="403"/>
      <c r="D4" s="403"/>
      <c r="E4" s="403"/>
      <c r="F4" s="41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14"/>
      <c r="V4" s="403"/>
      <c r="W4" s="403"/>
      <c r="X4" s="403"/>
      <c r="Y4" s="403"/>
      <c r="Z4" s="403"/>
      <c r="AA4" s="403"/>
    </row>
    <row r="5" spans="1:27">
      <c r="A5" s="415" t="s">
        <v>333</v>
      </c>
      <c r="B5" s="416"/>
      <c r="C5" s="417">
        <f>'ASSUM 1'!Q7</f>
        <v>17</v>
      </c>
      <c r="D5" s="408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3"/>
      <c r="S5" s="403"/>
      <c r="T5" s="403"/>
      <c r="U5" s="403"/>
      <c r="V5" s="403"/>
      <c r="W5" s="403"/>
      <c r="X5" s="403"/>
      <c r="Y5" s="403"/>
      <c r="Z5" s="403"/>
      <c r="AA5" s="403"/>
    </row>
    <row r="6" spans="1:27">
      <c r="A6" s="416"/>
      <c r="B6" s="416"/>
      <c r="C6" s="417"/>
      <c r="D6" s="403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</row>
    <row r="7" spans="1:27">
      <c r="A7" s="578" t="str">
        <f>+'144A Draw'!A5</f>
        <v>Month of Construction</v>
      </c>
      <c r="B7" s="403"/>
      <c r="C7" s="404"/>
      <c r="D7" s="419">
        <f>'144A Draw'!C5</f>
        <v>1</v>
      </c>
      <c r="E7" s="419">
        <f>'144A Draw'!D5</f>
        <v>2</v>
      </c>
      <c r="F7" s="419">
        <f>'144A Draw'!E5</f>
        <v>3</v>
      </c>
      <c r="G7" s="419">
        <f>'144A Draw'!F5</f>
        <v>4</v>
      </c>
      <c r="H7" s="419">
        <f>'144A Draw'!G5</f>
        <v>5</v>
      </c>
      <c r="I7" s="419">
        <f>'144A Draw'!H5</f>
        <v>6</v>
      </c>
      <c r="J7" s="419">
        <f>'144A Draw'!I5</f>
        <v>7</v>
      </c>
      <c r="K7" s="419">
        <f>'144A Draw'!J5</f>
        <v>8</v>
      </c>
      <c r="L7" s="419">
        <f>'144A Draw'!K5</f>
        <v>9</v>
      </c>
      <c r="M7" s="419">
        <f>'144A Draw'!L5</f>
        <v>10</v>
      </c>
      <c r="N7" s="419">
        <f>'144A Draw'!M5</f>
        <v>11</v>
      </c>
      <c r="O7" s="419">
        <f>'144A Draw'!N5</f>
        <v>12</v>
      </c>
      <c r="P7" s="419">
        <f>'144A Draw'!O5</f>
        <v>13</v>
      </c>
      <c r="Q7" s="419">
        <f>'144A Draw'!P5</f>
        <v>14</v>
      </c>
      <c r="R7" s="419">
        <f>'144A Draw'!Q5</f>
        <v>15</v>
      </c>
      <c r="S7" s="419">
        <f>'144A Draw'!R5</f>
        <v>16</v>
      </c>
      <c r="T7" s="419">
        <f>'144A Draw'!S5</f>
        <v>17</v>
      </c>
      <c r="U7" s="419">
        <f>'144A Draw'!T5</f>
        <v>0</v>
      </c>
      <c r="V7" s="419">
        <f>'144A Draw'!U5</f>
        <v>0</v>
      </c>
      <c r="W7" s="419">
        <f>'144A Draw'!V5</f>
        <v>0</v>
      </c>
      <c r="X7" s="419">
        <f>'144A Draw'!W5</f>
        <v>0</v>
      </c>
      <c r="Y7" s="419">
        <f>'144A Draw'!X5</f>
        <v>0</v>
      </c>
      <c r="Z7" s="420"/>
      <c r="AA7" s="404" t="s">
        <v>330</v>
      </c>
    </row>
    <row r="8" spans="1:27">
      <c r="A8" s="403" t="s">
        <v>331</v>
      </c>
      <c r="B8" s="403"/>
      <c r="C8" s="404"/>
      <c r="D8" s="420">
        <f>'144A Draw'!C6</f>
        <v>36474</v>
      </c>
      <c r="E8" s="420">
        <f>DATE(IF(MONTH(D8)=12,YEAR(D8)+1,YEAR(D8)),IF(MONTH(D8)=12,1,(MONTH(D8)+1)),1)</f>
        <v>36495</v>
      </c>
      <c r="F8" s="420">
        <f t="shared" ref="F8:Y8" si="0">DATE(IF(MONTH(E8)=12,YEAR(E8)+1,YEAR(E8)),IF(MONTH(E8)=12,1,(MONTH(E8)+1)),1)</f>
        <v>36526</v>
      </c>
      <c r="G8" s="420">
        <f t="shared" si="0"/>
        <v>36557</v>
      </c>
      <c r="H8" s="420">
        <f t="shared" si="0"/>
        <v>36586</v>
      </c>
      <c r="I8" s="420">
        <f t="shared" si="0"/>
        <v>36617</v>
      </c>
      <c r="J8" s="420">
        <f t="shared" si="0"/>
        <v>36647</v>
      </c>
      <c r="K8" s="420">
        <f t="shared" si="0"/>
        <v>36678</v>
      </c>
      <c r="L8" s="420">
        <f t="shared" si="0"/>
        <v>36708</v>
      </c>
      <c r="M8" s="420">
        <f t="shared" si="0"/>
        <v>36739</v>
      </c>
      <c r="N8" s="420">
        <f t="shared" si="0"/>
        <v>36770</v>
      </c>
      <c r="O8" s="420">
        <f t="shared" si="0"/>
        <v>36800</v>
      </c>
      <c r="P8" s="420">
        <f t="shared" si="0"/>
        <v>36831</v>
      </c>
      <c r="Q8" s="420">
        <f t="shared" si="0"/>
        <v>36861</v>
      </c>
      <c r="R8" s="420">
        <f t="shared" si="0"/>
        <v>36892</v>
      </c>
      <c r="S8" s="420">
        <f t="shared" si="0"/>
        <v>36923</v>
      </c>
      <c r="T8" s="420">
        <f t="shared" si="0"/>
        <v>36951</v>
      </c>
      <c r="U8" s="420">
        <f t="shared" si="0"/>
        <v>36982</v>
      </c>
      <c r="V8" s="420">
        <f t="shared" si="0"/>
        <v>37012</v>
      </c>
      <c r="W8" s="420">
        <f t="shared" si="0"/>
        <v>37043</v>
      </c>
      <c r="X8" s="420">
        <f t="shared" si="0"/>
        <v>37073</v>
      </c>
      <c r="Y8" s="420">
        <f t="shared" si="0"/>
        <v>37104</v>
      </c>
      <c r="Z8" s="421"/>
      <c r="AA8" s="404"/>
    </row>
    <row r="9" spans="1:27">
      <c r="A9" s="403" t="s">
        <v>334</v>
      </c>
      <c r="B9" s="403"/>
      <c r="C9" s="404"/>
      <c r="D9" s="419">
        <f t="shared" ref="D9:Y9" si="1">IF(C9&gt;0,C9+1,IF(D77&lt;=0,0,1))</f>
        <v>0</v>
      </c>
      <c r="E9" s="419">
        <f t="shared" si="1"/>
        <v>0</v>
      </c>
      <c r="F9" s="419">
        <f t="shared" si="1"/>
        <v>0</v>
      </c>
      <c r="G9" s="419">
        <f t="shared" si="1"/>
        <v>0</v>
      </c>
      <c r="H9" s="419">
        <f t="shared" si="1"/>
        <v>0</v>
      </c>
      <c r="I9" s="419">
        <f t="shared" ca="1" si="1"/>
        <v>1</v>
      </c>
      <c r="J9" s="419">
        <f t="shared" ca="1" si="1"/>
        <v>2</v>
      </c>
      <c r="K9" s="419">
        <f t="shared" ca="1" si="1"/>
        <v>3</v>
      </c>
      <c r="L9" s="419">
        <f t="shared" ca="1" si="1"/>
        <v>4</v>
      </c>
      <c r="M9" s="419">
        <f t="shared" ca="1" si="1"/>
        <v>5</v>
      </c>
      <c r="N9" s="419">
        <f t="shared" ca="1" si="1"/>
        <v>6</v>
      </c>
      <c r="O9" s="419">
        <f t="shared" ca="1" si="1"/>
        <v>7</v>
      </c>
      <c r="P9" s="419">
        <f t="shared" ca="1" si="1"/>
        <v>8</v>
      </c>
      <c r="Q9" s="419">
        <f t="shared" ca="1" si="1"/>
        <v>9</v>
      </c>
      <c r="R9" s="419">
        <f t="shared" ca="1" si="1"/>
        <v>10</v>
      </c>
      <c r="S9" s="419">
        <f t="shared" ca="1" si="1"/>
        <v>11</v>
      </c>
      <c r="T9" s="419">
        <f t="shared" ca="1" si="1"/>
        <v>12</v>
      </c>
      <c r="U9" s="419">
        <f t="shared" ca="1" si="1"/>
        <v>13</v>
      </c>
      <c r="V9" s="419">
        <f t="shared" ca="1" si="1"/>
        <v>14</v>
      </c>
      <c r="W9" s="419">
        <f t="shared" ca="1" si="1"/>
        <v>15</v>
      </c>
      <c r="X9" s="419">
        <f t="shared" ca="1" si="1"/>
        <v>16</v>
      </c>
      <c r="Y9" s="419">
        <f t="shared" ca="1" si="1"/>
        <v>17</v>
      </c>
      <c r="Z9" s="421"/>
      <c r="AA9" s="404"/>
    </row>
    <row r="10" spans="1:27">
      <c r="A10" s="403"/>
      <c r="B10" s="403"/>
      <c r="C10" s="404"/>
      <c r="D10" s="403"/>
      <c r="E10" s="403"/>
      <c r="F10" s="403"/>
      <c r="G10" s="403"/>
      <c r="H10" s="403"/>
      <c r="I10" s="403"/>
      <c r="J10" s="403"/>
      <c r="K10" s="403"/>
      <c r="L10" s="403"/>
      <c r="M10" s="403"/>
      <c r="N10" s="403"/>
      <c r="O10" s="403"/>
      <c r="P10" s="403"/>
      <c r="Q10" s="403"/>
      <c r="R10" s="403"/>
      <c r="S10" s="403"/>
      <c r="T10" s="403"/>
      <c r="U10" s="403"/>
      <c r="V10" s="403"/>
      <c r="W10" s="403"/>
      <c r="X10" s="403"/>
      <c r="Y10" s="403"/>
      <c r="Z10" s="403"/>
      <c r="AA10" s="404"/>
    </row>
    <row r="11" spans="1:27" ht="16.2">
      <c r="A11" s="422" t="str">
        <f>'144A Draw'!A8</f>
        <v>Major Equipment</v>
      </c>
      <c r="B11" s="403"/>
      <c r="C11" s="423" t="s">
        <v>27</v>
      </c>
      <c r="D11" s="424"/>
      <c r="E11" s="403"/>
      <c r="F11" s="403"/>
      <c r="G11" s="403"/>
      <c r="H11" s="403"/>
      <c r="I11" s="403"/>
      <c r="J11" s="403"/>
      <c r="K11" s="403"/>
      <c r="L11" s="403"/>
      <c r="M11" s="403"/>
      <c r="N11" s="403"/>
      <c r="O11" s="403"/>
      <c r="P11" s="403"/>
      <c r="Q11" s="403"/>
      <c r="R11" s="403"/>
      <c r="S11" s="403"/>
      <c r="T11" s="403"/>
      <c r="U11" s="403"/>
      <c r="V11" s="403"/>
      <c r="W11" s="403"/>
      <c r="X11" s="403"/>
      <c r="Y11" s="403"/>
      <c r="Z11" s="403"/>
      <c r="AA11" s="404"/>
    </row>
    <row r="12" spans="1:27">
      <c r="A12" s="578" t="str">
        <f>'144A Draw'!A9</f>
        <v>Equipment Costs</v>
      </c>
      <c r="B12" s="403"/>
      <c r="C12" s="425">
        <f>'144A Draw'!B9</f>
        <v>124.665655348</v>
      </c>
      <c r="D12" s="426">
        <f>'144A Draw'!C9*$C12*1000</f>
        <v>9973.2524278399997</v>
      </c>
      <c r="E12" s="427">
        <f>'144A Draw'!D9*$C12*1000</f>
        <v>6233.2827674</v>
      </c>
      <c r="F12" s="427">
        <f>'144A Draw'!E9*$C12*1000</f>
        <v>6233.2827674</v>
      </c>
      <c r="G12" s="427">
        <f>'144A Draw'!F9*$C12*1000</f>
        <v>6233.2827674</v>
      </c>
      <c r="H12" s="427">
        <f>'144A Draw'!G9*$C12*1000</f>
        <v>6233.2827674</v>
      </c>
      <c r="I12" s="427">
        <f>'144A Draw'!H9*$C12*1000</f>
        <v>11718.571602712</v>
      </c>
      <c r="J12" s="427">
        <f>'144A Draw'!I9*$C12*1000</f>
        <v>5547.621662986</v>
      </c>
      <c r="K12" s="427">
        <f>'144A Draw'!J9*$C12*1000</f>
        <v>4799.6277308979998</v>
      </c>
      <c r="L12" s="427">
        <f>'144A Draw'!K9*$C12*1000</f>
        <v>5547.621662986</v>
      </c>
      <c r="M12" s="427">
        <f>'144A Draw'!L9*$C12*1000</f>
        <v>5547.621662986</v>
      </c>
      <c r="N12" s="427">
        <f>'144A Draw'!M9*$C12*1000</f>
        <v>8315.1992117115988</v>
      </c>
      <c r="O12" s="427">
        <f>'144A Draw'!N9*$C12*1000</f>
        <v>8315.1992117115988</v>
      </c>
      <c r="P12" s="427">
        <f>'144A Draw'!O9*$C12*1000</f>
        <v>13713.222088280001</v>
      </c>
      <c r="Q12" s="427">
        <f>'144A Draw'!P9*$C12*1000</f>
        <v>8726.5958743600004</v>
      </c>
      <c r="R12" s="427">
        <f>'144A Draw'!Q9*$C12*1000</f>
        <v>8726.5958743600004</v>
      </c>
      <c r="S12" s="427">
        <f>'144A Draw'!R9*$C12*1000</f>
        <v>8801.3952675687997</v>
      </c>
      <c r="T12" s="427">
        <f>'144A Draw'!S9*$C12*1000</f>
        <v>0</v>
      </c>
      <c r="U12" s="427">
        <f>'144A Draw'!T9*$C12*1000</f>
        <v>0</v>
      </c>
      <c r="V12" s="427">
        <f>'144A Draw'!U9*$C12*1000</f>
        <v>0</v>
      </c>
      <c r="W12" s="427">
        <f>'144A Draw'!V9*$C12*1000</f>
        <v>0</v>
      </c>
      <c r="X12" s="427">
        <f>'144A Draw'!W9*$C12*1000</f>
        <v>0</v>
      </c>
      <c r="Y12" s="427">
        <f>'144A Draw'!X9*$C12*1000</f>
        <v>0</v>
      </c>
      <c r="Z12" s="427"/>
      <c r="AA12" s="428">
        <f>C12*1000-SUM(D12:Y12)</f>
        <v>0</v>
      </c>
    </row>
    <row r="13" spans="1:27">
      <c r="A13" s="578" t="str">
        <f>'144A Draw'!A10</f>
        <v>Balance of EPC</v>
      </c>
      <c r="B13" s="403"/>
      <c r="C13" s="425">
        <f>'144A Draw'!B10</f>
        <v>12.291738486857142</v>
      </c>
      <c r="D13" s="426">
        <f>'144A Draw'!C10*$C13*1000</f>
        <v>983.33907894857134</v>
      </c>
      <c r="E13" s="427">
        <f>'144A Draw'!D10*$C13*1000</f>
        <v>614.58692434285706</v>
      </c>
      <c r="F13" s="427">
        <f>'144A Draw'!E10*$C13*1000</f>
        <v>614.58692434285706</v>
      </c>
      <c r="G13" s="427">
        <f>'144A Draw'!F10*$C13*1000</f>
        <v>614.58692434285706</v>
      </c>
      <c r="H13" s="427">
        <f>'144A Draw'!G10*$C13*1000</f>
        <v>614.58692434285706</v>
      </c>
      <c r="I13" s="427">
        <f>'144A Draw'!H10*$C13*1000</f>
        <v>1155.4234177645712</v>
      </c>
      <c r="J13" s="427">
        <f>'144A Draw'!I10*$C13*1000</f>
        <v>546.98236266514277</v>
      </c>
      <c r="K13" s="427">
        <f>'144A Draw'!J10*$C13*1000</f>
        <v>473.23193174399995</v>
      </c>
      <c r="L13" s="427">
        <f>'144A Draw'!K10*$C13*1000</f>
        <v>546.98236266514277</v>
      </c>
      <c r="M13" s="427">
        <f>'144A Draw'!L10*$C13*1000</f>
        <v>546.98236266514277</v>
      </c>
      <c r="N13" s="427">
        <f>'144A Draw'!M10*$C13*1000</f>
        <v>819.85895707337136</v>
      </c>
      <c r="O13" s="427">
        <f>'144A Draw'!N10*$C13*1000</f>
        <v>819.85895707337136</v>
      </c>
      <c r="P13" s="427">
        <f>'144A Draw'!O10*$C13*1000</f>
        <v>1352.0912335542855</v>
      </c>
      <c r="Q13" s="427">
        <f>'144A Draw'!P10*$C13*1000</f>
        <v>860.42169408000007</v>
      </c>
      <c r="R13" s="427">
        <f>'144A Draw'!Q10*$C13*1000</f>
        <v>860.42169408000007</v>
      </c>
      <c r="S13" s="427">
        <f>'144A Draw'!R10*$C13*1000</f>
        <v>867.79673717211415</v>
      </c>
      <c r="T13" s="427">
        <f>'144A Draw'!S10*$C13*1000</f>
        <v>0</v>
      </c>
      <c r="U13" s="427">
        <f>'144A Draw'!T10*$C13*1000</f>
        <v>0</v>
      </c>
      <c r="V13" s="427">
        <f>'144A Draw'!U10*$C13*1000</f>
        <v>0</v>
      </c>
      <c r="W13" s="427">
        <f>'144A Draw'!V10*$C13*1000</f>
        <v>0</v>
      </c>
      <c r="X13" s="427">
        <f>'144A Draw'!W10*$C13*1000</f>
        <v>0</v>
      </c>
      <c r="Y13" s="427">
        <f>'144A Draw'!X10*$C13*1000</f>
        <v>0</v>
      </c>
      <c r="Z13" s="427"/>
      <c r="AA13" s="428">
        <f>C13*1000-SUM(D13:Y13)</f>
        <v>0</v>
      </c>
    </row>
    <row r="14" spans="1:27">
      <c r="A14" s="578" t="str">
        <f>'144A Draw'!A11</f>
        <v>Other</v>
      </c>
      <c r="B14" s="403"/>
      <c r="C14" s="425">
        <f>'144A Draw'!B11</f>
        <v>0</v>
      </c>
      <c r="D14" s="426">
        <f>'144A Draw'!C11*$C14*1000</f>
        <v>0</v>
      </c>
      <c r="E14" s="427">
        <f>'144A Draw'!D11*$C14*1000</f>
        <v>0</v>
      </c>
      <c r="F14" s="427">
        <f>'144A Draw'!E11*$C14*1000</f>
        <v>0</v>
      </c>
      <c r="G14" s="427">
        <f>'144A Draw'!F11*$C14*1000</f>
        <v>0</v>
      </c>
      <c r="H14" s="427">
        <f>'144A Draw'!G11*$C14*1000</f>
        <v>0</v>
      </c>
      <c r="I14" s="427">
        <f>'144A Draw'!H11*$C14*1000</f>
        <v>0</v>
      </c>
      <c r="J14" s="427">
        <f>'144A Draw'!I11*$C14*1000</f>
        <v>0</v>
      </c>
      <c r="K14" s="427">
        <f>'144A Draw'!J11*$C14*1000</f>
        <v>0</v>
      </c>
      <c r="L14" s="427">
        <f>'144A Draw'!K11*$C14*1000</f>
        <v>0</v>
      </c>
      <c r="M14" s="427">
        <f>'144A Draw'!L11*$C14*1000</f>
        <v>0</v>
      </c>
      <c r="N14" s="427">
        <f>'144A Draw'!M11*$C14*1000</f>
        <v>0</v>
      </c>
      <c r="O14" s="427">
        <f>'144A Draw'!N11*$C14*1000</f>
        <v>0</v>
      </c>
      <c r="P14" s="427">
        <f>'144A Draw'!O11*$C14*1000</f>
        <v>0</v>
      </c>
      <c r="Q14" s="427">
        <f>'144A Draw'!P11*$C14*1000</f>
        <v>0</v>
      </c>
      <c r="R14" s="427">
        <f>'144A Draw'!Q11*$C14*1000</f>
        <v>0</v>
      </c>
      <c r="S14" s="427">
        <f>'144A Draw'!R11*$C14*1000</f>
        <v>0</v>
      </c>
      <c r="T14" s="427">
        <f>'144A Draw'!S11*$C14*1000</f>
        <v>0</v>
      </c>
      <c r="U14" s="427">
        <f>'144A Draw'!T11*$C14*1000</f>
        <v>0</v>
      </c>
      <c r="V14" s="427">
        <f>'144A Draw'!U11*$C14*1000</f>
        <v>0</v>
      </c>
      <c r="W14" s="427">
        <f>'144A Draw'!V11*$C14*1000</f>
        <v>0</v>
      </c>
      <c r="X14" s="427">
        <f>'144A Draw'!W11*$C14*1000</f>
        <v>0</v>
      </c>
      <c r="Y14" s="427">
        <f>'144A Draw'!X11*$C14*1000</f>
        <v>0</v>
      </c>
      <c r="Z14" s="427"/>
      <c r="AA14" s="428">
        <f>C14*1000-SUM(D14:Y14)</f>
        <v>0</v>
      </c>
    </row>
    <row r="15" spans="1:27">
      <c r="A15" s="578" t="str">
        <f>'144A Draw'!A12</f>
        <v>Other</v>
      </c>
      <c r="B15" s="403"/>
      <c r="C15" s="425">
        <f>'144A Draw'!B12</f>
        <v>0</v>
      </c>
      <c r="D15" s="426">
        <f>'144A Draw'!C12*$C15*1000</f>
        <v>0</v>
      </c>
      <c r="E15" s="427">
        <f>'144A Draw'!D12*$C15*1000</f>
        <v>0</v>
      </c>
      <c r="F15" s="427">
        <f>'144A Draw'!E12*$C15*1000</f>
        <v>0</v>
      </c>
      <c r="G15" s="427">
        <f>'144A Draw'!F12*$C15*1000</f>
        <v>0</v>
      </c>
      <c r="H15" s="427">
        <f>'144A Draw'!G12*$C15*1000</f>
        <v>0</v>
      </c>
      <c r="I15" s="427">
        <f>'144A Draw'!H12*$C15*1000</f>
        <v>0</v>
      </c>
      <c r="J15" s="427">
        <f>'144A Draw'!I12*$C15*1000</f>
        <v>0</v>
      </c>
      <c r="K15" s="427">
        <f>'144A Draw'!J12*$C15*1000</f>
        <v>0</v>
      </c>
      <c r="L15" s="427">
        <f>'144A Draw'!K12*$C15*1000</f>
        <v>0</v>
      </c>
      <c r="M15" s="427">
        <f>'144A Draw'!L12*$C15*1000</f>
        <v>0</v>
      </c>
      <c r="N15" s="427">
        <f>'144A Draw'!M12*$C15*1000</f>
        <v>0</v>
      </c>
      <c r="O15" s="427">
        <f>'144A Draw'!N12*$C15*1000</f>
        <v>0</v>
      </c>
      <c r="P15" s="427">
        <f>'144A Draw'!O12*$C15*1000</f>
        <v>0</v>
      </c>
      <c r="Q15" s="427">
        <f>'144A Draw'!P12*$C15*1000</f>
        <v>0</v>
      </c>
      <c r="R15" s="427">
        <f>'144A Draw'!Q12*$C15*1000</f>
        <v>0</v>
      </c>
      <c r="S15" s="427">
        <f>'144A Draw'!R12*$C15*1000</f>
        <v>0</v>
      </c>
      <c r="T15" s="427">
        <f>'144A Draw'!S12*$C15*1000</f>
        <v>0</v>
      </c>
      <c r="U15" s="427">
        <f>'144A Draw'!T12*$C15*1000</f>
        <v>0</v>
      </c>
      <c r="V15" s="427">
        <f>'144A Draw'!U12*$C15*1000</f>
        <v>0</v>
      </c>
      <c r="W15" s="427">
        <f>'144A Draw'!V12*$C15*1000</f>
        <v>0</v>
      </c>
      <c r="X15" s="427">
        <f>'144A Draw'!W12*$C15*1000</f>
        <v>0</v>
      </c>
      <c r="Y15" s="427">
        <f>'144A Draw'!X12*$C15*1000</f>
        <v>0</v>
      </c>
      <c r="Z15" s="427"/>
      <c r="AA15" s="428">
        <f>C15*1000-SUM(D15:Y15)</f>
        <v>0</v>
      </c>
    </row>
    <row r="16" spans="1:27">
      <c r="A16" s="578" t="str">
        <f>'144A Draw'!A13</f>
        <v>Duties on Equipment</v>
      </c>
      <c r="B16" s="403"/>
      <c r="C16" s="429">
        <f>'144A Draw'!B13</f>
        <v>0</v>
      </c>
      <c r="D16" s="426">
        <f>'144A Draw'!C13*$C16*1000</f>
        <v>0</v>
      </c>
      <c r="E16" s="427">
        <f>'144A Draw'!D13*$C16*1000</f>
        <v>0</v>
      </c>
      <c r="F16" s="427">
        <f>'144A Draw'!E13*$C16*1000</f>
        <v>0</v>
      </c>
      <c r="G16" s="427">
        <f>'144A Draw'!F13*$C16*1000</f>
        <v>0</v>
      </c>
      <c r="H16" s="427">
        <f>'144A Draw'!G13*$C16*1000</f>
        <v>0</v>
      </c>
      <c r="I16" s="427">
        <f>'144A Draw'!H13*$C16*1000</f>
        <v>0</v>
      </c>
      <c r="J16" s="427">
        <f>'144A Draw'!I13*$C16*1000</f>
        <v>0</v>
      </c>
      <c r="K16" s="427">
        <f>'144A Draw'!J13*$C16*1000</f>
        <v>0</v>
      </c>
      <c r="L16" s="427">
        <f>'144A Draw'!K13*$C16*1000</f>
        <v>0</v>
      </c>
      <c r="M16" s="427">
        <f>'144A Draw'!L13*$C16*1000</f>
        <v>0</v>
      </c>
      <c r="N16" s="427">
        <f>'144A Draw'!M13*$C16*1000</f>
        <v>0</v>
      </c>
      <c r="O16" s="427">
        <f>'144A Draw'!N13*$C16*1000</f>
        <v>0</v>
      </c>
      <c r="P16" s="427">
        <f>'144A Draw'!O13*$C16*1000</f>
        <v>0</v>
      </c>
      <c r="Q16" s="427">
        <f>'144A Draw'!P13*$C16*1000</f>
        <v>0</v>
      </c>
      <c r="R16" s="427">
        <f>'144A Draw'!Q13*$C16*1000</f>
        <v>0</v>
      </c>
      <c r="S16" s="427">
        <f>'144A Draw'!R13*$C16*1000</f>
        <v>0</v>
      </c>
      <c r="T16" s="427">
        <f>'144A Draw'!S13*$C16*1000</f>
        <v>0</v>
      </c>
      <c r="U16" s="427">
        <f>'144A Draw'!T13*$C16*1000</f>
        <v>0</v>
      </c>
      <c r="V16" s="427">
        <f>'144A Draw'!U13*$C16*1000</f>
        <v>0</v>
      </c>
      <c r="W16" s="427">
        <f>'144A Draw'!V13*$C16*1000</f>
        <v>0</v>
      </c>
      <c r="X16" s="427">
        <f>'144A Draw'!W13*$C16*1000</f>
        <v>0</v>
      </c>
      <c r="Y16" s="427">
        <f>'144A Draw'!X13*$C16*1000</f>
        <v>0</v>
      </c>
      <c r="Z16" s="427"/>
      <c r="AA16" s="428">
        <f>C16*1000-SUM(D16:Y16)</f>
        <v>0</v>
      </c>
    </row>
    <row r="17" spans="1:27">
      <c r="A17" s="578" t="str">
        <f>'144A Draw'!A14</f>
        <v xml:space="preserve">   Total Major Equipment</v>
      </c>
      <c r="B17" s="403"/>
      <c r="C17" s="425">
        <f>SUM(C12:C16)</f>
        <v>136.95739383485716</v>
      </c>
      <c r="D17" s="426"/>
      <c r="E17" s="427"/>
      <c r="F17" s="427"/>
      <c r="G17" s="427"/>
      <c r="H17" s="427"/>
      <c r="I17" s="427"/>
      <c r="J17" s="427"/>
      <c r="K17" s="427"/>
      <c r="L17" s="427"/>
      <c r="M17" s="427"/>
      <c r="N17" s="427"/>
      <c r="O17" s="427"/>
      <c r="P17" s="427"/>
      <c r="Q17" s="427"/>
      <c r="R17" s="427"/>
      <c r="S17" s="427"/>
      <c r="T17" s="427"/>
      <c r="U17" s="427"/>
      <c r="V17" s="427"/>
      <c r="W17" s="427"/>
      <c r="X17" s="427"/>
      <c r="Y17" s="427"/>
      <c r="Z17" s="427"/>
      <c r="AA17" s="403"/>
    </row>
    <row r="18" spans="1:27">
      <c r="A18" s="578"/>
      <c r="B18" s="403"/>
      <c r="C18" s="425"/>
      <c r="D18" s="426"/>
      <c r="E18" s="427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427"/>
      <c r="Q18" s="427"/>
      <c r="R18" s="427"/>
      <c r="S18" s="427"/>
      <c r="T18" s="427"/>
      <c r="U18" s="427"/>
      <c r="V18" s="427"/>
      <c r="W18" s="427"/>
      <c r="X18" s="427"/>
      <c r="Y18" s="427"/>
      <c r="Z18" s="427"/>
      <c r="AA18" s="403"/>
    </row>
    <row r="19" spans="1:27" ht="16.2">
      <c r="A19" s="578" t="str">
        <f>'144A Draw'!A16</f>
        <v>Engineering / Construction</v>
      </c>
      <c r="B19" s="403"/>
      <c r="C19" s="430"/>
      <c r="D19" s="426"/>
      <c r="E19" s="427"/>
      <c r="F19" s="427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27"/>
      <c r="Z19" s="427"/>
      <c r="AA19" s="403"/>
    </row>
    <row r="20" spans="1:27">
      <c r="A20" s="578" t="str">
        <f>'144A Draw'!A17</f>
        <v>Other</v>
      </c>
      <c r="B20" s="403"/>
      <c r="C20" s="425">
        <f>'144A Draw'!B17</f>
        <v>0</v>
      </c>
      <c r="D20" s="426">
        <f>'144A Draw'!C17*$C20*1000</f>
        <v>0</v>
      </c>
      <c r="E20" s="427">
        <f>'144A Draw'!D17*$C20*1000</f>
        <v>0</v>
      </c>
      <c r="F20" s="427">
        <f>'144A Draw'!E17*$C20*1000</f>
        <v>0</v>
      </c>
      <c r="G20" s="427">
        <f>'144A Draw'!F17*$C20*1000</f>
        <v>0</v>
      </c>
      <c r="H20" s="427">
        <f>'144A Draw'!G17*$C20*1000</f>
        <v>0</v>
      </c>
      <c r="I20" s="427">
        <f>'144A Draw'!H17*$C20*1000</f>
        <v>0</v>
      </c>
      <c r="J20" s="427">
        <f>'144A Draw'!I17*$C20*1000</f>
        <v>0</v>
      </c>
      <c r="K20" s="427">
        <f>'144A Draw'!J17*$C20*1000</f>
        <v>0</v>
      </c>
      <c r="L20" s="427">
        <f>'144A Draw'!K17*$C20*1000</f>
        <v>0</v>
      </c>
      <c r="M20" s="427">
        <f>'144A Draw'!L17*$C20*1000</f>
        <v>0</v>
      </c>
      <c r="N20" s="427">
        <f>'144A Draw'!M17*$C20*1000</f>
        <v>0</v>
      </c>
      <c r="O20" s="427">
        <f>'144A Draw'!N17*$C20*1000</f>
        <v>0</v>
      </c>
      <c r="P20" s="427">
        <f>'144A Draw'!O17*$C20*1000</f>
        <v>0</v>
      </c>
      <c r="Q20" s="427">
        <f>'144A Draw'!P17*$C20*1000</f>
        <v>0</v>
      </c>
      <c r="R20" s="427">
        <f>'144A Draw'!Q17*$C20*1000</f>
        <v>0</v>
      </c>
      <c r="S20" s="427">
        <f>'144A Draw'!R17*$C20*1000</f>
        <v>0</v>
      </c>
      <c r="T20" s="427">
        <f>'144A Draw'!S17*$C20*1000</f>
        <v>0</v>
      </c>
      <c r="U20" s="427">
        <f>'144A Draw'!T17*$C20*1000</f>
        <v>0</v>
      </c>
      <c r="V20" s="427">
        <f>'144A Draw'!U17*$C20*1000</f>
        <v>0</v>
      </c>
      <c r="W20" s="427">
        <f>'144A Draw'!V17*$C20*1000</f>
        <v>0</v>
      </c>
      <c r="X20" s="427">
        <f>'144A Draw'!W17*$C20*1000</f>
        <v>0</v>
      </c>
      <c r="Y20" s="427">
        <f>'144A Draw'!X17*$C20*1000</f>
        <v>0</v>
      </c>
      <c r="Z20" s="427"/>
      <c r="AA20" s="428">
        <f t="shared" ref="AA20:AA25" si="2">C20*1000-SUM(D20:Y20)</f>
        <v>0</v>
      </c>
    </row>
    <row r="21" spans="1:27">
      <c r="A21" s="578" t="str">
        <f>'144A Draw'!A18</f>
        <v>Other</v>
      </c>
      <c r="B21" s="403"/>
      <c r="C21" s="425">
        <f>'144A Draw'!B18</f>
        <v>0</v>
      </c>
      <c r="D21" s="426">
        <f>'144A Draw'!C18*$C21*1000</f>
        <v>0</v>
      </c>
      <c r="E21" s="427">
        <f>'144A Draw'!D18*$C21*1000</f>
        <v>0</v>
      </c>
      <c r="F21" s="427">
        <f>'144A Draw'!E18*$C21*1000</f>
        <v>0</v>
      </c>
      <c r="G21" s="427">
        <f>'144A Draw'!F18*$C21*1000</f>
        <v>0</v>
      </c>
      <c r="H21" s="427">
        <f>'144A Draw'!G18*$C21*1000</f>
        <v>0</v>
      </c>
      <c r="I21" s="427">
        <f>'144A Draw'!H18*$C21*1000</f>
        <v>0</v>
      </c>
      <c r="J21" s="427">
        <f>'144A Draw'!I18*$C21*1000</f>
        <v>0</v>
      </c>
      <c r="K21" s="427">
        <f>'144A Draw'!J18*$C21*1000</f>
        <v>0</v>
      </c>
      <c r="L21" s="427">
        <f>'144A Draw'!K18*$C21*1000</f>
        <v>0</v>
      </c>
      <c r="M21" s="427">
        <f>'144A Draw'!L18*$C21*1000</f>
        <v>0</v>
      </c>
      <c r="N21" s="427">
        <f>'144A Draw'!M18*$C21*1000</f>
        <v>0</v>
      </c>
      <c r="O21" s="427">
        <f>'144A Draw'!N18*$C21*1000</f>
        <v>0</v>
      </c>
      <c r="P21" s="427">
        <f>'144A Draw'!O18*$C21*1000</f>
        <v>0</v>
      </c>
      <c r="Q21" s="427">
        <f>'144A Draw'!P18*$C21*1000</f>
        <v>0</v>
      </c>
      <c r="R21" s="427">
        <f>'144A Draw'!Q18*$C21*1000</f>
        <v>0</v>
      </c>
      <c r="S21" s="427">
        <f>'144A Draw'!R18*$C21*1000</f>
        <v>0</v>
      </c>
      <c r="T21" s="427">
        <f>'144A Draw'!S18*$C21*1000</f>
        <v>0</v>
      </c>
      <c r="U21" s="427">
        <f>'144A Draw'!T18*$C21*1000</f>
        <v>0</v>
      </c>
      <c r="V21" s="427">
        <f>'144A Draw'!U18*$C21*1000</f>
        <v>0</v>
      </c>
      <c r="W21" s="427">
        <f>'144A Draw'!V18*$C21*1000</f>
        <v>0</v>
      </c>
      <c r="X21" s="427">
        <f>'144A Draw'!W18*$C21*1000</f>
        <v>0</v>
      </c>
      <c r="Y21" s="427">
        <f>'144A Draw'!X18*$C21*1000</f>
        <v>0</v>
      </c>
      <c r="Z21" s="427"/>
      <c r="AA21" s="428">
        <f t="shared" si="2"/>
        <v>0</v>
      </c>
    </row>
    <row r="22" spans="1:27">
      <c r="A22" s="578" t="str">
        <f>'144A Draw'!A19</f>
        <v>Other</v>
      </c>
      <c r="B22" s="403"/>
      <c r="C22" s="425">
        <f>'144A Draw'!B19</f>
        <v>0</v>
      </c>
      <c r="D22" s="426">
        <f>'144A Draw'!C19*$C22*1000</f>
        <v>0</v>
      </c>
      <c r="E22" s="427">
        <f>'144A Draw'!D19*$C22*1000</f>
        <v>0</v>
      </c>
      <c r="F22" s="427">
        <f>'144A Draw'!E19*$C22*1000</f>
        <v>0</v>
      </c>
      <c r="G22" s="427">
        <f>'144A Draw'!F19*$C22*1000</f>
        <v>0</v>
      </c>
      <c r="H22" s="427">
        <f>'144A Draw'!G19*$C22*1000</f>
        <v>0</v>
      </c>
      <c r="I22" s="427">
        <f>'144A Draw'!H19*$C22*1000</f>
        <v>0</v>
      </c>
      <c r="J22" s="427">
        <f>'144A Draw'!I19*$C22*1000</f>
        <v>0</v>
      </c>
      <c r="K22" s="427">
        <f>'144A Draw'!J19*$C22*1000</f>
        <v>0</v>
      </c>
      <c r="L22" s="427">
        <f>'144A Draw'!K19*$C22*1000</f>
        <v>0</v>
      </c>
      <c r="M22" s="427">
        <f>'144A Draw'!L19*$C22*1000</f>
        <v>0</v>
      </c>
      <c r="N22" s="427">
        <f>'144A Draw'!M19*$C22*1000</f>
        <v>0</v>
      </c>
      <c r="O22" s="427">
        <f>'144A Draw'!N19*$C22*1000</f>
        <v>0</v>
      </c>
      <c r="P22" s="427">
        <f>'144A Draw'!O19*$C22*1000</f>
        <v>0</v>
      </c>
      <c r="Q22" s="427">
        <f>'144A Draw'!P19*$C22*1000</f>
        <v>0</v>
      </c>
      <c r="R22" s="427">
        <f>'144A Draw'!Q19*$C22*1000</f>
        <v>0</v>
      </c>
      <c r="S22" s="427">
        <f>'144A Draw'!R19*$C22*1000</f>
        <v>0</v>
      </c>
      <c r="T22" s="427">
        <f>'144A Draw'!S19*$C22*1000</f>
        <v>0</v>
      </c>
      <c r="U22" s="427">
        <f>'144A Draw'!T19*$C22*1000</f>
        <v>0</v>
      </c>
      <c r="V22" s="427">
        <f>'144A Draw'!U19*$C22*1000</f>
        <v>0</v>
      </c>
      <c r="W22" s="427">
        <f>'144A Draw'!V19*$C22*1000</f>
        <v>0</v>
      </c>
      <c r="X22" s="427">
        <f>'144A Draw'!W19*$C22*1000</f>
        <v>0</v>
      </c>
      <c r="Y22" s="427">
        <f>'144A Draw'!X19*$C22*1000</f>
        <v>0</v>
      </c>
      <c r="Z22" s="427"/>
      <c r="AA22" s="428">
        <f t="shared" si="2"/>
        <v>0</v>
      </c>
    </row>
    <row r="23" spans="1:27">
      <c r="A23" s="578" t="str">
        <f>'144A Draw'!A20</f>
        <v>Other</v>
      </c>
      <c r="B23" s="403"/>
      <c r="C23" s="425">
        <f>'144A Draw'!B20</f>
        <v>0</v>
      </c>
      <c r="D23" s="426">
        <f>'144A Draw'!C20*$C23*1000</f>
        <v>0</v>
      </c>
      <c r="E23" s="427">
        <f>'144A Draw'!D20*$C23*1000</f>
        <v>0</v>
      </c>
      <c r="F23" s="427">
        <f>'144A Draw'!E20*$C23*1000</f>
        <v>0</v>
      </c>
      <c r="G23" s="427">
        <f>'144A Draw'!F20*$C23*1000</f>
        <v>0</v>
      </c>
      <c r="H23" s="427">
        <f>'144A Draw'!G20*$C23*1000</f>
        <v>0</v>
      </c>
      <c r="I23" s="427">
        <f>'144A Draw'!H20*$C23*1000</f>
        <v>0</v>
      </c>
      <c r="J23" s="427">
        <f>'144A Draw'!I20*$C23*1000</f>
        <v>0</v>
      </c>
      <c r="K23" s="427">
        <f>'144A Draw'!J20*$C23*1000</f>
        <v>0</v>
      </c>
      <c r="L23" s="427">
        <f>'144A Draw'!K20*$C23*1000</f>
        <v>0</v>
      </c>
      <c r="M23" s="427">
        <f>'144A Draw'!L20*$C23*1000</f>
        <v>0</v>
      </c>
      <c r="N23" s="427">
        <f>'144A Draw'!M20*$C23*1000</f>
        <v>0</v>
      </c>
      <c r="O23" s="427">
        <f>'144A Draw'!N20*$C23*1000</f>
        <v>0</v>
      </c>
      <c r="P23" s="427">
        <f>'144A Draw'!O20*$C23*1000</f>
        <v>0</v>
      </c>
      <c r="Q23" s="427">
        <f>'144A Draw'!P20*$C23*1000</f>
        <v>0</v>
      </c>
      <c r="R23" s="427">
        <f>'144A Draw'!Q20*$C23*1000</f>
        <v>0</v>
      </c>
      <c r="S23" s="427">
        <f>'144A Draw'!R20*$C23*1000</f>
        <v>0</v>
      </c>
      <c r="T23" s="427">
        <f>'144A Draw'!S20*$C23*1000</f>
        <v>0</v>
      </c>
      <c r="U23" s="427">
        <f>'144A Draw'!T20*$C23*1000</f>
        <v>0</v>
      </c>
      <c r="V23" s="427">
        <f>'144A Draw'!U20*$C23*1000</f>
        <v>0</v>
      </c>
      <c r="W23" s="427">
        <f>'144A Draw'!V20*$C23*1000</f>
        <v>0</v>
      </c>
      <c r="X23" s="427">
        <f>'144A Draw'!W20*$C23*1000</f>
        <v>0</v>
      </c>
      <c r="Y23" s="427">
        <f>'144A Draw'!X20*$C23*1000</f>
        <v>0</v>
      </c>
      <c r="Z23" s="427"/>
      <c r="AA23" s="428">
        <f t="shared" si="2"/>
        <v>0</v>
      </c>
    </row>
    <row r="24" spans="1:27">
      <c r="A24" s="578" t="str">
        <f>'144A Draw'!A21</f>
        <v>Other</v>
      </c>
      <c r="B24" s="403"/>
      <c r="C24" s="425">
        <f>'144A Draw'!B21</f>
        <v>0</v>
      </c>
      <c r="D24" s="426">
        <f>'144A Draw'!C21*$C24*1000</f>
        <v>0</v>
      </c>
      <c r="E24" s="427">
        <f>'144A Draw'!D21*$C24*1000</f>
        <v>0</v>
      </c>
      <c r="F24" s="427">
        <f>'144A Draw'!E21*$C24*1000</f>
        <v>0</v>
      </c>
      <c r="G24" s="427">
        <f>'144A Draw'!F21*$C24*1000</f>
        <v>0</v>
      </c>
      <c r="H24" s="427">
        <f>'144A Draw'!G21*$C24*1000</f>
        <v>0</v>
      </c>
      <c r="I24" s="427">
        <f>'144A Draw'!H21*$C24*1000</f>
        <v>0</v>
      </c>
      <c r="J24" s="427">
        <f>'144A Draw'!I21*$C24*1000</f>
        <v>0</v>
      </c>
      <c r="K24" s="427">
        <f>'144A Draw'!J21*$C24*1000</f>
        <v>0</v>
      </c>
      <c r="L24" s="427">
        <f>'144A Draw'!K21*$C24*1000</f>
        <v>0</v>
      </c>
      <c r="M24" s="427">
        <f>'144A Draw'!L21*$C24*1000</f>
        <v>0</v>
      </c>
      <c r="N24" s="427">
        <f>'144A Draw'!M21*$C24*1000</f>
        <v>0</v>
      </c>
      <c r="O24" s="427">
        <f>'144A Draw'!N21*$C24*1000</f>
        <v>0</v>
      </c>
      <c r="P24" s="427">
        <f>'144A Draw'!O21*$C24*1000</f>
        <v>0</v>
      </c>
      <c r="Q24" s="427">
        <f>'144A Draw'!P21*$C24*1000</f>
        <v>0</v>
      </c>
      <c r="R24" s="427">
        <f>'144A Draw'!Q21*$C24*1000</f>
        <v>0</v>
      </c>
      <c r="S24" s="427">
        <f>'144A Draw'!R21*$C24*1000</f>
        <v>0</v>
      </c>
      <c r="T24" s="427">
        <f>'144A Draw'!S21*$C24*1000</f>
        <v>0</v>
      </c>
      <c r="U24" s="427">
        <f>'144A Draw'!T21*$C24*1000</f>
        <v>0</v>
      </c>
      <c r="V24" s="427">
        <f>'144A Draw'!U21*$C24*1000</f>
        <v>0</v>
      </c>
      <c r="W24" s="427">
        <f>'144A Draw'!V21*$C24*1000</f>
        <v>0</v>
      </c>
      <c r="X24" s="427">
        <f>'144A Draw'!W21*$C24*1000</f>
        <v>0</v>
      </c>
      <c r="Y24" s="427">
        <f>'144A Draw'!X21*$C24*1000</f>
        <v>0</v>
      </c>
      <c r="Z24" s="427"/>
      <c r="AA24" s="428">
        <f t="shared" si="2"/>
        <v>0</v>
      </c>
    </row>
    <row r="25" spans="1:27">
      <c r="A25" s="578" t="str">
        <f>'144A Draw'!A22</f>
        <v>Other</v>
      </c>
      <c r="B25" s="403"/>
      <c r="C25" s="429">
        <f>'144A Draw'!B22</f>
        <v>0</v>
      </c>
      <c r="D25" s="426">
        <f>'144A Draw'!C22*$C25*1000</f>
        <v>0</v>
      </c>
      <c r="E25" s="427">
        <f>'144A Draw'!D22*$C25*1000</f>
        <v>0</v>
      </c>
      <c r="F25" s="427">
        <f>'144A Draw'!E22*$C25*1000</f>
        <v>0</v>
      </c>
      <c r="G25" s="427">
        <f>'144A Draw'!F22*$C25*1000</f>
        <v>0</v>
      </c>
      <c r="H25" s="427">
        <f>'144A Draw'!G22*$C25*1000</f>
        <v>0</v>
      </c>
      <c r="I25" s="427">
        <f>'144A Draw'!H22*$C25*1000</f>
        <v>0</v>
      </c>
      <c r="J25" s="427">
        <f>'144A Draw'!I22*$C25*1000</f>
        <v>0</v>
      </c>
      <c r="K25" s="427">
        <f>'144A Draw'!J22*$C25*1000</f>
        <v>0</v>
      </c>
      <c r="L25" s="427">
        <f>'144A Draw'!K22*$C25*1000</f>
        <v>0</v>
      </c>
      <c r="M25" s="427">
        <f>'144A Draw'!L22*$C25*1000</f>
        <v>0</v>
      </c>
      <c r="N25" s="427">
        <f>'144A Draw'!M22*$C25*1000</f>
        <v>0</v>
      </c>
      <c r="O25" s="427">
        <f>'144A Draw'!N22*$C25*1000</f>
        <v>0</v>
      </c>
      <c r="P25" s="427">
        <f>'144A Draw'!O22*$C25*1000</f>
        <v>0</v>
      </c>
      <c r="Q25" s="427">
        <f>'144A Draw'!P22*$C25*1000</f>
        <v>0</v>
      </c>
      <c r="R25" s="427">
        <f>'144A Draw'!Q22*$C25*1000</f>
        <v>0</v>
      </c>
      <c r="S25" s="427">
        <f>'144A Draw'!R22*$C25*1000</f>
        <v>0</v>
      </c>
      <c r="T25" s="427">
        <f>'144A Draw'!S22*$C25*1000</f>
        <v>0</v>
      </c>
      <c r="U25" s="427">
        <f>'144A Draw'!T22*$C25*1000</f>
        <v>0</v>
      </c>
      <c r="V25" s="427">
        <f>'144A Draw'!U22*$C25*1000</f>
        <v>0</v>
      </c>
      <c r="W25" s="427">
        <f>'144A Draw'!V22*$C25*1000</f>
        <v>0</v>
      </c>
      <c r="X25" s="427">
        <f>'144A Draw'!W22*$C25*1000</f>
        <v>0</v>
      </c>
      <c r="Y25" s="427">
        <f>'144A Draw'!X22*$C25*1000</f>
        <v>0</v>
      </c>
      <c r="Z25" s="427"/>
      <c r="AA25" s="428">
        <f t="shared" si="2"/>
        <v>0</v>
      </c>
    </row>
    <row r="26" spans="1:27">
      <c r="A26" s="578" t="str">
        <f>'144A Draw'!A23</f>
        <v xml:space="preserve">   Total Engineering / Construction</v>
      </c>
      <c r="B26" s="403"/>
      <c r="C26" s="425">
        <f>SUM(C20:C25)</f>
        <v>0</v>
      </c>
      <c r="D26" s="426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  <c r="V26" s="427"/>
      <c r="W26" s="427"/>
      <c r="X26" s="427"/>
      <c r="Y26" s="427"/>
      <c r="Z26" s="427"/>
      <c r="AA26" s="403"/>
    </row>
    <row r="27" spans="1:27">
      <c r="A27" s="578"/>
      <c r="B27" s="403"/>
      <c r="C27" s="425"/>
      <c r="D27" s="426"/>
      <c r="E27" s="427"/>
      <c r="F27" s="427"/>
      <c r="G27" s="427"/>
      <c r="H27" s="427"/>
      <c r="I27" s="427"/>
      <c r="J27" s="427"/>
      <c r="K27" s="427"/>
      <c r="L27" s="427"/>
      <c r="M27" s="427"/>
      <c r="N27" s="427"/>
      <c r="O27" s="427"/>
      <c r="P27" s="427"/>
      <c r="Q27" s="427"/>
      <c r="R27" s="427"/>
      <c r="S27" s="427"/>
      <c r="T27" s="427"/>
      <c r="U27" s="427"/>
      <c r="V27" s="427"/>
      <c r="W27" s="427"/>
      <c r="X27" s="427"/>
      <c r="Y27" s="427"/>
      <c r="Z27" s="427"/>
      <c r="AA27" s="403"/>
    </row>
    <row r="28" spans="1:27" ht="16.2">
      <c r="A28" s="578" t="str">
        <f>'144A Draw'!A25</f>
        <v>Other</v>
      </c>
      <c r="B28" s="403"/>
      <c r="C28" s="430"/>
      <c r="D28" s="426"/>
      <c r="E28" s="427"/>
      <c r="F28" s="427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  <c r="V28" s="427"/>
      <c r="W28" s="427"/>
      <c r="X28" s="427"/>
      <c r="Y28" s="427"/>
      <c r="Z28" s="427"/>
      <c r="AA28" s="403"/>
    </row>
    <row r="29" spans="1:27">
      <c r="A29" s="578" t="str">
        <f>'144A Draw'!A26</f>
        <v>Land</v>
      </c>
      <c r="B29" s="403"/>
      <c r="C29" s="425">
        <f>'144A Draw'!B26</f>
        <v>0.25</v>
      </c>
      <c r="D29" s="426">
        <f>'144A Draw'!C26*$C29*1000</f>
        <v>250</v>
      </c>
      <c r="E29" s="427">
        <f>'144A Draw'!D26*$C29*1000</f>
        <v>0</v>
      </c>
      <c r="F29" s="427">
        <f>'144A Draw'!E26*$C29*1000</f>
        <v>0</v>
      </c>
      <c r="G29" s="427">
        <f>'144A Draw'!F26*$C29*1000</f>
        <v>0</v>
      </c>
      <c r="H29" s="427">
        <f>'144A Draw'!G26*$C29*1000</f>
        <v>0</v>
      </c>
      <c r="I29" s="427">
        <f>'144A Draw'!H26*$C29*1000</f>
        <v>0</v>
      </c>
      <c r="J29" s="427">
        <f>'144A Draw'!I26*$C29*1000</f>
        <v>0</v>
      </c>
      <c r="K29" s="427">
        <f>'144A Draw'!J26*$C29*1000</f>
        <v>0</v>
      </c>
      <c r="L29" s="427">
        <f>'144A Draw'!K26*$C29*1000</f>
        <v>0</v>
      </c>
      <c r="M29" s="427">
        <f>'144A Draw'!L26*$C29*1000</f>
        <v>0</v>
      </c>
      <c r="N29" s="427">
        <f>'144A Draw'!M26*$C29*1000</f>
        <v>0</v>
      </c>
      <c r="O29" s="427">
        <f>'144A Draw'!N26*$C29*1000</f>
        <v>0</v>
      </c>
      <c r="P29" s="427">
        <f>'144A Draw'!O26*$C29*1000</f>
        <v>0</v>
      </c>
      <c r="Q29" s="427">
        <f>'144A Draw'!P26*$C29*1000</f>
        <v>0</v>
      </c>
      <c r="R29" s="427">
        <f>'144A Draw'!Q26*$C29*1000</f>
        <v>0</v>
      </c>
      <c r="S29" s="427">
        <f>'144A Draw'!R26*$C29*1000</f>
        <v>0</v>
      </c>
      <c r="T29" s="427">
        <f>'144A Draw'!S26*$C29*1000</f>
        <v>0</v>
      </c>
      <c r="U29" s="427">
        <f>'144A Draw'!T26*$C29*1000</f>
        <v>0</v>
      </c>
      <c r="V29" s="427">
        <f>'144A Draw'!U26*$C29*1000</f>
        <v>0</v>
      </c>
      <c r="W29" s="427">
        <f>'144A Draw'!V26*$C29*1000</f>
        <v>0</v>
      </c>
      <c r="X29" s="427">
        <f>'144A Draw'!W26*$C29*1000</f>
        <v>0</v>
      </c>
      <c r="Y29" s="427">
        <f>'144A Draw'!X26*$C29*1000</f>
        <v>0</v>
      </c>
      <c r="Z29" s="427"/>
      <c r="AA29" s="428">
        <f>C29*1000-SUM(D29:Y29)</f>
        <v>0</v>
      </c>
    </row>
    <row r="30" spans="1:27">
      <c r="A30" s="578" t="str">
        <f>'144A Draw'!A27</f>
        <v>Transmission Costs</v>
      </c>
      <c r="B30" s="403"/>
      <c r="C30" s="425">
        <f>'144A Draw'!B27</f>
        <v>1.9</v>
      </c>
      <c r="D30" s="426">
        <f>'144A Draw'!C27*$C30*1000</f>
        <v>152</v>
      </c>
      <c r="E30" s="427">
        <f>'144A Draw'!D27*$C30*1000</f>
        <v>95</v>
      </c>
      <c r="F30" s="427">
        <f>'144A Draw'!E27*$C30*1000</f>
        <v>95</v>
      </c>
      <c r="G30" s="427">
        <f>'144A Draw'!F27*$C30*1000</f>
        <v>95</v>
      </c>
      <c r="H30" s="427">
        <f>'144A Draw'!G27*$C30*1000</f>
        <v>95</v>
      </c>
      <c r="I30" s="427">
        <f>'144A Draw'!H27*$C30*1000</f>
        <v>178.6</v>
      </c>
      <c r="J30" s="427">
        <f>'144A Draw'!I27*$C30*1000</f>
        <v>84.549999999999983</v>
      </c>
      <c r="K30" s="427">
        <f>'144A Draw'!J27*$C30*1000</f>
        <v>73.149999999999991</v>
      </c>
      <c r="L30" s="427">
        <f>'144A Draw'!K27*$C30*1000</f>
        <v>84.549999999999983</v>
      </c>
      <c r="M30" s="427">
        <f>'144A Draw'!L27*$C30*1000</f>
        <v>84.549999999999983</v>
      </c>
      <c r="N30" s="427">
        <f>'144A Draw'!M27*$C30*1000</f>
        <v>126.72999999999998</v>
      </c>
      <c r="O30" s="427">
        <f>'144A Draw'!N27*$C30*1000</f>
        <v>126.72999999999998</v>
      </c>
      <c r="P30" s="427">
        <f>'144A Draw'!O27*$C30*1000</f>
        <v>209</v>
      </c>
      <c r="Q30" s="427">
        <f>'144A Draw'!P27*$C30*1000</f>
        <v>133</v>
      </c>
      <c r="R30" s="427">
        <f>'144A Draw'!Q27*$C30*1000</f>
        <v>133</v>
      </c>
      <c r="S30" s="427">
        <f>'144A Draw'!R27*$C30*1000</f>
        <v>134.13999999999999</v>
      </c>
      <c r="T30" s="427">
        <f>'144A Draw'!S27*$C30*1000</f>
        <v>0</v>
      </c>
      <c r="U30" s="427">
        <f>'144A Draw'!T27*$C30*1000</f>
        <v>0</v>
      </c>
      <c r="V30" s="427">
        <f>'144A Draw'!U27*$C30*1000</f>
        <v>0</v>
      </c>
      <c r="W30" s="427">
        <f>'144A Draw'!V27*$C30*1000</f>
        <v>0</v>
      </c>
      <c r="X30" s="427">
        <f>'144A Draw'!W27*$C30*1000</f>
        <v>0</v>
      </c>
      <c r="Y30" s="427">
        <f>'144A Draw'!X27*$C30*1000</f>
        <v>0</v>
      </c>
      <c r="Z30" s="427"/>
      <c r="AA30" s="428">
        <f>C30*1000-SUM(D30:Y30)</f>
        <v>0</v>
      </c>
    </row>
    <row r="31" spans="1:27">
      <c r="A31" s="578" t="str">
        <f>'144A Draw'!A28</f>
        <v>AES Development Cost Reimbursement</v>
      </c>
      <c r="B31" s="403"/>
      <c r="C31" s="425">
        <f>'144A Draw'!B28</f>
        <v>1.2170000000000001</v>
      </c>
      <c r="D31" s="426">
        <f>'144A Draw'!C28*$C31*1000</f>
        <v>0</v>
      </c>
      <c r="E31" s="427">
        <f>'144A Draw'!D28*$C31*1000</f>
        <v>0</v>
      </c>
      <c r="F31" s="427">
        <f>'144A Draw'!E28*$C31*1000</f>
        <v>0</v>
      </c>
      <c r="G31" s="427">
        <f>'144A Draw'!F28*$C31*1000</f>
        <v>0</v>
      </c>
      <c r="H31" s="427">
        <f>'144A Draw'!G28*$C31*1000</f>
        <v>1217</v>
      </c>
      <c r="I31" s="427">
        <f>'144A Draw'!H28*$C31*1000</f>
        <v>0</v>
      </c>
      <c r="J31" s="427">
        <f>'144A Draw'!I28*$C31*1000</f>
        <v>0</v>
      </c>
      <c r="K31" s="427">
        <f>'144A Draw'!J28*$C31*1000</f>
        <v>0</v>
      </c>
      <c r="L31" s="427">
        <f>'144A Draw'!K28*$C31*1000</f>
        <v>0</v>
      </c>
      <c r="M31" s="427">
        <f>'144A Draw'!L28*$C31*1000</f>
        <v>0</v>
      </c>
      <c r="N31" s="427">
        <f>'144A Draw'!M28*$C31*1000</f>
        <v>0</v>
      </c>
      <c r="O31" s="427">
        <f>'144A Draw'!N28*$C31*1000</f>
        <v>0</v>
      </c>
      <c r="P31" s="427">
        <f>'144A Draw'!O28*$C31*1000</f>
        <v>0</v>
      </c>
      <c r="Q31" s="427">
        <f>'144A Draw'!P28*$C31*1000</f>
        <v>0</v>
      </c>
      <c r="R31" s="427">
        <f>'144A Draw'!Q28*$C31*1000</f>
        <v>0</v>
      </c>
      <c r="S31" s="427">
        <f>'144A Draw'!R28*$C31*1000</f>
        <v>0</v>
      </c>
      <c r="T31" s="427">
        <f>'144A Draw'!S28*$C31*1000</f>
        <v>0</v>
      </c>
      <c r="U31" s="427">
        <f>'144A Draw'!T28*$C31*1000</f>
        <v>0</v>
      </c>
      <c r="V31" s="427">
        <f>'144A Draw'!U28*$C31*1000</f>
        <v>0</v>
      </c>
      <c r="W31" s="427">
        <f>'144A Draw'!V28*$C31*1000</f>
        <v>0</v>
      </c>
      <c r="X31" s="427">
        <f>'144A Draw'!W28*$C31*1000</f>
        <v>0</v>
      </c>
      <c r="Y31" s="427">
        <f>'144A Draw'!X28*$C31*1000</f>
        <v>0</v>
      </c>
      <c r="Z31" s="427"/>
      <c r="AA31" s="428">
        <f>C31*1000-SUM(D31:Y31)</f>
        <v>0</v>
      </c>
    </row>
    <row r="32" spans="1:27">
      <c r="A32" s="578" t="str">
        <f>'144A Draw'!A29</f>
        <v>Six Ring Bus</v>
      </c>
      <c r="B32" s="403"/>
      <c r="C32" s="429">
        <f>'144A Draw'!B29</f>
        <v>3.1280000000000001</v>
      </c>
      <c r="D32" s="426">
        <f>'144A Draw'!C29*$C32*1000</f>
        <v>250.24</v>
      </c>
      <c r="E32" s="427">
        <f>'144A Draw'!D29*$C32*1000</f>
        <v>156.4</v>
      </c>
      <c r="F32" s="427">
        <f>'144A Draw'!E29*$C32*1000</f>
        <v>156.4</v>
      </c>
      <c r="G32" s="427">
        <f>'144A Draw'!F29*$C32*1000</f>
        <v>156.4</v>
      </c>
      <c r="H32" s="427">
        <f>'144A Draw'!G29*$C32*1000</f>
        <v>156.4</v>
      </c>
      <c r="I32" s="427">
        <f>'144A Draw'!H29*$C32*1000</f>
        <v>294.03200000000004</v>
      </c>
      <c r="J32" s="427">
        <f>'144A Draw'!I29*$C32*1000</f>
        <v>139.196</v>
      </c>
      <c r="K32" s="427">
        <f>'144A Draw'!J29*$C32*1000</f>
        <v>120.42800000000001</v>
      </c>
      <c r="L32" s="427">
        <f>'144A Draw'!K29*$C32*1000</f>
        <v>139.196</v>
      </c>
      <c r="M32" s="427">
        <f>'144A Draw'!L29*$C32*1000</f>
        <v>139.196</v>
      </c>
      <c r="N32" s="427">
        <f>'144A Draw'!M29*$C32*1000</f>
        <v>208.63760000000002</v>
      </c>
      <c r="O32" s="427">
        <f>'144A Draw'!N29*$C32*1000</f>
        <v>208.63760000000002</v>
      </c>
      <c r="P32" s="427">
        <f>'144A Draw'!O29*$C32*1000</f>
        <v>344.08</v>
      </c>
      <c r="Q32" s="427">
        <f>'144A Draw'!P29*$C32*1000</f>
        <v>218.96</v>
      </c>
      <c r="R32" s="427">
        <f>'144A Draw'!Q29*$C32*1000</f>
        <v>218.96</v>
      </c>
      <c r="S32" s="427">
        <f>'144A Draw'!R29*$C32*1000</f>
        <v>220.83680000000001</v>
      </c>
      <c r="T32" s="427">
        <f>'144A Draw'!S29*$C32*1000</f>
        <v>0</v>
      </c>
      <c r="U32" s="427">
        <f>'144A Draw'!T29*$C32*1000</f>
        <v>0</v>
      </c>
      <c r="V32" s="427">
        <f>'144A Draw'!U29*$C32*1000</f>
        <v>0</v>
      </c>
      <c r="W32" s="427">
        <f>'144A Draw'!V29*$C32*1000</f>
        <v>0</v>
      </c>
      <c r="X32" s="427">
        <f>'144A Draw'!W29*$C32*1000</f>
        <v>0</v>
      </c>
      <c r="Y32" s="427">
        <f>'144A Draw'!X29*$C32*1000</f>
        <v>0</v>
      </c>
      <c r="Z32" s="427"/>
      <c r="AA32" s="428">
        <f>C32*1000-SUM(D32:Y32)</f>
        <v>0</v>
      </c>
    </row>
    <row r="33" spans="1:27">
      <c r="A33" s="578" t="str">
        <f>'144A Draw'!A30</f>
        <v xml:space="preserve">   Total Other</v>
      </c>
      <c r="B33" s="403"/>
      <c r="C33" s="425">
        <f>SUM(C29:C32)</f>
        <v>6.4950000000000001</v>
      </c>
      <c r="D33" s="426"/>
      <c r="E33" s="427"/>
      <c r="F33" s="427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27"/>
      <c r="R33" s="427"/>
      <c r="S33" s="427"/>
      <c r="T33" s="427"/>
      <c r="U33" s="427"/>
      <c r="V33" s="427"/>
      <c r="W33" s="427"/>
      <c r="X33" s="427"/>
      <c r="Y33" s="427"/>
      <c r="Z33" s="427"/>
      <c r="AA33" s="403"/>
    </row>
    <row r="34" spans="1:27">
      <c r="A34" s="578"/>
      <c r="B34" s="403"/>
      <c r="C34" s="425"/>
      <c r="D34" s="426"/>
      <c r="E34" s="427"/>
      <c r="F34" s="427"/>
      <c r="G34" s="427"/>
      <c r="H34" s="427"/>
      <c r="I34" s="427"/>
      <c r="J34" s="427"/>
      <c r="K34" s="427"/>
      <c r="L34" s="427"/>
      <c r="M34" s="427"/>
      <c r="N34" s="427"/>
      <c r="O34" s="427"/>
      <c r="P34" s="427"/>
      <c r="Q34" s="427"/>
      <c r="R34" s="427"/>
      <c r="S34" s="427"/>
      <c r="T34" s="427"/>
      <c r="U34" s="427"/>
      <c r="V34" s="427"/>
      <c r="W34" s="427"/>
      <c r="X34" s="427"/>
      <c r="Y34" s="427"/>
      <c r="Z34" s="427"/>
      <c r="AA34" s="403"/>
    </row>
    <row r="35" spans="1:27" ht="16.2">
      <c r="A35" s="578" t="str">
        <f>'144A Draw'!A32</f>
        <v>Soft Costs</v>
      </c>
      <c r="B35" s="403"/>
      <c r="C35" s="430"/>
      <c r="D35" s="426"/>
      <c r="E35" s="427"/>
      <c r="F35" s="427"/>
      <c r="G35" s="427"/>
      <c r="H35" s="427"/>
      <c r="I35" s="427"/>
      <c r="J35" s="427"/>
      <c r="K35" s="427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  <c r="X35" s="427"/>
      <c r="Y35" s="427"/>
      <c r="Z35" s="427"/>
      <c r="AA35" s="403"/>
    </row>
    <row r="36" spans="1:27">
      <c r="A36" s="578" t="str">
        <f>'144A Draw'!A33</f>
        <v>Development Cost Budget</v>
      </c>
      <c r="B36" s="403"/>
      <c r="C36" s="425">
        <f>'144A Draw'!B33</f>
        <v>2.2999999999999998</v>
      </c>
      <c r="D36" s="426">
        <f>'144A Draw'!C33*$C36*1000</f>
        <v>919.99999999999989</v>
      </c>
      <c r="E36" s="427">
        <f>'144A Draw'!D33*$C36*1000</f>
        <v>92</v>
      </c>
      <c r="F36" s="427">
        <f>'144A Draw'!E33*$C36*1000</f>
        <v>92</v>
      </c>
      <c r="G36" s="427">
        <f>'144A Draw'!F33*$C36*1000</f>
        <v>92</v>
      </c>
      <c r="H36" s="427">
        <f>'144A Draw'!G33*$C36*1000</f>
        <v>92</v>
      </c>
      <c r="I36" s="427">
        <f>'144A Draw'!H33*$C36*1000</f>
        <v>92</v>
      </c>
      <c r="J36" s="427">
        <f>'144A Draw'!I33*$C36*1000</f>
        <v>92</v>
      </c>
      <c r="K36" s="427">
        <f>'144A Draw'!J33*$C36*1000</f>
        <v>92</v>
      </c>
      <c r="L36" s="427">
        <f>'144A Draw'!K33*$C36*1000</f>
        <v>92</v>
      </c>
      <c r="M36" s="427">
        <f>'144A Draw'!L33*$C36*1000</f>
        <v>92</v>
      </c>
      <c r="N36" s="427">
        <f>'144A Draw'!M33*$C36*1000</f>
        <v>92</v>
      </c>
      <c r="O36" s="427">
        <f>'144A Draw'!N33*$C36*1000</f>
        <v>92</v>
      </c>
      <c r="P36" s="427">
        <f>'144A Draw'!O33*$C36*1000</f>
        <v>92</v>
      </c>
      <c r="Q36" s="427">
        <f>'144A Draw'!P33*$C36*1000</f>
        <v>92</v>
      </c>
      <c r="R36" s="427">
        <f>'144A Draw'!Q33*$C36*1000</f>
        <v>92</v>
      </c>
      <c r="S36" s="427">
        <f>'144A Draw'!R33*$C36*1000</f>
        <v>92</v>
      </c>
      <c r="T36" s="427">
        <f>'144A Draw'!S33*$C36*1000</f>
        <v>0</v>
      </c>
      <c r="U36" s="427">
        <f>'144A Draw'!T33*$C36*1000</f>
        <v>0</v>
      </c>
      <c r="V36" s="427">
        <f>'144A Draw'!U33*$C36*1000</f>
        <v>0</v>
      </c>
      <c r="W36" s="427">
        <f>'144A Draw'!V33*$C36*1000</f>
        <v>0</v>
      </c>
      <c r="X36" s="427">
        <f>'144A Draw'!W33*$C36*1000</f>
        <v>0</v>
      </c>
      <c r="Y36" s="427">
        <f>'144A Draw'!X33*$C36*1000</f>
        <v>0</v>
      </c>
      <c r="Z36" s="427"/>
      <c r="AA36" s="428">
        <f t="shared" ref="AA36:AA55" si="3">C36*1000-SUM(D36:Y36)</f>
        <v>0</v>
      </c>
    </row>
    <row r="37" spans="1:27">
      <c r="A37" s="578" t="str">
        <f>'144A Draw'!A34</f>
        <v>Construction Over-site budget</v>
      </c>
      <c r="B37" s="403"/>
      <c r="C37" s="425">
        <f>'144A Draw'!B34</f>
        <v>1.1559999999999999</v>
      </c>
      <c r="D37" s="426">
        <f>'144A Draw'!C34*$C37*1000</f>
        <v>72.25</v>
      </c>
      <c r="E37" s="427">
        <f>'144A Draw'!D34*$C37*1000</f>
        <v>72.25</v>
      </c>
      <c r="F37" s="427">
        <f>'144A Draw'!E34*$C37*1000</f>
        <v>72.25</v>
      </c>
      <c r="G37" s="427">
        <f>'144A Draw'!F34*$C37*1000</f>
        <v>72.25</v>
      </c>
      <c r="H37" s="427">
        <f>'144A Draw'!G34*$C37*1000</f>
        <v>72.25</v>
      </c>
      <c r="I37" s="427">
        <f>'144A Draw'!H34*$C37*1000</f>
        <v>72.25</v>
      </c>
      <c r="J37" s="427">
        <f>'144A Draw'!I34*$C37*1000</f>
        <v>72.25</v>
      </c>
      <c r="K37" s="427">
        <f>'144A Draw'!J34*$C37*1000</f>
        <v>72.25</v>
      </c>
      <c r="L37" s="427">
        <f>'144A Draw'!K34*$C37*1000</f>
        <v>72.25</v>
      </c>
      <c r="M37" s="427">
        <f>'144A Draw'!L34*$C37*1000</f>
        <v>72.25</v>
      </c>
      <c r="N37" s="427">
        <f>'144A Draw'!M34*$C37*1000</f>
        <v>72.25</v>
      </c>
      <c r="O37" s="427">
        <f>'144A Draw'!N34*$C37*1000</f>
        <v>72.25</v>
      </c>
      <c r="P37" s="427">
        <f>'144A Draw'!O34*$C37*1000</f>
        <v>72.25</v>
      </c>
      <c r="Q37" s="427">
        <f>'144A Draw'!P34*$C37*1000</f>
        <v>72.25</v>
      </c>
      <c r="R37" s="427">
        <f>'144A Draw'!Q34*$C37*1000</f>
        <v>72.25</v>
      </c>
      <c r="S37" s="427">
        <f>'144A Draw'!R34*$C37*1000</f>
        <v>72.25</v>
      </c>
      <c r="T37" s="427">
        <f>'144A Draw'!S34*$C37*1000</f>
        <v>0</v>
      </c>
      <c r="U37" s="427">
        <f>'144A Draw'!T34*$C37*1000</f>
        <v>0</v>
      </c>
      <c r="V37" s="427">
        <f>'144A Draw'!U34*$C37*1000</f>
        <v>0</v>
      </c>
      <c r="W37" s="427">
        <f>'144A Draw'!V34*$C37*1000</f>
        <v>0</v>
      </c>
      <c r="X37" s="427">
        <f>'144A Draw'!W34*$C37*1000</f>
        <v>0</v>
      </c>
      <c r="Y37" s="427">
        <f>'144A Draw'!X34*$C37*1000</f>
        <v>0</v>
      </c>
      <c r="Z37" s="427"/>
      <c r="AA37" s="428">
        <f t="shared" si="3"/>
        <v>0</v>
      </c>
    </row>
    <row r="38" spans="1:27">
      <c r="A38" s="578" t="str">
        <f>'144A Draw'!A35</f>
        <v>Other</v>
      </c>
      <c r="B38" s="403"/>
      <c r="C38" s="425">
        <f>'144A Draw'!B35</f>
        <v>0</v>
      </c>
      <c r="D38" s="426">
        <f>'144A Draw'!C35*$C38*1000</f>
        <v>0</v>
      </c>
      <c r="E38" s="427">
        <f>'144A Draw'!D35*$C38*1000</f>
        <v>0</v>
      </c>
      <c r="F38" s="427">
        <f>'144A Draw'!E35*$C38*1000</f>
        <v>0</v>
      </c>
      <c r="G38" s="427">
        <f>'144A Draw'!F35*$C38*1000</f>
        <v>0</v>
      </c>
      <c r="H38" s="427">
        <f>'144A Draw'!G35*$C38*1000</f>
        <v>0</v>
      </c>
      <c r="I38" s="427">
        <f>'144A Draw'!H35*$C38*1000</f>
        <v>0</v>
      </c>
      <c r="J38" s="427">
        <f>'144A Draw'!I35*$C38*1000</f>
        <v>0</v>
      </c>
      <c r="K38" s="427">
        <f>'144A Draw'!J35*$C38*1000</f>
        <v>0</v>
      </c>
      <c r="L38" s="427">
        <f>'144A Draw'!K35*$C38*1000</f>
        <v>0</v>
      </c>
      <c r="M38" s="427">
        <f>'144A Draw'!L35*$C38*1000</f>
        <v>0</v>
      </c>
      <c r="N38" s="427">
        <f>'144A Draw'!M35*$C38*1000</f>
        <v>0</v>
      </c>
      <c r="O38" s="427">
        <f>'144A Draw'!N35*$C38*1000</f>
        <v>0</v>
      </c>
      <c r="P38" s="427">
        <f>'144A Draw'!O35*$C38*1000</f>
        <v>0</v>
      </c>
      <c r="Q38" s="427">
        <f>'144A Draw'!P35*$C38*1000</f>
        <v>0</v>
      </c>
      <c r="R38" s="427">
        <f>'144A Draw'!Q35*$C38*1000</f>
        <v>0</v>
      </c>
      <c r="S38" s="427">
        <f>'144A Draw'!R35*$C38*1000</f>
        <v>0</v>
      </c>
      <c r="T38" s="427">
        <f>'144A Draw'!S35*$C38*1000</f>
        <v>0</v>
      </c>
      <c r="U38" s="427">
        <f>'144A Draw'!T35*$C38*1000</f>
        <v>0</v>
      </c>
      <c r="V38" s="427">
        <f>'144A Draw'!U35*$C38*1000</f>
        <v>0</v>
      </c>
      <c r="W38" s="427">
        <f>'144A Draw'!V35*$C38*1000</f>
        <v>0</v>
      </c>
      <c r="X38" s="427">
        <f>'144A Draw'!W35*$C38*1000</f>
        <v>0</v>
      </c>
      <c r="Y38" s="427">
        <f>'144A Draw'!X35*$C38*1000</f>
        <v>0</v>
      </c>
      <c r="Z38" s="427"/>
      <c r="AA38" s="428">
        <f t="shared" si="3"/>
        <v>0</v>
      </c>
    </row>
    <row r="39" spans="1:27">
      <c r="A39" s="578" t="str">
        <f>'144A Draw'!A36</f>
        <v xml:space="preserve">Other </v>
      </c>
      <c r="B39" s="403"/>
      <c r="C39" s="425">
        <f>'144A Draw'!B36</f>
        <v>0</v>
      </c>
      <c r="D39" s="426">
        <f>'144A Draw'!C36*$C39*1000</f>
        <v>0</v>
      </c>
      <c r="E39" s="427">
        <f>'144A Draw'!D36*$C39*1000</f>
        <v>0</v>
      </c>
      <c r="F39" s="427">
        <f>'144A Draw'!E36*$C39*1000</f>
        <v>0</v>
      </c>
      <c r="G39" s="427">
        <f>'144A Draw'!F36*$C39*1000</f>
        <v>0</v>
      </c>
      <c r="H39" s="427">
        <f>'144A Draw'!G36*$C39*1000</f>
        <v>0</v>
      </c>
      <c r="I39" s="427">
        <f>'144A Draw'!H36*$C39*1000</f>
        <v>0</v>
      </c>
      <c r="J39" s="427">
        <f>'144A Draw'!I36*$C39*1000</f>
        <v>0</v>
      </c>
      <c r="K39" s="427">
        <f>'144A Draw'!J36*$C39*1000</f>
        <v>0</v>
      </c>
      <c r="L39" s="427">
        <f>'144A Draw'!K36*$C39*1000</f>
        <v>0</v>
      </c>
      <c r="M39" s="427">
        <f>'144A Draw'!L36*$C39*1000</f>
        <v>0</v>
      </c>
      <c r="N39" s="427">
        <f>'144A Draw'!M36*$C39*1000</f>
        <v>0</v>
      </c>
      <c r="O39" s="427">
        <f>'144A Draw'!N36*$C39*1000</f>
        <v>0</v>
      </c>
      <c r="P39" s="427">
        <f>'144A Draw'!O36*$C39*1000</f>
        <v>0</v>
      </c>
      <c r="Q39" s="427">
        <f>'144A Draw'!P36*$C39*1000</f>
        <v>0</v>
      </c>
      <c r="R39" s="427">
        <f>'144A Draw'!Q36*$C39*1000</f>
        <v>0</v>
      </c>
      <c r="S39" s="427">
        <f>'144A Draw'!R36*$C39*1000</f>
        <v>0</v>
      </c>
      <c r="T39" s="427">
        <f>'144A Draw'!S36*$C39*1000</f>
        <v>0</v>
      </c>
      <c r="U39" s="427">
        <f>'144A Draw'!T36*$C39*1000</f>
        <v>0</v>
      </c>
      <c r="V39" s="427">
        <f>'144A Draw'!U36*$C39*1000</f>
        <v>0</v>
      </c>
      <c r="W39" s="427">
        <f>'144A Draw'!V36*$C39*1000</f>
        <v>0</v>
      </c>
      <c r="X39" s="427">
        <f>'144A Draw'!W36*$C39*1000</f>
        <v>0</v>
      </c>
      <c r="Y39" s="427">
        <f>'144A Draw'!X36*$C39*1000</f>
        <v>0</v>
      </c>
      <c r="Z39" s="427"/>
      <c r="AA39" s="428">
        <f t="shared" si="3"/>
        <v>0</v>
      </c>
    </row>
    <row r="40" spans="1:27">
      <c r="A40" s="578" t="str">
        <f>'144A Draw'!A37</f>
        <v>Other</v>
      </c>
      <c r="B40" s="403"/>
      <c r="C40" s="425">
        <f>'144A Draw'!B37</f>
        <v>0</v>
      </c>
      <c r="D40" s="426">
        <f>'144A Draw'!C37*$C40*1000</f>
        <v>0</v>
      </c>
      <c r="E40" s="427">
        <f>'144A Draw'!D37*$C40*1000</f>
        <v>0</v>
      </c>
      <c r="F40" s="427">
        <f>'144A Draw'!E37*$C40*1000</f>
        <v>0</v>
      </c>
      <c r="G40" s="427">
        <f>'144A Draw'!F37*$C40*1000</f>
        <v>0</v>
      </c>
      <c r="H40" s="427">
        <f>'144A Draw'!G37*$C40*1000</f>
        <v>0</v>
      </c>
      <c r="I40" s="427">
        <f>'144A Draw'!H37*$C40*1000</f>
        <v>0</v>
      </c>
      <c r="J40" s="427">
        <f>'144A Draw'!I37*$C40*1000</f>
        <v>0</v>
      </c>
      <c r="K40" s="427">
        <f>'144A Draw'!J37*$C40*1000</f>
        <v>0</v>
      </c>
      <c r="L40" s="427">
        <f>'144A Draw'!K37*$C40*1000</f>
        <v>0</v>
      </c>
      <c r="M40" s="427">
        <f>'144A Draw'!L37*$C40*1000</f>
        <v>0</v>
      </c>
      <c r="N40" s="427">
        <f>'144A Draw'!M37*$C40*1000</f>
        <v>0</v>
      </c>
      <c r="O40" s="427">
        <f>'144A Draw'!N37*$C40*1000</f>
        <v>0</v>
      </c>
      <c r="P40" s="427">
        <f>'144A Draw'!O37*$C40*1000</f>
        <v>0</v>
      </c>
      <c r="Q40" s="427">
        <f>'144A Draw'!P37*$C40*1000</f>
        <v>0</v>
      </c>
      <c r="R40" s="427">
        <f>'144A Draw'!Q37*$C40*1000</f>
        <v>0</v>
      </c>
      <c r="S40" s="427">
        <f>'144A Draw'!R37*$C40*1000</f>
        <v>0</v>
      </c>
      <c r="T40" s="427">
        <f>'144A Draw'!S37*$C40*1000</f>
        <v>0</v>
      </c>
      <c r="U40" s="427">
        <f>'144A Draw'!T37*$C40*1000</f>
        <v>0</v>
      </c>
      <c r="V40" s="427">
        <f>'144A Draw'!U37*$C40*1000</f>
        <v>0</v>
      </c>
      <c r="W40" s="427">
        <f>'144A Draw'!V37*$C40*1000</f>
        <v>0</v>
      </c>
      <c r="X40" s="427">
        <f>'144A Draw'!W37*$C40*1000</f>
        <v>0</v>
      </c>
      <c r="Y40" s="427">
        <f>'144A Draw'!X37*$C40*1000</f>
        <v>0</v>
      </c>
      <c r="Z40" s="427"/>
      <c r="AA40" s="428">
        <f t="shared" si="3"/>
        <v>0</v>
      </c>
    </row>
    <row r="41" spans="1:27">
      <c r="A41" s="578" t="str">
        <f>'144A Draw'!A38</f>
        <v>Financing Fees</v>
      </c>
      <c r="B41" s="403"/>
      <c r="C41" s="425">
        <f>D116/1000</f>
        <v>2.7003374999999998</v>
      </c>
      <c r="D41" s="426">
        <f>'144A Draw'!C38*$C41*1000</f>
        <v>0</v>
      </c>
      <c r="E41" s="427">
        <f>'144A Draw'!D38*$C41*1000</f>
        <v>0</v>
      </c>
      <c r="F41" s="427">
        <f>'144A Draw'!E38*$C41*1000</f>
        <v>0</v>
      </c>
      <c r="G41" s="427">
        <f>'144A Draw'!F38*$C41*1000</f>
        <v>0</v>
      </c>
      <c r="H41" s="427">
        <f>'144A Draw'!G38*$C41*1000</f>
        <v>0</v>
      </c>
      <c r="I41" s="427">
        <f>'144A Draw'!H38*$C41*1000</f>
        <v>2700.3374999999996</v>
      </c>
      <c r="J41" s="427">
        <f>'144A Draw'!I38*$C41*1000</f>
        <v>0</v>
      </c>
      <c r="K41" s="427">
        <f>'144A Draw'!J38*$C41*1000</f>
        <v>0</v>
      </c>
      <c r="L41" s="427">
        <f>'144A Draw'!K38*$C41*1000</f>
        <v>0</v>
      </c>
      <c r="M41" s="427">
        <f>'144A Draw'!L38*$C41*1000</f>
        <v>0</v>
      </c>
      <c r="N41" s="427">
        <f>'144A Draw'!M38*$C41*1000</f>
        <v>0</v>
      </c>
      <c r="O41" s="427">
        <f>'144A Draw'!N38*$C41*1000</f>
        <v>0</v>
      </c>
      <c r="P41" s="427">
        <f>'144A Draw'!O38*$C41*1000</f>
        <v>0</v>
      </c>
      <c r="Q41" s="427">
        <f>'144A Draw'!P38*$C41*1000</f>
        <v>0</v>
      </c>
      <c r="R41" s="427">
        <f>'144A Draw'!Q38*$C41*1000</f>
        <v>0</v>
      </c>
      <c r="S41" s="427">
        <f>'144A Draw'!R38*$C41*1000</f>
        <v>0</v>
      </c>
      <c r="T41" s="427">
        <f>'144A Draw'!S38*$C41*1000</f>
        <v>0</v>
      </c>
      <c r="U41" s="427">
        <f>'144A Draw'!T38*$C41*1000</f>
        <v>0</v>
      </c>
      <c r="V41" s="427">
        <f>'144A Draw'!U38*$C41*1000</f>
        <v>0</v>
      </c>
      <c r="W41" s="427">
        <f>'144A Draw'!V38*$C41*1000</f>
        <v>0</v>
      </c>
      <c r="X41" s="427">
        <f>'144A Draw'!W38*$C41*1000</f>
        <v>0</v>
      </c>
      <c r="Y41" s="427">
        <f>'144A Draw'!X38*$C41*1000</f>
        <v>0</v>
      </c>
      <c r="Z41" s="427"/>
      <c r="AA41" s="428">
        <f t="shared" si="3"/>
        <v>0</v>
      </c>
    </row>
    <row r="42" spans="1:27">
      <c r="A42" s="578" t="str">
        <f>'144A Draw'!A39</f>
        <v>Commitment Fees</v>
      </c>
      <c r="B42" s="403"/>
      <c r="C42" s="425">
        <f>'144A Draw'!B39</f>
        <v>0</v>
      </c>
      <c r="D42" s="426">
        <f>'144A Draw'!C39*$C42*1000</f>
        <v>0</v>
      </c>
      <c r="E42" s="427">
        <f>'144A Draw'!D39*$C42*1000</f>
        <v>0</v>
      </c>
      <c r="F42" s="427">
        <f>'144A Draw'!E39*$C42*1000</f>
        <v>0</v>
      </c>
      <c r="G42" s="427">
        <f>'144A Draw'!F39*$C42*1000</f>
        <v>0</v>
      </c>
      <c r="H42" s="427">
        <f>'144A Draw'!G39*$C42*1000</f>
        <v>0</v>
      </c>
      <c r="I42" s="427">
        <f>'144A Draw'!H39*$C42*1000</f>
        <v>0</v>
      </c>
      <c r="J42" s="427">
        <f>'144A Draw'!I39*$C42*1000</f>
        <v>0</v>
      </c>
      <c r="K42" s="427">
        <f>'144A Draw'!J39*$C42*1000</f>
        <v>0</v>
      </c>
      <c r="L42" s="427">
        <f>'144A Draw'!K39*$C42*1000</f>
        <v>0</v>
      </c>
      <c r="M42" s="427">
        <f>'144A Draw'!L39*$C42*1000</f>
        <v>0</v>
      </c>
      <c r="N42" s="427">
        <f>'144A Draw'!M39*$C42*1000</f>
        <v>0</v>
      </c>
      <c r="O42" s="427">
        <f>'144A Draw'!N39*$C42*1000</f>
        <v>0</v>
      </c>
      <c r="P42" s="427">
        <f>'144A Draw'!O39*$C42*1000</f>
        <v>0</v>
      </c>
      <c r="Q42" s="427">
        <f>'144A Draw'!P39*$C42*1000</f>
        <v>0</v>
      </c>
      <c r="R42" s="427">
        <f>'144A Draw'!Q39*$C42*1000</f>
        <v>0</v>
      </c>
      <c r="S42" s="427">
        <f>'144A Draw'!R39*$C42*1000</f>
        <v>0</v>
      </c>
      <c r="T42" s="427">
        <f>'144A Draw'!S39*$C42*1000</f>
        <v>0</v>
      </c>
      <c r="U42" s="427">
        <f>'144A Draw'!T39*$C42*1000</f>
        <v>0</v>
      </c>
      <c r="V42" s="427">
        <f>'144A Draw'!U39*$C42*1000</f>
        <v>0</v>
      </c>
      <c r="W42" s="427">
        <f>'144A Draw'!V39*$C42*1000</f>
        <v>0</v>
      </c>
      <c r="X42" s="427">
        <f>'144A Draw'!W39*$C42*1000</f>
        <v>0</v>
      </c>
      <c r="Y42" s="427">
        <f>'144A Draw'!X39*$C42*1000</f>
        <v>0</v>
      </c>
      <c r="Z42" s="427"/>
      <c r="AA42" s="428">
        <f t="shared" si="3"/>
        <v>0</v>
      </c>
    </row>
    <row r="43" spans="1:27">
      <c r="A43" s="578" t="str">
        <f>'144A Draw'!A40</f>
        <v>Other</v>
      </c>
      <c r="B43" s="403"/>
      <c r="C43" s="425">
        <f>'144A Draw'!B40</f>
        <v>0</v>
      </c>
      <c r="D43" s="426">
        <f>'144A Draw'!C40*$C43*1000</f>
        <v>0</v>
      </c>
      <c r="E43" s="427">
        <f>'144A Draw'!D40*$C43*1000</f>
        <v>0</v>
      </c>
      <c r="F43" s="427">
        <f>'144A Draw'!E40*$C43*1000</f>
        <v>0</v>
      </c>
      <c r="G43" s="427">
        <f>'144A Draw'!F40*$C43*1000</f>
        <v>0</v>
      </c>
      <c r="H43" s="427">
        <f>'144A Draw'!G40*$C43*1000</f>
        <v>0</v>
      </c>
      <c r="I43" s="427">
        <f>'144A Draw'!H40*$C43*1000</f>
        <v>0</v>
      </c>
      <c r="J43" s="427">
        <f>'144A Draw'!I40*$C43*1000</f>
        <v>0</v>
      </c>
      <c r="K43" s="427">
        <f>'144A Draw'!J40*$C43*1000</f>
        <v>0</v>
      </c>
      <c r="L43" s="427">
        <f>'144A Draw'!K40*$C43*1000</f>
        <v>0</v>
      </c>
      <c r="M43" s="427">
        <f>'144A Draw'!L40*$C43*1000</f>
        <v>0</v>
      </c>
      <c r="N43" s="427">
        <f>'144A Draw'!M40*$C43*1000</f>
        <v>0</v>
      </c>
      <c r="O43" s="427">
        <f>'144A Draw'!N40*$C43*1000</f>
        <v>0</v>
      </c>
      <c r="P43" s="427">
        <f>'144A Draw'!O40*$C43*1000</f>
        <v>0</v>
      </c>
      <c r="Q43" s="427">
        <f>'144A Draw'!P40*$C43*1000</f>
        <v>0</v>
      </c>
      <c r="R43" s="427">
        <f>'144A Draw'!Q40*$C43*1000</f>
        <v>0</v>
      </c>
      <c r="S43" s="427">
        <f>'144A Draw'!R40*$C43*1000</f>
        <v>0</v>
      </c>
      <c r="T43" s="427">
        <f>'144A Draw'!S40*$C43*1000</f>
        <v>0</v>
      </c>
      <c r="U43" s="427">
        <f>'144A Draw'!T40*$C43*1000</f>
        <v>0</v>
      </c>
      <c r="V43" s="427">
        <f>'144A Draw'!U40*$C43*1000</f>
        <v>0</v>
      </c>
      <c r="W43" s="427">
        <f>'144A Draw'!V40*$C43*1000</f>
        <v>0</v>
      </c>
      <c r="X43" s="427">
        <f>'144A Draw'!W40*$C43*1000</f>
        <v>0</v>
      </c>
      <c r="Y43" s="427">
        <f>'144A Draw'!X40*$C43*1000</f>
        <v>0</v>
      </c>
      <c r="Z43" s="427"/>
      <c r="AA43" s="428">
        <f t="shared" si="3"/>
        <v>0</v>
      </c>
    </row>
    <row r="44" spans="1:27">
      <c r="A44" s="578" t="str">
        <f>'144A Draw'!A41</f>
        <v>Spares and Tools</v>
      </c>
      <c r="B44" s="403"/>
      <c r="C44" s="425">
        <f>'144A Draw'!B41</f>
        <v>1.5</v>
      </c>
      <c r="D44" s="426">
        <f>'144A Draw'!C41*$C44*1000</f>
        <v>0</v>
      </c>
      <c r="E44" s="427">
        <f>'144A Draw'!D41*$C44*1000</f>
        <v>0</v>
      </c>
      <c r="F44" s="427">
        <f>'144A Draw'!E41*$C44*1000</f>
        <v>0</v>
      </c>
      <c r="G44" s="427">
        <f>'144A Draw'!F41*$C44*1000</f>
        <v>0</v>
      </c>
      <c r="H44" s="427">
        <f>'144A Draw'!G41*$C44*1000</f>
        <v>0</v>
      </c>
      <c r="I44" s="427">
        <f>'144A Draw'!H41*$C44*1000</f>
        <v>0</v>
      </c>
      <c r="J44" s="427">
        <f>'144A Draw'!I41*$C44*1000</f>
        <v>600.00000000000011</v>
      </c>
      <c r="K44" s="427">
        <f>'144A Draw'!J41*$C44*1000</f>
        <v>0</v>
      </c>
      <c r="L44" s="427">
        <f>'144A Draw'!K41*$C44*1000</f>
        <v>0</v>
      </c>
      <c r="M44" s="427">
        <f>'144A Draw'!L41*$C44*1000</f>
        <v>0</v>
      </c>
      <c r="N44" s="427">
        <f>'144A Draw'!M41*$C44*1000</f>
        <v>0</v>
      </c>
      <c r="O44" s="427">
        <f>'144A Draw'!N41*$C44*1000</f>
        <v>0</v>
      </c>
      <c r="P44" s="427">
        <f>'144A Draw'!O41*$C44*1000</f>
        <v>0</v>
      </c>
      <c r="Q44" s="427">
        <f>'144A Draw'!P41*$C44*1000</f>
        <v>0</v>
      </c>
      <c r="R44" s="427">
        <f>'144A Draw'!Q41*$C44*1000</f>
        <v>0</v>
      </c>
      <c r="S44" s="427">
        <f>'144A Draw'!R41*$C44*1000</f>
        <v>899.99999999999989</v>
      </c>
      <c r="T44" s="427">
        <f>'144A Draw'!S41*$C44*1000</f>
        <v>0</v>
      </c>
      <c r="U44" s="427">
        <f>'144A Draw'!T41*$C44*1000</f>
        <v>0</v>
      </c>
      <c r="V44" s="427">
        <f>'144A Draw'!U41*$C44*1000</f>
        <v>0</v>
      </c>
      <c r="W44" s="427">
        <f>'144A Draw'!V41*$C44*1000</f>
        <v>0</v>
      </c>
      <c r="X44" s="427">
        <f>'144A Draw'!W41*$C44*1000</f>
        <v>0</v>
      </c>
      <c r="Y44" s="427">
        <f>'144A Draw'!X41*$C44*1000</f>
        <v>0</v>
      </c>
      <c r="Z44" s="427"/>
      <c r="AA44" s="428">
        <f t="shared" si="3"/>
        <v>0</v>
      </c>
    </row>
    <row r="45" spans="1:27">
      <c r="A45" s="578" t="str">
        <f>'144A Draw'!A42</f>
        <v>Builders Risk Insurance</v>
      </c>
      <c r="B45" s="403"/>
      <c r="C45" s="425">
        <f>'144A Draw'!B42</f>
        <v>0.41087218150457139</v>
      </c>
      <c r="D45" s="426">
        <f>'144A Draw'!C42*$C45*1000</f>
        <v>410.87218150457142</v>
      </c>
      <c r="E45" s="427">
        <f>'144A Draw'!D42*$C45*1000</f>
        <v>0</v>
      </c>
      <c r="F45" s="427">
        <f>'144A Draw'!E42*$C45*1000</f>
        <v>0</v>
      </c>
      <c r="G45" s="427">
        <f>'144A Draw'!F42*$C45*1000</f>
        <v>0</v>
      </c>
      <c r="H45" s="427">
        <f>'144A Draw'!G42*$C45*1000</f>
        <v>0</v>
      </c>
      <c r="I45" s="427">
        <f>'144A Draw'!H42*$C45*1000</f>
        <v>0</v>
      </c>
      <c r="J45" s="427">
        <f>'144A Draw'!I42*$C45*1000</f>
        <v>0</v>
      </c>
      <c r="K45" s="427">
        <f>'144A Draw'!J42*$C45*1000</f>
        <v>0</v>
      </c>
      <c r="L45" s="427">
        <f>'144A Draw'!K42*$C45*1000</f>
        <v>0</v>
      </c>
      <c r="M45" s="427">
        <f>'144A Draw'!L42*$C45*1000</f>
        <v>0</v>
      </c>
      <c r="N45" s="427">
        <f>'144A Draw'!M42*$C45*1000</f>
        <v>0</v>
      </c>
      <c r="O45" s="427">
        <f>'144A Draw'!N42*$C45*1000</f>
        <v>0</v>
      </c>
      <c r="P45" s="427">
        <f>'144A Draw'!O42*$C45*1000</f>
        <v>0</v>
      </c>
      <c r="Q45" s="427">
        <f>'144A Draw'!P42*$C45*1000</f>
        <v>0</v>
      </c>
      <c r="R45" s="427">
        <f>'144A Draw'!Q42*$C45*1000</f>
        <v>0</v>
      </c>
      <c r="S45" s="427">
        <f>'144A Draw'!R42*$C45*1000</f>
        <v>0</v>
      </c>
      <c r="T45" s="427">
        <f>'144A Draw'!S42*$C45*1000</f>
        <v>0</v>
      </c>
      <c r="U45" s="427">
        <f>'144A Draw'!T42*$C45*1000</f>
        <v>0</v>
      </c>
      <c r="V45" s="427">
        <f>'144A Draw'!U42*$C45*1000</f>
        <v>0</v>
      </c>
      <c r="W45" s="427">
        <f>'144A Draw'!V42*$C45*1000</f>
        <v>0</v>
      </c>
      <c r="X45" s="427">
        <f>'144A Draw'!W42*$C45*1000</f>
        <v>0</v>
      </c>
      <c r="Y45" s="427">
        <f>'144A Draw'!X42*$C45*1000</f>
        <v>0</v>
      </c>
      <c r="Z45" s="427"/>
      <c r="AA45" s="428">
        <f t="shared" si="3"/>
        <v>0</v>
      </c>
    </row>
    <row r="46" spans="1:27">
      <c r="A46" s="578" t="str">
        <f>'144A Draw'!A43</f>
        <v>O&amp;M Mobilization</v>
      </c>
      <c r="B46" s="403"/>
      <c r="C46" s="425">
        <f>'144A Draw'!B43</f>
        <v>0.8</v>
      </c>
      <c r="D46" s="426">
        <f>'144A Draw'!C43*$C46*1000</f>
        <v>50</v>
      </c>
      <c r="E46" s="427">
        <f>'144A Draw'!D43*$C46*1000</f>
        <v>50</v>
      </c>
      <c r="F46" s="427">
        <f>'144A Draw'!E43*$C46*1000</f>
        <v>50</v>
      </c>
      <c r="G46" s="427">
        <f>'144A Draw'!F43*$C46*1000</f>
        <v>50</v>
      </c>
      <c r="H46" s="427">
        <f>'144A Draw'!G43*$C46*1000</f>
        <v>50</v>
      </c>
      <c r="I46" s="427">
        <f>'144A Draw'!H43*$C46*1000</f>
        <v>50</v>
      </c>
      <c r="J46" s="427">
        <f>'144A Draw'!I43*$C46*1000</f>
        <v>50</v>
      </c>
      <c r="K46" s="427">
        <f>'144A Draw'!J43*$C46*1000</f>
        <v>50</v>
      </c>
      <c r="L46" s="427">
        <f>'144A Draw'!K43*$C46*1000</f>
        <v>50</v>
      </c>
      <c r="M46" s="427">
        <f>'144A Draw'!L43*$C46*1000</f>
        <v>50</v>
      </c>
      <c r="N46" s="427">
        <f>'144A Draw'!M43*$C46*1000</f>
        <v>50</v>
      </c>
      <c r="O46" s="427">
        <f>'144A Draw'!N43*$C46*1000</f>
        <v>50</v>
      </c>
      <c r="P46" s="427">
        <f>'144A Draw'!O43*$C46*1000</f>
        <v>50</v>
      </c>
      <c r="Q46" s="427">
        <f>'144A Draw'!P43*$C46*1000</f>
        <v>50</v>
      </c>
      <c r="R46" s="427">
        <f>'144A Draw'!Q43*$C46*1000</f>
        <v>50</v>
      </c>
      <c r="S46" s="427">
        <f>'144A Draw'!R43*$C46*1000</f>
        <v>50</v>
      </c>
      <c r="T46" s="427">
        <f>'144A Draw'!S43*$C46*1000</f>
        <v>0</v>
      </c>
      <c r="U46" s="427">
        <f>'144A Draw'!T43*$C46*1000</f>
        <v>0</v>
      </c>
      <c r="V46" s="427">
        <f>'144A Draw'!U43*$C46*1000</f>
        <v>0</v>
      </c>
      <c r="W46" s="427">
        <f>'144A Draw'!V43*$C46*1000</f>
        <v>0</v>
      </c>
      <c r="X46" s="427">
        <f>'144A Draw'!W43*$C46*1000</f>
        <v>0</v>
      </c>
      <c r="Y46" s="427">
        <f>'144A Draw'!X43*$C46*1000</f>
        <v>0</v>
      </c>
      <c r="Z46" s="427"/>
      <c r="AA46" s="428">
        <f t="shared" si="3"/>
        <v>0</v>
      </c>
    </row>
    <row r="47" spans="1:27">
      <c r="A47" s="578" t="str">
        <f>'144A Draw'!A44</f>
        <v>Lender Legal</v>
      </c>
      <c r="B47" s="403"/>
      <c r="C47" s="425">
        <f>'144A Draw'!B44</f>
        <v>1</v>
      </c>
      <c r="D47" s="426">
        <f>'144A Draw'!C44*$C47*1000</f>
        <v>0</v>
      </c>
      <c r="E47" s="427">
        <f>'144A Draw'!D44*$C47*1000</f>
        <v>0</v>
      </c>
      <c r="F47" s="427">
        <f>'144A Draw'!E44*$C47*1000</f>
        <v>0</v>
      </c>
      <c r="G47" s="427">
        <f>'144A Draw'!F44*$C47*1000</f>
        <v>0</v>
      </c>
      <c r="H47" s="427">
        <f>'144A Draw'!G44*$C47*1000</f>
        <v>0</v>
      </c>
      <c r="I47" s="427">
        <f>'144A Draw'!H44*$C47*1000</f>
        <v>0</v>
      </c>
      <c r="J47" s="427">
        <f>'144A Draw'!I44*$C47*1000</f>
        <v>1000</v>
      </c>
      <c r="K47" s="427">
        <f>'144A Draw'!J44*$C47*1000</f>
        <v>0</v>
      </c>
      <c r="L47" s="427">
        <f>'144A Draw'!K44*$C47*1000</f>
        <v>0</v>
      </c>
      <c r="M47" s="427">
        <f>'144A Draw'!L44*$C47*1000</f>
        <v>0</v>
      </c>
      <c r="N47" s="427">
        <f>'144A Draw'!M44*$C47*1000</f>
        <v>0</v>
      </c>
      <c r="O47" s="427">
        <f>'144A Draw'!N44*$C47*1000</f>
        <v>0</v>
      </c>
      <c r="P47" s="427">
        <f>'144A Draw'!O44*$C47*1000</f>
        <v>0</v>
      </c>
      <c r="Q47" s="427">
        <f>'144A Draw'!P44*$C47*1000</f>
        <v>0</v>
      </c>
      <c r="R47" s="427">
        <f>'144A Draw'!Q44*$C47*1000</f>
        <v>0</v>
      </c>
      <c r="S47" s="427">
        <f>'144A Draw'!R44*$C47*1000</f>
        <v>0</v>
      </c>
      <c r="T47" s="427">
        <f>'144A Draw'!S44*$C47*1000</f>
        <v>0</v>
      </c>
      <c r="U47" s="427">
        <f>'144A Draw'!T44*$C47*1000</f>
        <v>0</v>
      </c>
      <c r="V47" s="427">
        <f>'144A Draw'!U44*$C47*1000</f>
        <v>0</v>
      </c>
      <c r="W47" s="427">
        <f>'144A Draw'!V44*$C47*1000</f>
        <v>0</v>
      </c>
      <c r="X47" s="427">
        <f>'144A Draw'!W44*$C47*1000</f>
        <v>0</v>
      </c>
      <c r="Y47" s="427">
        <f>'144A Draw'!X44*$C47*1000</f>
        <v>0</v>
      </c>
      <c r="Z47" s="427"/>
      <c r="AA47" s="428">
        <f t="shared" si="3"/>
        <v>0</v>
      </c>
    </row>
    <row r="48" spans="1:27">
      <c r="A48" s="578" t="str">
        <f>'144A Draw'!A45</f>
        <v>Vehicles</v>
      </c>
      <c r="B48" s="403"/>
      <c r="C48" s="425">
        <f>'144A Draw'!B45</f>
        <v>0.1</v>
      </c>
      <c r="D48" s="426">
        <f>'144A Draw'!C45*$C48*1000</f>
        <v>0</v>
      </c>
      <c r="E48" s="427">
        <f>'144A Draw'!D45*$C48*1000</f>
        <v>0</v>
      </c>
      <c r="F48" s="427">
        <f>'144A Draw'!E45*$C48*1000</f>
        <v>0</v>
      </c>
      <c r="G48" s="427">
        <f>'144A Draw'!F45*$C48*1000</f>
        <v>0</v>
      </c>
      <c r="H48" s="427">
        <f>'144A Draw'!G45*$C48*1000</f>
        <v>100</v>
      </c>
      <c r="I48" s="427">
        <f>'144A Draw'!H45*$C48*1000</f>
        <v>0</v>
      </c>
      <c r="J48" s="427">
        <f>'144A Draw'!I45*$C48*1000</f>
        <v>0</v>
      </c>
      <c r="K48" s="427">
        <f>'144A Draw'!J45*$C48*1000</f>
        <v>0</v>
      </c>
      <c r="L48" s="427">
        <f>'144A Draw'!K45*$C48*1000</f>
        <v>0</v>
      </c>
      <c r="M48" s="427">
        <f>'144A Draw'!L45*$C48*1000</f>
        <v>0</v>
      </c>
      <c r="N48" s="427">
        <f>'144A Draw'!M45*$C48*1000</f>
        <v>0</v>
      </c>
      <c r="O48" s="427">
        <f>'144A Draw'!N45*$C48*1000</f>
        <v>0</v>
      </c>
      <c r="P48" s="427">
        <f>'144A Draw'!O45*$C48*1000</f>
        <v>0</v>
      </c>
      <c r="Q48" s="427">
        <f>'144A Draw'!P45*$C48*1000</f>
        <v>0</v>
      </c>
      <c r="R48" s="427">
        <f>'144A Draw'!Q45*$C48*1000</f>
        <v>0</v>
      </c>
      <c r="S48" s="427">
        <f>'144A Draw'!R45*$C48*1000</f>
        <v>0</v>
      </c>
      <c r="T48" s="427">
        <f>'144A Draw'!S45*$C48*1000</f>
        <v>0</v>
      </c>
      <c r="U48" s="427">
        <f>'144A Draw'!T45*$C48*1000</f>
        <v>0</v>
      </c>
      <c r="V48" s="427">
        <f>'144A Draw'!U45*$C48*1000</f>
        <v>0</v>
      </c>
      <c r="W48" s="427">
        <f>'144A Draw'!V45*$C48*1000</f>
        <v>0</v>
      </c>
      <c r="X48" s="427">
        <f>'144A Draw'!W45*$C48*1000</f>
        <v>0</v>
      </c>
      <c r="Y48" s="427">
        <f>'144A Draw'!X45*$C48*1000</f>
        <v>0</v>
      </c>
      <c r="Z48" s="427"/>
      <c r="AA48" s="428">
        <f t="shared" si="3"/>
        <v>0</v>
      </c>
    </row>
    <row r="49" spans="1:27">
      <c r="A49" s="578" t="str">
        <f>'144A Draw'!A46</f>
        <v>Document Recording Tax (State of VA tax)</v>
      </c>
      <c r="B49" s="403"/>
      <c r="C49" s="425">
        <f>'144A Draw'!B46</f>
        <v>7.4999999999999997E-3</v>
      </c>
      <c r="D49" s="426">
        <f>'144A Draw'!C46*$C49*1000</f>
        <v>0</v>
      </c>
      <c r="E49" s="427">
        <f>'144A Draw'!D46*$C49*1000</f>
        <v>0</v>
      </c>
      <c r="F49" s="427">
        <f>'144A Draw'!E46*$C49*1000</f>
        <v>0</v>
      </c>
      <c r="G49" s="427">
        <f>'144A Draw'!F46*$C49*1000</f>
        <v>0</v>
      </c>
      <c r="H49" s="427">
        <f>'144A Draw'!G46*$C49*1000</f>
        <v>0</v>
      </c>
      <c r="I49" s="427">
        <f>'144A Draw'!H46*$C49*1000</f>
        <v>0</v>
      </c>
      <c r="J49" s="427">
        <f>'144A Draw'!I46*$C49*1000</f>
        <v>3.75</v>
      </c>
      <c r="K49" s="427">
        <f>'144A Draw'!J46*$C49*1000</f>
        <v>0</v>
      </c>
      <c r="L49" s="427">
        <f>'144A Draw'!K46*$C49*1000</f>
        <v>0</v>
      </c>
      <c r="M49" s="427">
        <f>'144A Draw'!L46*$C49*1000</f>
        <v>0</v>
      </c>
      <c r="N49" s="427">
        <f>'144A Draw'!M46*$C49*1000</f>
        <v>0</v>
      </c>
      <c r="O49" s="427">
        <f>'144A Draw'!N46*$C49*1000</f>
        <v>0</v>
      </c>
      <c r="P49" s="427">
        <f>'144A Draw'!O46*$C49*1000</f>
        <v>0</v>
      </c>
      <c r="Q49" s="427">
        <f>'144A Draw'!P46*$C49*1000</f>
        <v>0</v>
      </c>
      <c r="R49" s="427">
        <f>'144A Draw'!Q46*$C49*1000</f>
        <v>0</v>
      </c>
      <c r="S49" s="427">
        <f>'144A Draw'!R46*$C49*1000</f>
        <v>3.75</v>
      </c>
      <c r="T49" s="427">
        <f>'144A Draw'!S46*$C49*1000</f>
        <v>0</v>
      </c>
      <c r="U49" s="427">
        <f>'144A Draw'!T46*$C49*1000</f>
        <v>0</v>
      </c>
      <c r="V49" s="427">
        <f>'144A Draw'!U46*$C49*1000</f>
        <v>0</v>
      </c>
      <c r="W49" s="427">
        <f>'144A Draw'!V46*$C49*1000</f>
        <v>0</v>
      </c>
      <c r="X49" s="427">
        <f>'144A Draw'!W46*$C49*1000</f>
        <v>0</v>
      </c>
      <c r="Y49" s="427">
        <f>'144A Draw'!X46*$C49*1000</f>
        <v>0</v>
      </c>
      <c r="Z49" s="427"/>
      <c r="AA49" s="428">
        <f t="shared" si="3"/>
        <v>0</v>
      </c>
    </row>
    <row r="50" spans="1:27">
      <c r="A50" s="578" t="str">
        <f>'144A Draw'!A47</f>
        <v>Working Capital</v>
      </c>
      <c r="B50" s="403"/>
      <c r="C50" s="425">
        <f>'144A Draw'!B47</f>
        <v>1.4142468281858152</v>
      </c>
      <c r="D50" s="426">
        <f>'144A Draw'!C47*$C50*1000</f>
        <v>0</v>
      </c>
      <c r="E50" s="427">
        <f>'144A Draw'!D47*$C50*1000</f>
        <v>0</v>
      </c>
      <c r="F50" s="427">
        <f>'144A Draw'!E47*$C50*1000</f>
        <v>0</v>
      </c>
      <c r="G50" s="427">
        <f>'144A Draw'!F47*$C50*1000</f>
        <v>0</v>
      </c>
      <c r="H50" s="427">
        <f>'144A Draw'!G47*$C50*1000</f>
        <v>0</v>
      </c>
      <c r="I50" s="427">
        <f>'144A Draw'!H47*$C50*1000</f>
        <v>0</v>
      </c>
      <c r="J50" s="427">
        <f>'144A Draw'!I47*$C50*1000</f>
        <v>707.12341409290752</v>
      </c>
      <c r="K50" s="427">
        <f>'144A Draw'!J47*$C50*1000</f>
        <v>0</v>
      </c>
      <c r="L50" s="427">
        <f>'144A Draw'!K47*$C50*1000</f>
        <v>0</v>
      </c>
      <c r="M50" s="427">
        <f>'144A Draw'!L47*$C50*1000</f>
        <v>0</v>
      </c>
      <c r="N50" s="427">
        <f>'144A Draw'!M47*$C50*1000</f>
        <v>0</v>
      </c>
      <c r="O50" s="427">
        <f>'144A Draw'!N47*$C50*1000</f>
        <v>0</v>
      </c>
      <c r="P50" s="427">
        <f>'144A Draw'!O47*$C50*1000</f>
        <v>0</v>
      </c>
      <c r="Q50" s="427">
        <f>'144A Draw'!P47*$C50*1000</f>
        <v>0</v>
      </c>
      <c r="R50" s="427">
        <f>'144A Draw'!Q47*$C50*1000</f>
        <v>0</v>
      </c>
      <c r="S50" s="427">
        <f>'144A Draw'!R47*$C50*1000</f>
        <v>707.12341409290752</v>
      </c>
      <c r="T50" s="427">
        <f>'144A Draw'!S47*$C50*1000</f>
        <v>0</v>
      </c>
      <c r="U50" s="427">
        <f>'144A Draw'!T47*$C50*1000</f>
        <v>0</v>
      </c>
      <c r="V50" s="427">
        <f>'144A Draw'!U47*$C50*1000</f>
        <v>0</v>
      </c>
      <c r="W50" s="427">
        <f>'144A Draw'!V47*$C50*1000</f>
        <v>0</v>
      </c>
      <c r="X50" s="427">
        <f>'144A Draw'!W47*$C50*1000</f>
        <v>0</v>
      </c>
      <c r="Y50" s="427">
        <f>'144A Draw'!X47*$C50*1000</f>
        <v>0</v>
      </c>
      <c r="Z50" s="427"/>
      <c r="AA50" s="428">
        <f t="shared" si="3"/>
        <v>0</v>
      </c>
    </row>
    <row r="51" spans="1:27">
      <c r="A51" s="578" t="str">
        <f>'144A Draw'!A48</f>
        <v>Other</v>
      </c>
      <c r="B51" s="403"/>
      <c r="C51" s="425">
        <f>'144A Draw'!B48</f>
        <v>0</v>
      </c>
      <c r="D51" s="426">
        <f>'144A Draw'!C48*$C51*1000</f>
        <v>0</v>
      </c>
      <c r="E51" s="427">
        <f>'144A Draw'!D48*$C51*1000</f>
        <v>0</v>
      </c>
      <c r="F51" s="427">
        <f>'144A Draw'!E48*$C51*1000</f>
        <v>0</v>
      </c>
      <c r="G51" s="427">
        <f>'144A Draw'!F48*$C51*1000</f>
        <v>0</v>
      </c>
      <c r="H51" s="427">
        <f>'144A Draw'!G48*$C51*1000</f>
        <v>0</v>
      </c>
      <c r="I51" s="427">
        <f>'144A Draw'!H48*$C51*1000</f>
        <v>0</v>
      </c>
      <c r="J51" s="427">
        <f>'144A Draw'!I48*$C51*1000</f>
        <v>0</v>
      </c>
      <c r="K51" s="427">
        <f>'144A Draw'!J48*$C51*1000</f>
        <v>0</v>
      </c>
      <c r="L51" s="427">
        <f>'144A Draw'!K48*$C51*1000</f>
        <v>0</v>
      </c>
      <c r="M51" s="427">
        <f>'144A Draw'!L48*$C51*1000</f>
        <v>0</v>
      </c>
      <c r="N51" s="427">
        <f>'144A Draw'!M48*$C51*1000</f>
        <v>0</v>
      </c>
      <c r="O51" s="427">
        <f>'144A Draw'!N48*$C51*1000</f>
        <v>0</v>
      </c>
      <c r="P51" s="427">
        <f>'144A Draw'!O48*$C51*1000</f>
        <v>0</v>
      </c>
      <c r="Q51" s="427">
        <f>'144A Draw'!P48*$C51*1000</f>
        <v>0</v>
      </c>
      <c r="R51" s="427">
        <f>'144A Draw'!Q48*$C51*1000</f>
        <v>0</v>
      </c>
      <c r="S51" s="427">
        <f>'144A Draw'!R48*$C51*1000</f>
        <v>0</v>
      </c>
      <c r="T51" s="427">
        <f>'144A Draw'!S48*$C51*1000</f>
        <v>0</v>
      </c>
      <c r="U51" s="427">
        <f>'144A Draw'!T48*$C51*1000</f>
        <v>0</v>
      </c>
      <c r="V51" s="427">
        <f>'144A Draw'!U48*$C51*1000</f>
        <v>0</v>
      </c>
      <c r="W51" s="427">
        <f>'144A Draw'!V48*$C51*1000</f>
        <v>0</v>
      </c>
      <c r="X51" s="427">
        <f>'144A Draw'!W48*$C51*1000</f>
        <v>0</v>
      </c>
      <c r="Y51" s="427">
        <f>'144A Draw'!X48*$C51*1000</f>
        <v>0</v>
      </c>
      <c r="Z51" s="427"/>
      <c r="AA51" s="428">
        <f t="shared" si="3"/>
        <v>0</v>
      </c>
    </row>
    <row r="52" spans="1:27">
      <c r="A52" s="578" t="str">
        <f>'144A Draw'!A49</f>
        <v xml:space="preserve">Debt Reserve </v>
      </c>
      <c r="B52" s="403"/>
      <c r="C52" s="425">
        <f ca="1">'144A Draw'!B49</f>
        <v>9.6072300000000013</v>
      </c>
      <c r="D52" s="426">
        <f ca="1">'144A Draw'!C49*$C52*1000</f>
        <v>0</v>
      </c>
      <c r="E52" s="427">
        <f ca="1">'144A Draw'!D49*$C52*1000</f>
        <v>0</v>
      </c>
      <c r="F52" s="427">
        <f ca="1">'144A Draw'!E49*$C52*1000</f>
        <v>0</v>
      </c>
      <c r="G52" s="427">
        <f ca="1">'144A Draw'!F49*$C52*1000</f>
        <v>0</v>
      </c>
      <c r="H52" s="427">
        <f ca="1">'144A Draw'!G49*$C52*1000</f>
        <v>0</v>
      </c>
      <c r="I52" s="427">
        <f ca="1">'144A Draw'!H49*$C52*1000</f>
        <v>9607.2300000000014</v>
      </c>
      <c r="J52" s="427">
        <f ca="1">'144A Draw'!I49*$C52*1000</f>
        <v>0</v>
      </c>
      <c r="K52" s="427">
        <f ca="1">'144A Draw'!J49*$C52*1000</f>
        <v>0</v>
      </c>
      <c r="L52" s="427">
        <f ca="1">'144A Draw'!K49*$C52*1000</f>
        <v>0</v>
      </c>
      <c r="M52" s="427">
        <f ca="1">'144A Draw'!L49*$C52*1000</f>
        <v>0</v>
      </c>
      <c r="N52" s="427">
        <f ca="1">'144A Draw'!M49*$C52*1000</f>
        <v>0</v>
      </c>
      <c r="O52" s="427">
        <f ca="1">'144A Draw'!N49*$C52*1000</f>
        <v>0</v>
      </c>
      <c r="P52" s="427">
        <f ca="1">'144A Draw'!O49*$C52*1000</f>
        <v>0</v>
      </c>
      <c r="Q52" s="427">
        <f ca="1">'144A Draw'!P49*$C52*1000</f>
        <v>0</v>
      </c>
      <c r="R52" s="427">
        <f ca="1">'144A Draw'!Q49*$C52*1000</f>
        <v>0</v>
      </c>
      <c r="S52" s="427">
        <f ca="1">'144A Draw'!R49*$C52*1000</f>
        <v>0</v>
      </c>
      <c r="T52" s="427">
        <f ca="1">'144A Draw'!S49*$C52*1000</f>
        <v>0</v>
      </c>
      <c r="U52" s="427">
        <f ca="1">'144A Draw'!T49*$C52*1000</f>
        <v>0</v>
      </c>
      <c r="V52" s="427">
        <f ca="1">'144A Draw'!U49*$C52*1000</f>
        <v>0</v>
      </c>
      <c r="W52" s="427">
        <f ca="1">'144A Draw'!V49*$C52*1000</f>
        <v>0</v>
      </c>
      <c r="X52" s="427">
        <f ca="1">'144A Draw'!W49*$C52*1000</f>
        <v>0</v>
      </c>
      <c r="Y52" s="427">
        <f ca="1">'144A Draw'!X49*$C52*1000</f>
        <v>0</v>
      </c>
      <c r="Z52" s="427"/>
      <c r="AA52" s="428">
        <f t="shared" ca="1" si="3"/>
        <v>0</v>
      </c>
    </row>
    <row r="53" spans="1:27">
      <c r="A53" s="578" t="str">
        <f>'144A Draw'!A50</f>
        <v>Other</v>
      </c>
      <c r="B53" s="403"/>
      <c r="C53" s="425">
        <f>'144A Draw'!B50</f>
        <v>0</v>
      </c>
      <c r="D53" s="426">
        <f>'144A Draw'!C50*$C53*1000</f>
        <v>0</v>
      </c>
      <c r="E53" s="427">
        <f>'144A Draw'!D50*$C53*1000</f>
        <v>0</v>
      </c>
      <c r="F53" s="427">
        <f>'144A Draw'!E50*$C53*1000</f>
        <v>0</v>
      </c>
      <c r="G53" s="427">
        <f>'144A Draw'!F50*$C53*1000</f>
        <v>0</v>
      </c>
      <c r="H53" s="427">
        <f>'144A Draw'!G50*$C53*1000</f>
        <v>0</v>
      </c>
      <c r="I53" s="427">
        <f>'144A Draw'!H50*$C53*1000</f>
        <v>0</v>
      </c>
      <c r="J53" s="427">
        <f>'144A Draw'!I50*$C53*1000</f>
        <v>0</v>
      </c>
      <c r="K53" s="427">
        <f>'144A Draw'!J50*$C53*1000</f>
        <v>0</v>
      </c>
      <c r="L53" s="427">
        <f>'144A Draw'!K50*$C53*1000</f>
        <v>0</v>
      </c>
      <c r="M53" s="427">
        <f>'144A Draw'!L50*$C53*1000</f>
        <v>0</v>
      </c>
      <c r="N53" s="427">
        <f>'144A Draw'!M50*$C53*1000</f>
        <v>0</v>
      </c>
      <c r="O53" s="427">
        <f>'144A Draw'!N50*$C53*1000</f>
        <v>0</v>
      </c>
      <c r="P53" s="427">
        <f>'144A Draw'!O50*$C53*1000</f>
        <v>0</v>
      </c>
      <c r="Q53" s="427">
        <f>'144A Draw'!P50*$C53*1000</f>
        <v>0</v>
      </c>
      <c r="R53" s="427">
        <f>'144A Draw'!Q50*$C53*1000</f>
        <v>0</v>
      </c>
      <c r="S53" s="427">
        <f>'144A Draw'!R50*$C53*1000</f>
        <v>0</v>
      </c>
      <c r="T53" s="427">
        <f>'144A Draw'!S50*$C53*1000</f>
        <v>0</v>
      </c>
      <c r="U53" s="427">
        <f>'144A Draw'!T50*$C53*1000</f>
        <v>0</v>
      </c>
      <c r="V53" s="427">
        <f>'144A Draw'!U50*$C53*1000</f>
        <v>0</v>
      </c>
      <c r="W53" s="427">
        <f>'144A Draw'!V50*$C53*1000</f>
        <v>0</v>
      </c>
      <c r="X53" s="427">
        <f>'144A Draw'!W50*$C53*1000</f>
        <v>0</v>
      </c>
      <c r="Y53" s="427">
        <f>'144A Draw'!X50*$C53*1000</f>
        <v>0</v>
      </c>
      <c r="Z53" s="427"/>
      <c r="AA53" s="428">
        <f t="shared" si="3"/>
        <v>0</v>
      </c>
    </row>
    <row r="54" spans="1:27">
      <c r="A54" s="578" t="str">
        <f>'144A Draw'!A51</f>
        <v>Environmental Impact Assessment</v>
      </c>
      <c r="B54" s="403"/>
      <c r="C54" s="425">
        <f>'144A Draw'!B51</f>
        <v>0.05</v>
      </c>
      <c r="D54" s="426">
        <f>'144A Draw'!C51*$C54*1000</f>
        <v>50</v>
      </c>
      <c r="E54" s="427">
        <f>'144A Draw'!D51*$C54*1000</f>
        <v>0</v>
      </c>
      <c r="F54" s="427">
        <f>'144A Draw'!E51*$C54*1000</f>
        <v>0</v>
      </c>
      <c r="G54" s="427">
        <f>'144A Draw'!F51*$C54*1000</f>
        <v>0</v>
      </c>
      <c r="H54" s="427">
        <f>'144A Draw'!G51*$C54*1000</f>
        <v>0</v>
      </c>
      <c r="I54" s="427">
        <f>'144A Draw'!H51*$C54*1000</f>
        <v>0</v>
      </c>
      <c r="J54" s="427">
        <f>'144A Draw'!I51*$C54*1000</f>
        <v>0</v>
      </c>
      <c r="K54" s="427">
        <f>'144A Draw'!J51*$C54*1000</f>
        <v>0</v>
      </c>
      <c r="L54" s="427">
        <f>'144A Draw'!K51*$C54*1000</f>
        <v>0</v>
      </c>
      <c r="M54" s="427">
        <f>'144A Draw'!L51*$C54*1000</f>
        <v>0</v>
      </c>
      <c r="N54" s="427">
        <f>'144A Draw'!M51*$C54*1000</f>
        <v>0</v>
      </c>
      <c r="O54" s="427">
        <f>'144A Draw'!N51*$C54*1000</f>
        <v>0</v>
      </c>
      <c r="P54" s="427">
        <f>'144A Draw'!O51*$C54*1000</f>
        <v>0</v>
      </c>
      <c r="Q54" s="427">
        <f>'144A Draw'!P51*$C54*1000</f>
        <v>0</v>
      </c>
      <c r="R54" s="427">
        <f>'144A Draw'!Q51*$C54*1000</f>
        <v>0</v>
      </c>
      <c r="S54" s="427">
        <f>'144A Draw'!R51*$C54*1000</f>
        <v>0</v>
      </c>
      <c r="T54" s="427">
        <f>'144A Draw'!S51*$C54*1000</f>
        <v>0</v>
      </c>
      <c r="U54" s="427">
        <f>'144A Draw'!T51*$C54*1000</f>
        <v>0</v>
      </c>
      <c r="V54" s="427">
        <f>'144A Draw'!U51*$C54*1000</f>
        <v>0</v>
      </c>
      <c r="W54" s="427">
        <f>'144A Draw'!V51*$C54*1000</f>
        <v>0</v>
      </c>
      <c r="X54" s="427">
        <f>'144A Draw'!W51*$C54*1000</f>
        <v>0</v>
      </c>
      <c r="Y54" s="427">
        <f>'144A Draw'!X51*$C54*1000</f>
        <v>0</v>
      </c>
      <c r="Z54" s="427"/>
      <c r="AA54" s="428">
        <f t="shared" si="3"/>
        <v>0</v>
      </c>
    </row>
    <row r="55" spans="1:27">
      <c r="A55" s="578" t="str">
        <f>'144A Draw'!A52</f>
        <v xml:space="preserve">Other </v>
      </c>
      <c r="B55" s="403"/>
      <c r="C55" s="429">
        <f>'144A Draw'!B52</f>
        <v>0</v>
      </c>
      <c r="D55" s="426">
        <f>'144A Draw'!C52*$C55*1000</f>
        <v>0</v>
      </c>
      <c r="E55" s="427">
        <f>'144A Draw'!D52*$C55*1000</f>
        <v>0</v>
      </c>
      <c r="F55" s="427">
        <f>'144A Draw'!E52*$C55*1000</f>
        <v>0</v>
      </c>
      <c r="G55" s="427">
        <f>'144A Draw'!F52*$C55*1000</f>
        <v>0</v>
      </c>
      <c r="H55" s="427">
        <f>'144A Draw'!G52*$C55*1000</f>
        <v>0</v>
      </c>
      <c r="I55" s="427">
        <f>'144A Draw'!H52*$C55*1000</f>
        <v>0</v>
      </c>
      <c r="J55" s="427">
        <f>'144A Draw'!I52*$C55*1000</f>
        <v>0</v>
      </c>
      <c r="K55" s="427">
        <f>'144A Draw'!J52*$C55*1000</f>
        <v>0</v>
      </c>
      <c r="L55" s="427">
        <f>'144A Draw'!K52*$C55*1000</f>
        <v>0</v>
      </c>
      <c r="M55" s="427">
        <f>'144A Draw'!L52*$C55*1000</f>
        <v>0</v>
      </c>
      <c r="N55" s="427">
        <f>'144A Draw'!M52*$C55*1000</f>
        <v>0</v>
      </c>
      <c r="O55" s="427">
        <f>'144A Draw'!N52*$C55*1000</f>
        <v>0</v>
      </c>
      <c r="P55" s="427">
        <f>'144A Draw'!O52*$C55*1000</f>
        <v>0</v>
      </c>
      <c r="Q55" s="427">
        <f>'144A Draw'!P52*$C55*1000</f>
        <v>0</v>
      </c>
      <c r="R55" s="427">
        <f>'144A Draw'!Q52*$C55*1000</f>
        <v>0</v>
      </c>
      <c r="S55" s="427">
        <f>'144A Draw'!R52*$C55*1000</f>
        <v>0</v>
      </c>
      <c r="T55" s="427">
        <f>'144A Draw'!S52*$C55*1000</f>
        <v>0</v>
      </c>
      <c r="U55" s="427">
        <f>'144A Draw'!T52*$C55*1000</f>
        <v>0</v>
      </c>
      <c r="V55" s="427">
        <f>'144A Draw'!U52*$C55*1000</f>
        <v>0</v>
      </c>
      <c r="W55" s="427">
        <f>'144A Draw'!V52*$C55*1000</f>
        <v>0</v>
      </c>
      <c r="X55" s="427">
        <f>'144A Draw'!W52*$C55*1000</f>
        <v>0</v>
      </c>
      <c r="Y55" s="427">
        <f>'144A Draw'!X52*$C55*1000</f>
        <v>0</v>
      </c>
      <c r="Z55" s="427"/>
      <c r="AA55" s="428">
        <f t="shared" si="3"/>
        <v>0</v>
      </c>
    </row>
    <row r="56" spans="1:27">
      <c r="A56" s="578" t="str">
        <f>'144A Draw'!A53</f>
        <v xml:space="preserve">   Total Soft Costs</v>
      </c>
      <c r="B56" s="403"/>
      <c r="C56" s="425">
        <f ca="1">SUM(C36:C55)</f>
        <v>21.04618650969039</v>
      </c>
      <c r="D56" s="426"/>
      <c r="E56" s="427"/>
      <c r="F56" s="427"/>
      <c r="G56" s="427"/>
      <c r="H56" s="427"/>
      <c r="I56" s="427"/>
      <c r="J56" s="427"/>
      <c r="K56" s="427"/>
      <c r="L56" s="427"/>
      <c r="M56" s="427"/>
      <c r="N56" s="427"/>
      <c r="O56" s="427"/>
      <c r="P56" s="427"/>
      <c r="Q56" s="427"/>
      <c r="R56" s="427"/>
      <c r="S56" s="427"/>
      <c r="T56" s="427"/>
      <c r="U56" s="427"/>
      <c r="V56" s="427"/>
      <c r="W56" s="427"/>
      <c r="X56" s="427"/>
      <c r="Y56" s="427"/>
      <c r="Z56" s="427"/>
      <c r="AA56" s="403"/>
    </row>
    <row r="57" spans="1:27">
      <c r="A57" s="578"/>
      <c r="B57" s="403"/>
      <c r="C57" s="425"/>
      <c r="D57" s="426"/>
      <c r="E57" s="427"/>
      <c r="F57" s="427"/>
      <c r="G57" s="427"/>
      <c r="H57" s="427"/>
      <c r="I57" s="427"/>
      <c r="J57" s="427"/>
      <c r="K57" s="427"/>
      <c r="L57" s="427"/>
      <c r="M57" s="427"/>
      <c r="N57" s="427"/>
      <c r="O57" s="427"/>
      <c r="P57" s="427"/>
      <c r="Q57" s="427"/>
      <c r="R57" s="427"/>
      <c r="S57" s="427"/>
      <c r="T57" s="427"/>
      <c r="U57" s="427"/>
      <c r="V57" s="427"/>
      <c r="W57" s="427"/>
      <c r="X57" s="427"/>
      <c r="Y57" s="427"/>
      <c r="Z57" s="427"/>
      <c r="AA57" s="403"/>
    </row>
    <row r="58" spans="1:27" ht="16.2">
      <c r="A58" s="578" t="str">
        <f>'144A Draw'!A55</f>
        <v>Contingency</v>
      </c>
      <c r="B58" s="403"/>
      <c r="C58" s="430"/>
      <c r="D58" s="426"/>
      <c r="E58" s="427"/>
      <c r="F58" s="427"/>
      <c r="G58" s="427"/>
      <c r="H58" s="427"/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  <c r="V58" s="427"/>
      <c r="W58" s="427"/>
      <c r="X58" s="427"/>
      <c r="Y58" s="427"/>
      <c r="Z58" s="427"/>
      <c r="AA58" s="403"/>
    </row>
    <row r="59" spans="1:27">
      <c r="A59" s="578" t="str">
        <f>'144A Draw'!A56</f>
        <v>Major Equipment</v>
      </c>
      <c r="B59" s="403"/>
      <c r="C59" s="425">
        <f>'144A Draw'!B56</f>
        <v>4.1087218150457137</v>
      </c>
      <c r="D59" s="426">
        <f>'144A Draw'!C56*$C59*1000</f>
        <v>0</v>
      </c>
      <c r="E59" s="427">
        <f>'144A Draw'!D56*$C59*1000</f>
        <v>0</v>
      </c>
      <c r="F59" s="427">
        <f>'144A Draw'!E56*$C59*1000</f>
        <v>0</v>
      </c>
      <c r="G59" s="427">
        <f>'144A Draw'!F56*$C59*1000</f>
        <v>0</v>
      </c>
      <c r="H59" s="427">
        <f>'144A Draw'!G56*$C59*1000</f>
        <v>0</v>
      </c>
      <c r="I59" s="427">
        <f>'144A Draw'!H56*$C59*1000</f>
        <v>0</v>
      </c>
      <c r="J59" s="427">
        <f>'144A Draw'!I56*$C59*1000</f>
        <v>0</v>
      </c>
      <c r="K59" s="427">
        <f>'144A Draw'!J56*$C59*1000</f>
        <v>0</v>
      </c>
      <c r="L59" s="427">
        <f>'144A Draw'!K56*$C59*1000</f>
        <v>0</v>
      </c>
      <c r="M59" s="427">
        <f>'144A Draw'!L56*$C59*1000</f>
        <v>0</v>
      </c>
      <c r="N59" s="427">
        <f>'144A Draw'!M56*$C59*1000</f>
        <v>0</v>
      </c>
      <c r="O59" s="427">
        <f>'144A Draw'!N56*$C59*1000</f>
        <v>0</v>
      </c>
      <c r="P59" s="427">
        <f>'144A Draw'!O56*$C59*1000</f>
        <v>1027.1804537614285</v>
      </c>
      <c r="Q59" s="427">
        <f>'144A Draw'!P56*$C59*1000</f>
        <v>1027.1804537614285</v>
      </c>
      <c r="R59" s="427">
        <f>'144A Draw'!Q56*$C59*1000</f>
        <v>1027.1804537614285</v>
      </c>
      <c r="S59" s="427">
        <f>'144A Draw'!R56*$C59*1000</f>
        <v>1027.1804537614285</v>
      </c>
      <c r="T59" s="427">
        <f>'144A Draw'!S56*$C59*1000</f>
        <v>0</v>
      </c>
      <c r="U59" s="427">
        <f>'144A Draw'!T56*$C59*1000</f>
        <v>0</v>
      </c>
      <c r="V59" s="427">
        <f>'144A Draw'!U56*$C59*1000</f>
        <v>0</v>
      </c>
      <c r="W59" s="427">
        <f>'144A Draw'!V56*$C59*1000</f>
        <v>0</v>
      </c>
      <c r="X59" s="427">
        <f>'144A Draw'!W56*$C59*1000</f>
        <v>0</v>
      </c>
      <c r="Y59" s="427">
        <f>'144A Draw'!X56*$C59*1000</f>
        <v>0</v>
      </c>
      <c r="Z59" s="427"/>
      <c r="AA59" s="428">
        <f>C59*1000-SUM(D59:Y59)</f>
        <v>0</v>
      </c>
    </row>
    <row r="60" spans="1:27">
      <c r="A60" s="578" t="str">
        <f>'144A Draw'!A57</f>
        <v>Engineering / Construction</v>
      </c>
      <c r="B60" s="403"/>
      <c r="C60" s="425">
        <f>'144A Draw'!B57</f>
        <v>0</v>
      </c>
      <c r="D60" s="426">
        <f>'144A Draw'!C57*$C60*1000</f>
        <v>0</v>
      </c>
      <c r="E60" s="427">
        <f>'144A Draw'!D57*$C60*1000</f>
        <v>0</v>
      </c>
      <c r="F60" s="427">
        <f>'144A Draw'!E57*$C60*1000</f>
        <v>0</v>
      </c>
      <c r="G60" s="427">
        <f>'144A Draw'!F57*$C60*1000</f>
        <v>0</v>
      </c>
      <c r="H60" s="427">
        <f>'144A Draw'!G57*$C60*1000</f>
        <v>0</v>
      </c>
      <c r="I60" s="427">
        <f>'144A Draw'!H57*$C60*1000</f>
        <v>0</v>
      </c>
      <c r="J60" s="427">
        <f>'144A Draw'!I57*$C60*1000</f>
        <v>0</v>
      </c>
      <c r="K60" s="427">
        <f>'144A Draw'!J57*$C60*1000</f>
        <v>0</v>
      </c>
      <c r="L60" s="427">
        <f>'144A Draw'!K57*$C60*1000</f>
        <v>0</v>
      </c>
      <c r="M60" s="427">
        <f>'144A Draw'!L57*$C60*1000</f>
        <v>0</v>
      </c>
      <c r="N60" s="427">
        <f>'144A Draw'!M57*$C60*1000</f>
        <v>0</v>
      </c>
      <c r="O60" s="427">
        <f>'144A Draw'!N57*$C60*1000</f>
        <v>0</v>
      </c>
      <c r="P60" s="427">
        <f>'144A Draw'!O57*$C60*1000</f>
        <v>0</v>
      </c>
      <c r="Q60" s="427">
        <f>'144A Draw'!P57*$C60*1000</f>
        <v>0</v>
      </c>
      <c r="R60" s="427">
        <f>'144A Draw'!Q57*$C60*1000</f>
        <v>0</v>
      </c>
      <c r="S60" s="427">
        <f>'144A Draw'!R57*$C60*1000</f>
        <v>0</v>
      </c>
      <c r="T60" s="427">
        <f>'144A Draw'!S57*$C60*1000</f>
        <v>0</v>
      </c>
      <c r="U60" s="427">
        <f>'144A Draw'!T57*$C60*1000</f>
        <v>0</v>
      </c>
      <c r="V60" s="427">
        <f>'144A Draw'!U57*$C60*1000</f>
        <v>0</v>
      </c>
      <c r="W60" s="427">
        <f>'144A Draw'!V57*$C60*1000</f>
        <v>0</v>
      </c>
      <c r="X60" s="427">
        <f>'144A Draw'!W57*$C60*1000</f>
        <v>0</v>
      </c>
      <c r="Y60" s="427">
        <f>'144A Draw'!X57*$C60*1000</f>
        <v>0</v>
      </c>
      <c r="Z60" s="427"/>
      <c r="AA60" s="428">
        <f>C60*1000-SUM(D60:Y60)</f>
        <v>0</v>
      </c>
    </row>
    <row r="61" spans="1:27">
      <c r="A61" s="578" t="str">
        <f>'144A Draw'!A58</f>
        <v>Other</v>
      </c>
      <c r="B61" s="403"/>
      <c r="C61" s="425">
        <f>'144A Draw'!B58</f>
        <v>0.19485</v>
      </c>
      <c r="D61" s="426">
        <f>'144A Draw'!C58*$C61*1000</f>
        <v>0</v>
      </c>
      <c r="E61" s="427">
        <f>'144A Draw'!D58*$C61*1000</f>
        <v>0</v>
      </c>
      <c r="F61" s="427">
        <f>'144A Draw'!E58*$C61*1000</f>
        <v>0</v>
      </c>
      <c r="G61" s="427">
        <f>'144A Draw'!F58*$C61*1000</f>
        <v>0</v>
      </c>
      <c r="H61" s="427">
        <f>'144A Draw'!G58*$C61*1000</f>
        <v>0</v>
      </c>
      <c r="I61" s="427">
        <f>'144A Draw'!H58*$C61*1000</f>
        <v>0</v>
      </c>
      <c r="J61" s="427">
        <f>'144A Draw'!I58*$C61*1000</f>
        <v>0</v>
      </c>
      <c r="K61" s="427">
        <f>'144A Draw'!J58*$C61*1000</f>
        <v>0</v>
      </c>
      <c r="L61" s="427">
        <f>'144A Draw'!K58*$C61*1000</f>
        <v>0</v>
      </c>
      <c r="M61" s="427">
        <f>'144A Draw'!L58*$C61*1000</f>
        <v>0</v>
      </c>
      <c r="N61" s="427">
        <f>'144A Draw'!M58*$C61*1000</f>
        <v>0</v>
      </c>
      <c r="O61" s="427">
        <f>'144A Draw'!N58*$C61*1000</f>
        <v>0</v>
      </c>
      <c r="P61" s="427">
        <f>'144A Draw'!O58*$C61*1000</f>
        <v>48.712499999999999</v>
      </c>
      <c r="Q61" s="427">
        <f>'144A Draw'!P58*$C61*1000</f>
        <v>48.712499999999999</v>
      </c>
      <c r="R61" s="427">
        <f>'144A Draw'!Q58*$C61*1000</f>
        <v>48.712499999999999</v>
      </c>
      <c r="S61" s="427">
        <f>'144A Draw'!R58*$C61*1000</f>
        <v>48.712499999999999</v>
      </c>
      <c r="T61" s="427">
        <f>'144A Draw'!S58*$C61*1000</f>
        <v>0</v>
      </c>
      <c r="U61" s="427">
        <f>'144A Draw'!T58*$C61*1000</f>
        <v>0</v>
      </c>
      <c r="V61" s="427">
        <f>'144A Draw'!U58*$C61*1000</f>
        <v>0</v>
      </c>
      <c r="W61" s="427">
        <f>'144A Draw'!V58*$C61*1000</f>
        <v>0</v>
      </c>
      <c r="X61" s="427">
        <f>'144A Draw'!W58*$C61*1000</f>
        <v>0</v>
      </c>
      <c r="Y61" s="427">
        <f>'144A Draw'!X58*$C61*1000</f>
        <v>0</v>
      </c>
      <c r="Z61" s="427"/>
      <c r="AA61" s="428">
        <f>C61*1000-SUM(D61:Y61)</f>
        <v>0</v>
      </c>
    </row>
    <row r="62" spans="1:27">
      <c r="A62" s="578" t="str">
        <f>'144A Draw'!A59</f>
        <v>Soft Costs</v>
      </c>
      <c r="B62" s="403"/>
      <c r="C62" s="429">
        <f>'144A Draw'!B59</f>
        <v>0.71848413029071168</v>
      </c>
      <c r="D62" s="426">
        <f>'144A Draw'!C59*$C62*1000</f>
        <v>0</v>
      </c>
      <c r="E62" s="427">
        <f>'144A Draw'!D59*$C62*1000</f>
        <v>0</v>
      </c>
      <c r="F62" s="427">
        <f>'144A Draw'!E59*$C62*1000</f>
        <v>0</v>
      </c>
      <c r="G62" s="427">
        <f>'144A Draw'!F59*$C62*1000</f>
        <v>0</v>
      </c>
      <c r="H62" s="427">
        <f>'144A Draw'!G59*$C62*1000</f>
        <v>0</v>
      </c>
      <c r="I62" s="427">
        <f>'144A Draw'!H59*$C62*1000</f>
        <v>0</v>
      </c>
      <c r="J62" s="427">
        <f>'144A Draw'!I59*$C62*1000</f>
        <v>0</v>
      </c>
      <c r="K62" s="427">
        <f>'144A Draw'!J59*$C62*1000</f>
        <v>0</v>
      </c>
      <c r="L62" s="427">
        <f>'144A Draw'!K59*$C62*1000</f>
        <v>0</v>
      </c>
      <c r="M62" s="427">
        <f>'144A Draw'!L59*$C62*1000</f>
        <v>0</v>
      </c>
      <c r="N62" s="427">
        <f>'144A Draw'!M59*$C62*1000</f>
        <v>0</v>
      </c>
      <c r="O62" s="427">
        <f>'144A Draw'!N59*$C62*1000</f>
        <v>0</v>
      </c>
      <c r="P62" s="427">
        <f>'144A Draw'!O59*$C62*1000</f>
        <v>179.6210325726779</v>
      </c>
      <c r="Q62" s="427">
        <f>'144A Draw'!P59*$C62*1000</f>
        <v>179.6210325726779</v>
      </c>
      <c r="R62" s="427">
        <f>'144A Draw'!Q59*$C62*1000</f>
        <v>179.6210325726779</v>
      </c>
      <c r="S62" s="427">
        <f>'144A Draw'!R59*$C62*1000</f>
        <v>179.6210325726779</v>
      </c>
      <c r="T62" s="427">
        <f>'144A Draw'!S59*$C62*1000</f>
        <v>0</v>
      </c>
      <c r="U62" s="427">
        <f>'144A Draw'!T59*$C62*1000</f>
        <v>0</v>
      </c>
      <c r="V62" s="427">
        <f>'144A Draw'!U59*$C62*1000</f>
        <v>0</v>
      </c>
      <c r="W62" s="427">
        <f>'144A Draw'!V59*$C62*1000</f>
        <v>0</v>
      </c>
      <c r="X62" s="427">
        <f>'144A Draw'!W59*$C62*1000</f>
        <v>0</v>
      </c>
      <c r="Y62" s="427">
        <f>'144A Draw'!X59*$C62*1000</f>
        <v>0</v>
      </c>
      <c r="Z62" s="427"/>
      <c r="AA62" s="428">
        <f>C62*1000-SUM(D62:Y62)</f>
        <v>0</v>
      </c>
    </row>
    <row r="63" spans="1:27">
      <c r="A63" s="577" t="str">
        <f>'144A Draw'!A60</f>
        <v xml:space="preserve">   Total Contingency</v>
      </c>
      <c r="B63" s="403"/>
      <c r="C63" s="425">
        <f>SUM(C59:C62)</f>
        <v>5.0220559453364251</v>
      </c>
      <c r="D63" s="426"/>
      <c r="E63" s="427"/>
      <c r="F63" s="427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03"/>
    </row>
    <row r="64" spans="1:27">
      <c r="A64" s="403"/>
      <c r="B64" s="403"/>
      <c r="C64" s="431"/>
      <c r="D64" s="424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403"/>
      <c r="AA64" s="403"/>
    </row>
    <row r="65" spans="1:27">
      <c r="A65" s="403" t="s">
        <v>335</v>
      </c>
      <c r="B65" s="403"/>
      <c r="C65" s="431"/>
      <c r="D65" s="426">
        <f t="shared" ref="D65:Y65" si="4">D113</f>
        <v>0</v>
      </c>
      <c r="E65" s="427">
        <f t="shared" si="4"/>
        <v>0</v>
      </c>
      <c r="F65" s="427">
        <f t="shared" si="4"/>
        <v>0</v>
      </c>
      <c r="G65" s="427">
        <f t="shared" si="4"/>
        <v>0</v>
      </c>
      <c r="H65" s="427">
        <f t="shared" si="4"/>
        <v>0</v>
      </c>
      <c r="I65" s="427">
        <f t="shared" ca="1" si="4"/>
        <v>0</v>
      </c>
      <c r="J65" s="427">
        <f t="shared" ca="1" si="4"/>
        <v>-165.54187326881177</v>
      </c>
      <c r="K65" s="427">
        <f t="shared" ca="1" si="4"/>
        <v>-141.87234134113677</v>
      </c>
      <c r="L65" s="427">
        <f t="shared" ca="1" si="4"/>
        <v>-114.65317456759034</v>
      </c>
      <c r="M65" s="427">
        <f t="shared" ca="1" si="4"/>
        <v>-87.434007794043893</v>
      </c>
      <c r="N65" s="427">
        <f t="shared" ca="1" si="4"/>
        <v>-47.081192090773158</v>
      </c>
      <c r="O65" s="427">
        <f t="shared" ca="1" si="4"/>
        <v>4718.2716236124979</v>
      </c>
      <c r="P65" s="427">
        <f t="shared" ca="1" si="4"/>
        <v>0</v>
      </c>
      <c r="Q65" s="427">
        <f t="shared" ca="1" si="4"/>
        <v>0</v>
      </c>
      <c r="R65" s="427">
        <f t="shared" ca="1" si="4"/>
        <v>0</v>
      </c>
      <c r="S65" s="427">
        <f t="shared" ca="1" si="4"/>
        <v>0</v>
      </c>
      <c r="T65" s="427">
        <f t="shared" ca="1" si="4"/>
        <v>0</v>
      </c>
      <c r="U65" s="427">
        <f t="shared" ca="1" si="4"/>
        <v>0</v>
      </c>
      <c r="V65" s="427">
        <f t="shared" ca="1" si="4"/>
        <v>0</v>
      </c>
      <c r="W65" s="427">
        <f t="shared" ca="1" si="4"/>
        <v>0</v>
      </c>
      <c r="X65" s="427">
        <f t="shared" ca="1" si="4"/>
        <v>0</v>
      </c>
      <c r="Y65" s="427">
        <f t="shared" ca="1" si="4"/>
        <v>0</v>
      </c>
      <c r="Z65" s="403"/>
      <c r="AA65" s="403"/>
    </row>
    <row r="66" spans="1:27">
      <c r="A66" s="418"/>
      <c r="B66" s="403"/>
      <c r="C66" s="431"/>
      <c r="D66" s="432"/>
      <c r="E66" s="427"/>
      <c r="F66" s="427"/>
      <c r="G66" s="427"/>
      <c r="H66" s="427"/>
      <c r="I66" s="427"/>
      <c r="J66" s="427"/>
      <c r="K66" s="427"/>
      <c r="L66" s="427"/>
      <c r="M66" s="427"/>
      <c r="N66" s="427"/>
      <c r="O66" s="427"/>
      <c r="P66" s="427"/>
      <c r="Q66" s="427"/>
      <c r="R66" s="427"/>
      <c r="S66" s="427"/>
      <c r="T66" s="427"/>
      <c r="U66" s="427"/>
      <c r="V66" s="403"/>
      <c r="W66" s="403"/>
      <c r="X66" s="403"/>
      <c r="Y66" s="403"/>
      <c r="Z66" s="403"/>
      <c r="AA66" s="403"/>
    </row>
    <row r="67" spans="1:27">
      <c r="A67" s="418" t="s">
        <v>336</v>
      </c>
      <c r="B67" s="403"/>
      <c r="C67" s="431"/>
      <c r="D67" s="432"/>
      <c r="E67" s="427"/>
      <c r="F67" s="427"/>
      <c r="G67" s="427"/>
      <c r="H67" s="427"/>
      <c r="I67" s="427"/>
      <c r="J67" s="427"/>
      <c r="K67" s="427"/>
      <c r="L67" s="427"/>
      <c r="M67" s="427"/>
      <c r="N67" s="427"/>
      <c r="O67" s="427"/>
      <c r="P67" s="427"/>
      <c r="Q67" s="427"/>
      <c r="R67" s="427"/>
      <c r="S67" s="427"/>
      <c r="T67" s="427"/>
      <c r="U67" s="427"/>
      <c r="V67" s="403"/>
      <c r="W67" s="403"/>
      <c r="X67" s="403"/>
      <c r="Y67" s="403"/>
      <c r="Z67" s="403"/>
      <c r="AA67" s="403"/>
    </row>
    <row r="68" spans="1:27" ht="14.1" customHeight="1">
      <c r="A68" s="403" t="s">
        <v>20</v>
      </c>
      <c r="B68" s="433"/>
      <c r="C68" s="434">
        <f ca="1">SUM(D68:Z68)</f>
        <v>118125.00000000001</v>
      </c>
      <c r="D68" s="426">
        <f t="shared" ref="D68:Y68" si="5">D102</f>
        <v>0</v>
      </c>
      <c r="E68" s="427">
        <f t="shared" si="5"/>
        <v>0</v>
      </c>
      <c r="F68" s="427">
        <f t="shared" si="5"/>
        <v>0</v>
      </c>
      <c r="G68" s="427">
        <f t="shared" si="5"/>
        <v>0</v>
      </c>
      <c r="H68" s="427">
        <f t="shared" si="5"/>
        <v>0</v>
      </c>
      <c r="I68" s="427">
        <f t="shared" ca="1" si="5"/>
        <v>69551.476975741127</v>
      </c>
      <c r="J68" s="427">
        <f t="shared" ca="1" si="5"/>
        <v>8843.4734397440498</v>
      </c>
      <c r="K68" s="427">
        <f t="shared" ca="1" si="5"/>
        <v>5680.6876626419989</v>
      </c>
      <c r="L68" s="427">
        <f t="shared" ca="1" si="5"/>
        <v>6532.6000256511425</v>
      </c>
      <c r="M68" s="427">
        <f t="shared" ca="1" si="5"/>
        <v>6532.6000256511425</v>
      </c>
      <c r="N68" s="427">
        <f t="shared" ca="1" si="5"/>
        <v>9684.6757687849695</v>
      </c>
      <c r="O68" s="427">
        <f t="shared" ca="1" si="5"/>
        <v>9684.6757687849695</v>
      </c>
      <c r="P68" s="427">
        <f t="shared" ca="1" si="5"/>
        <v>1614.8103330005979</v>
      </c>
      <c r="Q68" s="427">
        <f t="shared" ca="1" si="5"/>
        <v>0</v>
      </c>
      <c r="R68" s="427">
        <f t="shared" ca="1" si="5"/>
        <v>0</v>
      </c>
      <c r="S68" s="427">
        <f t="shared" ca="1" si="5"/>
        <v>0</v>
      </c>
      <c r="T68" s="427">
        <f t="shared" ca="1" si="5"/>
        <v>0</v>
      </c>
      <c r="U68" s="427">
        <f t="shared" ca="1" si="5"/>
        <v>0</v>
      </c>
      <c r="V68" s="427">
        <f t="shared" ca="1" si="5"/>
        <v>0</v>
      </c>
      <c r="W68" s="427">
        <f t="shared" ca="1" si="5"/>
        <v>0</v>
      </c>
      <c r="X68" s="427">
        <f t="shared" ca="1" si="5"/>
        <v>0</v>
      </c>
      <c r="Y68" s="427">
        <f t="shared" ca="1" si="5"/>
        <v>0</v>
      </c>
      <c r="Z68" s="403"/>
      <c r="AA68" s="403"/>
    </row>
    <row r="69" spans="1:27">
      <c r="A69" s="403" t="s">
        <v>22</v>
      </c>
      <c r="B69" s="433"/>
      <c r="C69" s="435">
        <f ca="1">SUM(D69:Y69)</f>
        <v>55557.325324434074</v>
      </c>
      <c r="D69" s="436">
        <f t="shared" ref="D69:Y69" ca="1" si="6">D127</f>
        <v>13111.953688293142</v>
      </c>
      <c r="E69" s="437">
        <f t="shared" ca="1" si="6"/>
        <v>7313.5196917428566</v>
      </c>
      <c r="F69" s="437">
        <f t="shared" ca="1" si="6"/>
        <v>7313.5196917428566</v>
      </c>
      <c r="G69" s="437">
        <f t="shared" ca="1" si="6"/>
        <v>7313.5196917428566</v>
      </c>
      <c r="H69" s="437">
        <f t="shared" ca="1" si="6"/>
        <v>8630.5196917428566</v>
      </c>
      <c r="I69" s="437">
        <f t="shared" ca="1" si="6"/>
        <v>-43683.032455264562</v>
      </c>
      <c r="J69" s="437">
        <f t="shared" ca="1" si="6"/>
        <v>-165.54187326881177</v>
      </c>
      <c r="K69" s="437">
        <f t="shared" ca="1" si="6"/>
        <v>-141.87234134113677</v>
      </c>
      <c r="L69" s="437">
        <f t="shared" ca="1" si="6"/>
        <v>-114.65317456759034</v>
      </c>
      <c r="M69" s="437">
        <f t="shared" ca="1" si="6"/>
        <v>-87.434007794043893</v>
      </c>
      <c r="N69" s="437">
        <f t="shared" ca="1" si="6"/>
        <v>-47.081192090773158</v>
      </c>
      <c r="O69" s="437">
        <f t="shared" ca="1" si="6"/>
        <v>4718.2716236124979</v>
      </c>
      <c r="P69" s="437">
        <f t="shared" ca="1" si="6"/>
        <v>15473.346975167799</v>
      </c>
      <c r="Q69" s="437">
        <f t="shared" ca="1" si="6"/>
        <v>11408.741554774104</v>
      </c>
      <c r="R69" s="437">
        <f t="shared" ca="1" si="6"/>
        <v>11408.741554774104</v>
      </c>
      <c r="S69" s="437">
        <f t="shared" ca="1" si="6"/>
        <v>13104.806205167926</v>
      </c>
      <c r="T69" s="437">
        <f t="shared" ca="1" si="6"/>
        <v>0</v>
      </c>
      <c r="U69" s="437">
        <f t="shared" ca="1" si="6"/>
        <v>0</v>
      </c>
      <c r="V69" s="437">
        <f t="shared" ca="1" si="6"/>
        <v>0</v>
      </c>
      <c r="W69" s="437">
        <f t="shared" ca="1" si="6"/>
        <v>0</v>
      </c>
      <c r="X69" s="437">
        <f t="shared" ca="1" si="6"/>
        <v>0</v>
      </c>
      <c r="Y69" s="437">
        <f t="shared" ca="1" si="6"/>
        <v>0</v>
      </c>
      <c r="Z69" s="403"/>
      <c r="AA69" s="403"/>
    </row>
    <row r="70" spans="1:27" ht="16.2">
      <c r="A70" s="418" t="s">
        <v>337</v>
      </c>
      <c r="B70" s="418"/>
      <c r="C70" s="438">
        <f ca="1">C68+C69</f>
        <v>173682.32532443409</v>
      </c>
      <c r="D70" s="439">
        <f t="shared" ref="D70:Y70" ca="1" si="7">D69+D68</f>
        <v>13111.953688293142</v>
      </c>
      <c r="E70" s="440">
        <f t="shared" ca="1" si="7"/>
        <v>7313.5196917428566</v>
      </c>
      <c r="F70" s="440">
        <f t="shared" ca="1" si="7"/>
        <v>7313.5196917428566</v>
      </c>
      <c r="G70" s="440">
        <f t="shared" ca="1" si="7"/>
        <v>7313.5196917428566</v>
      </c>
      <c r="H70" s="440">
        <f t="shared" ca="1" si="7"/>
        <v>8630.5196917428566</v>
      </c>
      <c r="I70" s="440">
        <f t="shared" ca="1" si="7"/>
        <v>25868.444520476565</v>
      </c>
      <c r="J70" s="440">
        <f t="shared" ca="1" si="7"/>
        <v>8677.9315664752376</v>
      </c>
      <c r="K70" s="440">
        <f t="shared" ca="1" si="7"/>
        <v>5538.8153213008618</v>
      </c>
      <c r="L70" s="440">
        <f t="shared" ca="1" si="7"/>
        <v>6417.9468510835522</v>
      </c>
      <c r="M70" s="440">
        <f t="shared" ca="1" si="7"/>
        <v>6445.1660178570983</v>
      </c>
      <c r="N70" s="440">
        <f t="shared" ca="1" si="7"/>
        <v>9637.5945766941968</v>
      </c>
      <c r="O70" s="440">
        <f t="shared" ca="1" si="7"/>
        <v>14402.947392397467</v>
      </c>
      <c r="P70" s="440">
        <f t="shared" ca="1" si="7"/>
        <v>17088.157308168396</v>
      </c>
      <c r="Q70" s="440">
        <f t="shared" ca="1" si="7"/>
        <v>11408.741554774104</v>
      </c>
      <c r="R70" s="440">
        <f t="shared" ca="1" si="7"/>
        <v>11408.741554774104</v>
      </c>
      <c r="S70" s="440">
        <f t="shared" ca="1" si="7"/>
        <v>13104.806205167926</v>
      </c>
      <c r="T70" s="440">
        <f t="shared" ca="1" si="7"/>
        <v>0</v>
      </c>
      <c r="U70" s="440">
        <f t="shared" ca="1" si="7"/>
        <v>0</v>
      </c>
      <c r="V70" s="440">
        <f t="shared" ca="1" si="7"/>
        <v>0</v>
      </c>
      <c r="W70" s="440">
        <f t="shared" ca="1" si="7"/>
        <v>0</v>
      </c>
      <c r="X70" s="440">
        <f t="shared" ca="1" si="7"/>
        <v>0</v>
      </c>
      <c r="Y70" s="440">
        <f t="shared" ca="1" si="7"/>
        <v>0</v>
      </c>
      <c r="Z70" s="403"/>
      <c r="AA70" s="403"/>
    </row>
    <row r="71" spans="1:27">
      <c r="A71" s="418"/>
      <c r="B71" s="403"/>
      <c r="C71" s="431"/>
      <c r="D71" s="432"/>
      <c r="E71" s="427"/>
      <c r="F71" s="427"/>
      <c r="G71" s="427"/>
      <c r="H71" s="427"/>
      <c r="I71" s="427"/>
      <c r="J71" s="427"/>
      <c r="K71" s="427"/>
      <c r="L71" s="427"/>
      <c r="M71" s="427"/>
      <c r="N71" s="427"/>
      <c r="O71" s="427"/>
      <c r="P71" s="427"/>
      <c r="Q71" s="427"/>
      <c r="R71" s="427"/>
      <c r="S71" s="427"/>
      <c r="T71" s="427"/>
      <c r="U71" s="427"/>
      <c r="V71" s="403"/>
      <c r="W71" s="403"/>
      <c r="X71" s="403"/>
      <c r="Y71" s="403"/>
      <c r="Z71" s="403"/>
      <c r="AA71" s="403"/>
    </row>
    <row r="72" spans="1:27">
      <c r="A72" s="418"/>
      <c r="B72" s="403"/>
      <c r="C72" s="431"/>
      <c r="D72" s="432"/>
      <c r="E72" s="427"/>
      <c r="F72" s="427"/>
      <c r="G72" s="427"/>
      <c r="H72" s="427"/>
      <c r="I72" s="427"/>
      <c r="J72" s="427"/>
      <c r="K72" s="427"/>
      <c r="L72" s="427"/>
      <c r="M72" s="427"/>
      <c r="N72" s="427"/>
      <c r="O72" s="427"/>
      <c r="P72" s="427"/>
      <c r="Q72" s="427"/>
      <c r="R72" s="427"/>
      <c r="S72" s="427"/>
      <c r="T72" s="427"/>
      <c r="U72" s="427"/>
      <c r="V72" s="403"/>
      <c r="W72" s="403"/>
      <c r="X72" s="403"/>
      <c r="Y72" s="403"/>
      <c r="Z72" s="403"/>
      <c r="AA72" s="403"/>
    </row>
    <row r="73" spans="1:27">
      <c r="A73" s="418" t="s">
        <v>338</v>
      </c>
      <c r="B73" s="403"/>
      <c r="C73" s="431">
        <f ca="1">C63+C56+C33+C26+C17</f>
        <v>169.52063628988398</v>
      </c>
      <c r="D73" s="441">
        <f t="shared" ref="D73:Y73" ca="1" si="8">SUM(D12:D63)</f>
        <v>13111.953688293142</v>
      </c>
      <c r="E73" s="442">
        <f t="shared" ca="1" si="8"/>
        <v>7313.5196917428566</v>
      </c>
      <c r="F73" s="442">
        <f t="shared" ca="1" si="8"/>
        <v>7313.5196917428566</v>
      </c>
      <c r="G73" s="442">
        <f t="shared" ca="1" si="8"/>
        <v>7313.5196917428566</v>
      </c>
      <c r="H73" s="442">
        <f t="shared" ca="1" si="8"/>
        <v>8630.5196917428566</v>
      </c>
      <c r="I73" s="442">
        <f t="shared" ca="1" si="8"/>
        <v>25868.444520476573</v>
      </c>
      <c r="J73" s="442">
        <f t="shared" ca="1" si="8"/>
        <v>8843.4734397440498</v>
      </c>
      <c r="K73" s="442">
        <f t="shared" ca="1" si="8"/>
        <v>5680.6876626419989</v>
      </c>
      <c r="L73" s="442">
        <f t="shared" ca="1" si="8"/>
        <v>6532.6000256511425</v>
      </c>
      <c r="M73" s="442">
        <f t="shared" ca="1" si="8"/>
        <v>6532.6000256511425</v>
      </c>
      <c r="N73" s="442">
        <f t="shared" ca="1" si="8"/>
        <v>9684.6757687849695</v>
      </c>
      <c r="O73" s="442">
        <f t="shared" ca="1" si="8"/>
        <v>9684.6757687849695</v>
      </c>
      <c r="P73" s="442">
        <f t="shared" ca="1" si="8"/>
        <v>17088.157308168396</v>
      </c>
      <c r="Q73" s="442">
        <f t="shared" ca="1" si="8"/>
        <v>11408.741554774104</v>
      </c>
      <c r="R73" s="442">
        <f t="shared" ca="1" si="8"/>
        <v>11408.741554774104</v>
      </c>
      <c r="S73" s="442">
        <f t="shared" ca="1" si="8"/>
        <v>13104.806205167926</v>
      </c>
      <c r="T73" s="442">
        <f t="shared" ca="1" si="8"/>
        <v>0</v>
      </c>
      <c r="U73" s="442">
        <f t="shared" ca="1" si="8"/>
        <v>0</v>
      </c>
      <c r="V73" s="442">
        <f t="shared" ca="1" si="8"/>
        <v>0</v>
      </c>
      <c r="W73" s="442">
        <f t="shared" ca="1" si="8"/>
        <v>0</v>
      </c>
      <c r="X73" s="442">
        <f t="shared" ca="1" si="8"/>
        <v>0</v>
      </c>
      <c r="Y73" s="442">
        <f t="shared" ca="1" si="8"/>
        <v>0</v>
      </c>
      <c r="Z73" s="442"/>
      <c r="AA73" s="403"/>
    </row>
    <row r="74" spans="1:27">
      <c r="A74" s="418"/>
      <c r="B74" s="403"/>
      <c r="C74" s="431"/>
      <c r="D74" s="432"/>
      <c r="E74" s="427"/>
      <c r="F74" s="427"/>
      <c r="G74" s="427"/>
      <c r="H74" s="427"/>
      <c r="I74" s="427"/>
      <c r="J74" s="427"/>
      <c r="K74" s="427"/>
      <c r="L74" s="427"/>
      <c r="M74" s="427"/>
      <c r="N74" s="427"/>
      <c r="O74" s="427"/>
      <c r="P74" s="427"/>
      <c r="Q74" s="427"/>
      <c r="R74" s="427"/>
      <c r="S74" s="427"/>
      <c r="T74" s="427"/>
      <c r="U74" s="427"/>
      <c r="V74" s="403"/>
      <c r="W74" s="403"/>
      <c r="X74" s="403"/>
      <c r="Y74" s="403"/>
      <c r="Z74" s="403"/>
      <c r="AA74" s="403"/>
    </row>
    <row r="75" spans="1:27">
      <c r="A75" s="403"/>
      <c r="B75" s="403"/>
      <c r="C75" s="431"/>
      <c r="D75" s="424"/>
      <c r="E75" s="403"/>
      <c r="F75" s="403"/>
      <c r="G75" s="403"/>
      <c r="H75" s="403"/>
      <c r="I75" s="403"/>
      <c r="J75" s="403"/>
      <c r="K75" s="403"/>
      <c r="L75" s="403"/>
      <c r="M75" s="403"/>
      <c r="N75" s="403"/>
      <c r="O75" s="403"/>
      <c r="P75" s="403"/>
      <c r="Q75" s="403"/>
      <c r="R75" s="403"/>
      <c r="S75" s="403"/>
      <c r="T75" s="403"/>
      <c r="U75" s="403"/>
      <c r="V75" s="403"/>
      <c r="W75" s="403"/>
      <c r="X75" s="403"/>
      <c r="Y75" s="403"/>
      <c r="Z75" s="403"/>
      <c r="AA75" s="403"/>
    </row>
    <row r="76" spans="1:27">
      <c r="A76" s="418" t="s">
        <v>339</v>
      </c>
      <c r="B76" s="403"/>
      <c r="C76" s="431"/>
      <c r="D76" s="424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403"/>
      <c r="P76" s="403"/>
      <c r="Q76" s="403"/>
      <c r="R76" s="403"/>
      <c r="S76" s="403"/>
      <c r="T76" s="403"/>
      <c r="U76" s="403"/>
      <c r="V76" s="403"/>
      <c r="W76" s="403"/>
      <c r="X76" s="403"/>
      <c r="Y76" s="403"/>
      <c r="Z76" s="403"/>
      <c r="AA76" s="403"/>
    </row>
    <row r="77" spans="1:27">
      <c r="A77" s="403" t="s">
        <v>20</v>
      </c>
      <c r="B77" s="433"/>
      <c r="C77" s="434">
        <f ca="1">SUM(D77:Z77)</f>
        <v>74441.967544735438</v>
      </c>
      <c r="D77" s="439"/>
      <c r="E77" s="440">
        <f>IF(E8&gt;=$D$92,IF(SUM($D77:D77)&gt;=($D$91+HLOOKUP($D$92,$D$8:$Y$69,62)),0,MIN(E73,($D$91-SUM($D77:D77)+HLOOKUP($D$92,$D$8:$Y$69,62)))),0)</f>
        <v>0</v>
      </c>
      <c r="F77" s="440">
        <f>IF(F8&gt;=$D$92,IF(SUM($D77:E77)&gt;=($D$91+HLOOKUP($D$92,$D$8:$Y$69,62)),0,MIN(F73,($D$91-SUM($D77:E77)+HLOOKUP($D$92,$D$8:$Y$69,62)))),0)</f>
        <v>0</v>
      </c>
      <c r="G77" s="440">
        <f>IF(G8&gt;=$D$92,IF(SUM($D77:F77)&gt;=($D$91+HLOOKUP($D$92,$D$8:$Y$69,62)),0,MIN(G73,($D$91-SUM($D77:F77)+HLOOKUP($D$92,$D$8:$Y$69,62)))),0)</f>
        <v>0</v>
      </c>
      <c r="H77" s="440">
        <f>IF(H8&gt;=$D$92,IF(SUM($D77:G77)&gt;=($D$91+HLOOKUP($D$92,$D$8:$Y$69,62)),0,MIN(H73,($D$91-SUM($D77:G77)+HLOOKUP($D$92,$D$8:$Y$69,62)))),0)</f>
        <v>0</v>
      </c>
      <c r="I77" s="440">
        <f ca="1">IF(I8&gt;=$D$92,IF(SUM($D77:H77)&gt;=($D$91+HLOOKUP($D$92,$D$8:$Y$69,62)),0,MIN(I73,($D$91-SUM($D77:H77)+HLOOKUP($D$92,$D$8:$Y$69,62)))),0)</f>
        <v>25868.444520476573</v>
      </c>
      <c r="J77" s="440">
        <f ca="1">IF(J8&gt;=$D$92,IF(SUM($D77:I77)&gt;=($D$91+HLOOKUP($D$92,$D$8:$Y$69,62)),0,MIN(J73,($D$91-SUM($D77:I77)+HLOOKUP($D$92,$D$8:$Y$69,62)))),0)</f>
        <v>8843.4734397440498</v>
      </c>
      <c r="K77" s="440">
        <f ca="1">IF(K8&gt;=$D$92,IF(SUM($D77:J77)&gt;=($D$91+HLOOKUP($D$92,$D$8:$Y$69,62)),0,MIN(K73,($D$91-SUM($D77:J77)+HLOOKUP($D$92,$D$8:$Y$69,62)))),0)</f>
        <v>5680.6876626419989</v>
      </c>
      <c r="L77" s="440">
        <f ca="1">IF(L8&gt;=$D$92,IF(SUM($D77:K77)&gt;=($D$91+HLOOKUP($D$92,$D$8:$Y$69,62)),0,MIN(L73,($D$91-SUM($D77:K77)+HLOOKUP($D$92,$D$8:$Y$69,62)))),0)</f>
        <v>6532.6000256511425</v>
      </c>
      <c r="M77" s="440">
        <f ca="1">IF(M8&gt;=$D$92,IF(SUM($D77:L77)&gt;=($D$91+HLOOKUP($D$92,$D$8:$Y$69,62)),0,MIN(M73,($D$91-SUM($D77:L77)+HLOOKUP($D$92,$D$8:$Y$69,62)))),0)</f>
        <v>6532.6000256511425</v>
      </c>
      <c r="N77" s="440">
        <f ca="1">IF(N8&gt;=$D$92,IF(SUM($D77:M77)&gt;=($D$91+HLOOKUP($D$92,$D$8:$Y$69,62)),0,MIN(N73,($D$91-SUM($D77:M77)+HLOOKUP($D$92,$D$8:$Y$69,62)))),0)</f>
        <v>9684.6757687849695</v>
      </c>
      <c r="O77" s="440">
        <f ca="1">IF(O8&gt;=$D$92,IF(SUM($D77:N77)&gt;=($D$91+HLOOKUP($D$92,$D$8:$Y$69,62)),0,MIN(O73,($D$91-SUM($D77:N77)+HLOOKUP($D$92,$D$8:$Y$69,62)))),0)</f>
        <v>9684.6757687849695</v>
      </c>
      <c r="P77" s="440">
        <f ca="1">IF(P8&gt;=$D$92,IF(SUM($D77:O77)&gt;=($D$91+HLOOKUP($D$92,$D$8:$Y$69,62)),0,MIN(P73,($D$91-SUM($D77:O77)+HLOOKUP($D$92,$D$8:$Y$69,62)))),0)</f>
        <v>1614.8103330005979</v>
      </c>
      <c r="Q77" s="440">
        <f ca="1">IF(Q8&gt;=$D$92,IF(SUM($D77:P77)&gt;=($D$91+HLOOKUP($D$92,$D$8:$Y$69,62)),0,MIN(Q73,($D$91-SUM($D77:P77)+HLOOKUP($D$92,$D$8:$Y$69,62)))),0)</f>
        <v>0</v>
      </c>
      <c r="R77" s="440">
        <f ca="1">IF(R8&gt;=$D$92,IF(SUM($D77:Q77)&gt;=($D$91+HLOOKUP($D$92,$D$8:$Y$69,62)),0,MIN(R73,($D$91-SUM($D77:Q77)+HLOOKUP($D$92,$D$8:$Y$69,62)))),0)</f>
        <v>0</v>
      </c>
      <c r="S77" s="440">
        <f ca="1">IF(S8&gt;=$D$92,IF(SUM($D77:R77)&gt;=($D$91+HLOOKUP($D$92,$D$8:$Y$69,62)),0,MIN(S73,($D$91-SUM($D77:R77)+HLOOKUP($D$92,$D$8:$Y$69,62)))),0)</f>
        <v>0</v>
      </c>
      <c r="T77" s="440">
        <f ca="1">IF(T8&gt;=$D$92,IF(SUM($D77:S77)&gt;=($D$91+HLOOKUP($D$92,$D$8:$Y$69,62)),0,MIN(T73,($D$91-SUM($D77:S77)+HLOOKUP($D$92,$D$8:$Y$69,62)))),0)</f>
        <v>0</v>
      </c>
      <c r="U77" s="440">
        <f ca="1">IF(U8&gt;=$D$92,IF(SUM($D77:T77)&gt;=($D$91+HLOOKUP($D$92,$D$8:$Y$69,62)),0,MIN(U73,($D$91-SUM($D77:T77)+HLOOKUP($D$92,$D$8:$Y$69,62)))),0)</f>
        <v>0</v>
      </c>
      <c r="V77" s="440">
        <f ca="1">IF(V8&gt;=$D$92,IF(SUM($D77:U77)&gt;=($D$91+HLOOKUP($D$92,$D$8:$Y$69,62)),0,MIN(V73,($D$91-SUM($D77:U77)+HLOOKUP($D$92,$D$8:$Y$69,62)))),0)</f>
        <v>0</v>
      </c>
      <c r="W77" s="440">
        <f ca="1">IF(W8&gt;=$D$92,IF(SUM($D77:V77)&gt;=($D$91+HLOOKUP($D$92,$D$8:$Y$69,62)),0,MIN(W73,($D$91-SUM($D77:V77)+HLOOKUP($D$92,$D$8:$Y$69,62)))),0)</f>
        <v>0</v>
      </c>
      <c r="X77" s="440">
        <f ca="1">IF(X8&gt;=$D$92,IF(SUM($D77:W77)&gt;=($D$91+HLOOKUP($D$92,$D$8:$Y$69,62)),0,MIN(X73,($D$91-SUM($D77:W77)+HLOOKUP($D$92,$D$8:$Y$69,62)))),0)</f>
        <v>0</v>
      </c>
      <c r="Y77" s="440">
        <f ca="1">IF(Y8&gt;=$D$92,IF(SUM($D77:X77)&gt;=($D$91+HLOOKUP($D$92,$D$8:$Y$69,62)),0,MIN(Y73,($D$91-SUM($D77:X77)+HLOOKUP($D$92,$D$8:$Y$69,62)))),0)</f>
        <v>0</v>
      </c>
      <c r="Z77" s="427"/>
      <c r="AA77" s="403"/>
    </row>
    <row r="78" spans="1:27">
      <c r="A78" s="403" t="s">
        <v>22</v>
      </c>
      <c r="B78" s="433"/>
      <c r="C78" s="435">
        <f ca="1">SUM(D78:Y78)-SUM(D78:G78)</f>
        <v>60026.155981626784</v>
      </c>
      <c r="D78" s="436">
        <f t="shared" ref="D78:Y78" ca="1" si="9">D73-D77</f>
        <v>13111.953688293142</v>
      </c>
      <c r="E78" s="437">
        <f t="shared" ca="1" si="9"/>
        <v>7313.5196917428566</v>
      </c>
      <c r="F78" s="437">
        <f t="shared" ca="1" si="9"/>
        <v>7313.5196917428566</v>
      </c>
      <c r="G78" s="437">
        <f t="shared" ca="1" si="9"/>
        <v>7313.5196917428566</v>
      </c>
      <c r="H78" s="437">
        <f t="shared" ca="1" si="9"/>
        <v>8630.5196917428566</v>
      </c>
      <c r="I78" s="437">
        <f t="shared" ca="1" si="9"/>
        <v>0</v>
      </c>
      <c r="J78" s="437">
        <f t="shared" ca="1" si="9"/>
        <v>0</v>
      </c>
      <c r="K78" s="437">
        <f t="shared" ca="1" si="9"/>
        <v>0</v>
      </c>
      <c r="L78" s="437">
        <f t="shared" ca="1" si="9"/>
        <v>0</v>
      </c>
      <c r="M78" s="437">
        <f t="shared" ca="1" si="9"/>
        <v>0</v>
      </c>
      <c r="N78" s="437">
        <f t="shared" ca="1" si="9"/>
        <v>0</v>
      </c>
      <c r="O78" s="437">
        <f t="shared" ca="1" si="9"/>
        <v>0</v>
      </c>
      <c r="P78" s="437">
        <f t="shared" ca="1" si="9"/>
        <v>15473.346975167799</v>
      </c>
      <c r="Q78" s="437">
        <f t="shared" ca="1" si="9"/>
        <v>11408.741554774104</v>
      </c>
      <c r="R78" s="437">
        <f t="shared" ca="1" si="9"/>
        <v>11408.741554774104</v>
      </c>
      <c r="S78" s="437">
        <f t="shared" ca="1" si="9"/>
        <v>13104.806205167926</v>
      </c>
      <c r="T78" s="437">
        <f t="shared" ca="1" si="9"/>
        <v>0</v>
      </c>
      <c r="U78" s="437">
        <f t="shared" ca="1" si="9"/>
        <v>0</v>
      </c>
      <c r="V78" s="437">
        <f t="shared" ca="1" si="9"/>
        <v>0</v>
      </c>
      <c r="W78" s="437">
        <f t="shared" ca="1" si="9"/>
        <v>0</v>
      </c>
      <c r="X78" s="437">
        <f t="shared" ca="1" si="9"/>
        <v>0</v>
      </c>
      <c r="Y78" s="437">
        <f t="shared" ca="1" si="9"/>
        <v>0</v>
      </c>
      <c r="Z78" s="437"/>
      <c r="AA78" s="403"/>
    </row>
    <row r="79" spans="1:27">
      <c r="A79" s="403" t="s">
        <v>27</v>
      </c>
      <c r="B79" s="403"/>
      <c r="C79" s="434">
        <f t="shared" ref="C79:Y79" ca="1" si="10">C77+C78</f>
        <v>134468.12352636224</v>
      </c>
      <c r="D79" s="432">
        <f t="shared" ca="1" si="10"/>
        <v>13111.953688293142</v>
      </c>
      <c r="E79" s="427">
        <f t="shared" ca="1" si="10"/>
        <v>7313.5196917428566</v>
      </c>
      <c r="F79" s="427">
        <f t="shared" ca="1" si="10"/>
        <v>7313.5196917428566</v>
      </c>
      <c r="G79" s="427">
        <f t="shared" ca="1" si="10"/>
        <v>7313.5196917428566</v>
      </c>
      <c r="H79" s="427">
        <f t="shared" ca="1" si="10"/>
        <v>8630.5196917428566</v>
      </c>
      <c r="I79" s="427">
        <f t="shared" ca="1" si="10"/>
        <v>25868.444520476573</v>
      </c>
      <c r="J79" s="427">
        <f t="shared" ca="1" si="10"/>
        <v>8843.4734397440498</v>
      </c>
      <c r="K79" s="427">
        <f t="shared" ca="1" si="10"/>
        <v>5680.6876626419989</v>
      </c>
      <c r="L79" s="427">
        <f t="shared" ca="1" si="10"/>
        <v>6532.6000256511425</v>
      </c>
      <c r="M79" s="427">
        <f t="shared" ca="1" si="10"/>
        <v>6532.6000256511425</v>
      </c>
      <c r="N79" s="427">
        <f t="shared" ca="1" si="10"/>
        <v>9684.6757687849695</v>
      </c>
      <c r="O79" s="427">
        <f t="shared" ca="1" si="10"/>
        <v>9684.6757687849695</v>
      </c>
      <c r="P79" s="427">
        <f t="shared" ca="1" si="10"/>
        <v>17088.157308168396</v>
      </c>
      <c r="Q79" s="427">
        <f t="shared" ca="1" si="10"/>
        <v>11408.741554774104</v>
      </c>
      <c r="R79" s="427">
        <f t="shared" ca="1" si="10"/>
        <v>11408.741554774104</v>
      </c>
      <c r="S79" s="427">
        <f t="shared" ca="1" si="10"/>
        <v>13104.806205167926</v>
      </c>
      <c r="T79" s="427">
        <f t="shared" ca="1" si="10"/>
        <v>0</v>
      </c>
      <c r="U79" s="427">
        <f t="shared" ca="1" si="10"/>
        <v>0</v>
      </c>
      <c r="V79" s="427">
        <f t="shared" ca="1" si="10"/>
        <v>0</v>
      </c>
      <c r="W79" s="427">
        <f t="shared" ca="1" si="10"/>
        <v>0</v>
      </c>
      <c r="X79" s="427">
        <f t="shared" ca="1" si="10"/>
        <v>0</v>
      </c>
      <c r="Y79" s="427">
        <f t="shared" ca="1" si="10"/>
        <v>0</v>
      </c>
      <c r="Z79" s="427"/>
      <c r="AA79" s="403"/>
    </row>
    <row r="80" spans="1:27">
      <c r="A80" s="444"/>
      <c r="B80" s="403"/>
      <c r="C80" s="404"/>
      <c r="D80" s="427"/>
      <c r="E80" s="427"/>
      <c r="F80" s="427"/>
      <c r="G80" s="427"/>
      <c r="H80" s="427"/>
      <c r="I80" s="427"/>
      <c r="J80" s="427"/>
      <c r="K80" s="427"/>
      <c r="L80" s="427"/>
      <c r="M80" s="427"/>
      <c r="N80" s="427"/>
      <c r="O80" s="427"/>
      <c r="P80" s="427"/>
      <c r="Q80" s="427"/>
      <c r="R80" s="427"/>
      <c r="S80" s="427"/>
      <c r="T80" s="427"/>
      <c r="U80" s="427"/>
      <c r="V80" s="427"/>
      <c r="W80" s="427"/>
      <c r="X80" s="427"/>
      <c r="Y80" s="427"/>
      <c r="Z80" s="427"/>
      <c r="AA80" s="403"/>
    </row>
    <row r="81" spans="1:27">
      <c r="A81" s="403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3"/>
      <c r="P81" s="403"/>
      <c r="Q81" s="403"/>
      <c r="R81" s="403"/>
      <c r="S81" s="403"/>
      <c r="T81" s="403"/>
      <c r="U81" s="403"/>
      <c r="V81" s="403"/>
      <c r="W81" s="403"/>
      <c r="X81" s="403"/>
      <c r="Y81" s="403"/>
      <c r="Z81" s="403"/>
      <c r="AA81" s="403"/>
    </row>
    <row r="82" spans="1:27">
      <c r="A82" s="403"/>
      <c r="B82" s="403"/>
      <c r="C82" s="404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403"/>
    </row>
    <row r="83" spans="1:27" ht="22.2">
      <c r="A83" s="402" t="str">
        <f ca="1">A1</f>
        <v>DELMARVA, VA</v>
      </c>
      <c r="B83" s="403"/>
      <c r="C83" s="404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  <c r="S83" s="403"/>
      <c r="T83" s="403"/>
      <c r="U83" s="445"/>
      <c r="V83" s="403"/>
      <c r="W83" s="403"/>
      <c r="X83" s="403"/>
      <c r="Y83" s="403"/>
      <c r="Z83" s="403"/>
      <c r="AA83" s="403"/>
    </row>
    <row r="84" spans="1:27">
      <c r="A84" s="407" t="s">
        <v>340</v>
      </c>
      <c r="B84" s="416"/>
      <c r="C84" s="417"/>
      <c r="D84" s="416"/>
      <c r="E84" s="408"/>
      <c r="F84" s="403"/>
      <c r="G84" s="403"/>
      <c r="H84" s="403"/>
      <c r="I84" s="403"/>
      <c r="J84" s="403"/>
      <c r="K84" s="403"/>
      <c r="L84" s="403"/>
      <c r="M84" s="403"/>
      <c r="N84" s="403"/>
      <c r="O84" s="403"/>
      <c r="P84" s="403"/>
      <c r="Q84" s="403"/>
      <c r="R84" s="403"/>
      <c r="S84" s="403"/>
      <c r="T84" s="403"/>
      <c r="U84" s="409"/>
      <c r="V84" s="403"/>
      <c r="W84" s="403"/>
      <c r="X84" s="403"/>
      <c r="Y84" s="403"/>
      <c r="Z84" s="403"/>
      <c r="AA84" s="403"/>
    </row>
    <row r="85" spans="1:27">
      <c r="A85" s="446"/>
      <c r="B85" s="446"/>
      <c r="C85" s="416"/>
      <c r="D85" s="416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3"/>
      <c r="P85" s="403"/>
      <c r="Q85" s="403"/>
      <c r="R85" s="403"/>
      <c r="S85" s="403"/>
      <c r="T85" s="403"/>
      <c r="U85" s="414"/>
      <c r="V85" s="403"/>
      <c r="W85" s="403"/>
      <c r="X85" s="403"/>
      <c r="Y85" s="403"/>
      <c r="Z85" s="403"/>
      <c r="AA85" s="403"/>
    </row>
    <row r="86" spans="1:27">
      <c r="A86" s="403"/>
      <c r="B86" s="403"/>
      <c r="C86" s="404"/>
      <c r="D86" s="403"/>
      <c r="E86" s="403"/>
      <c r="F86" s="403"/>
      <c r="G86" s="403"/>
      <c r="H86" s="403"/>
      <c r="I86" s="403"/>
      <c r="J86" s="403"/>
      <c r="K86" s="403"/>
      <c r="L86" s="403"/>
      <c r="M86" s="403"/>
      <c r="N86" s="403"/>
      <c r="O86" s="403"/>
      <c r="P86" s="403"/>
      <c r="Q86" s="403"/>
      <c r="R86" s="403"/>
      <c r="S86" s="403"/>
      <c r="T86" s="403"/>
      <c r="U86" s="403"/>
      <c r="V86" s="403"/>
      <c r="W86" s="403"/>
      <c r="X86" s="403"/>
      <c r="Y86" s="403"/>
      <c r="Z86" s="403"/>
      <c r="AA86" s="403"/>
    </row>
    <row r="87" spans="1:27" ht="12.75" customHeight="1">
      <c r="A87" s="410"/>
      <c r="B87" s="410"/>
      <c r="C87" s="447"/>
      <c r="D87" s="410"/>
      <c r="E87" s="410"/>
      <c r="F87" s="410"/>
      <c r="G87" s="410"/>
      <c r="H87" s="410"/>
      <c r="I87" s="410"/>
      <c r="J87" s="410"/>
      <c r="K87" s="410"/>
      <c r="L87" s="410"/>
      <c r="M87" s="410"/>
      <c r="N87" s="410"/>
      <c r="O87" s="410"/>
      <c r="P87" s="410"/>
      <c r="Q87" s="410"/>
      <c r="R87" s="410"/>
      <c r="S87" s="410"/>
      <c r="T87" s="410"/>
      <c r="U87" s="410"/>
      <c r="V87" s="403"/>
      <c r="W87" s="403"/>
      <c r="X87" s="403"/>
      <c r="Y87" s="403"/>
      <c r="Z87" s="403"/>
      <c r="AA87" s="403"/>
    </row>
    <row r="88" spans="1:27">
      <c r="A88" s="403"/>
      <c r="B88" s="403"/>
      <c r="C88" s="404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03"/>
      <c r="O88" s="403"/>
      <c r="P88" s="403"/>
      <c r="Q88" s="403"/>
      <c r="R88" s="403"/>
      <c r="S88" s="403"/>
      <c r="T88" s="403"/>
      <c r="U88" s="403"/>
      <c r="V88" s="403"/>
      <c r="W88" s="403"/>
      <c r="X88" s="403"/>
      <c r="Y88" s="403"/>
      <c r="Z88" s="403"/>
      <c r="AA88" s="403"/>
    </row>
    <row r="89" spans="1:27">
      <c r="A89" s="407" t="s">
        <v>341</v>
      </c>
      <c r="B89" s="416"/>
      <c r="C89" s="417"/>
      <c r="D89" s="416"/>
      <c r="E89" s="448"/>
      <c r="G89" s="403"/>
      <c r="H89" s="403"/>
      <c r="I89" s="403"/>
      <c r="J89" s="403"/>
      <c r="K89" s="403"/>
      <c r="L89" s="403"/>
      <c r="M89" s="403"/>
      <c r="N89" s="403"/>
      <c r="O89" s="403"/>
      <c r="P89" s="403"/>
      <c r="Q89" s="403"/>
      <c r="R89" s="403"/>
      <c r="S89" s="403"/>
      <c r="T89" s="403"/>
      <c r="U89" s="403"/>
      <c r="V89" s="403"/>
      <c r="W89" s="403"/>
      <c r="X89" s="403"/>
      <c r="Y89" s="403"/>
      <c r="Z89" s="403"/>
      <c r="AA89" s="403"/>
    </row>
    <row r="90" spans="1:27">
      <c r="A90" s="408"/>
      <c r="B90" s="403"/>
      <c r="D90" s="403"/>
      <c r="E90" s="448"/>
      <c r="G90" s="403"/>
      <c r="H90" s="403"/>
      <c r="I90" s="403"/>
      <c r="J90" s="403"/>
      <c r="K90" s="403"/>
      <c r="L90" s="403"/>
      <c r="M90" s="403"/>
      <c r="N90" s="403"/>
      <c r="O90" s="403"/>
      <c r="P90" s="403"/>
      <c r="Q90" s="403"/>
      <c r="R90" s="403"/>
      <c r="S90" s="403"/>
      <c r="T90" s="403"/>
      <c r="U90" s="403"/>
      <c r="V90" s="403"/>
      <c r="W90" s="403"/>
      <c r="X90" s="403"/>
      <c r="Y90" s="403"/>
      <c r="Z90" s="403"/>
      <c r="AA90" s="403"/>
    </row>
    <row r="91" spans="1:27">
      <c r="A91" s="408" t="s">
        <v>342</v>
      </c>
      <c r="B91" s="403"/>
      <c r="D91" s="427">
        <f>'ENA Assumptions'!B2</f>
        <v>118125</v>
      </c>
      <c r="E91" s="448"/>
      <c r="G91" s="403"/>
      <c r="H91" s="403"/>
      <c r="I91" s="403"/>
      <c r="J91" s="403"/>
      <c r="K91" s="403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403"/>
      <c r="AA91" s="403"/>
    </row>
    <row r="92" spans="1:27">
      <c r="A92" s="408" t="s">
        <v>40</v>
      </c>
      <c r="B92" s="403"/>
      <c r="D92" s="449">
        <f>'ASSUM 1'!S13</f>
        <v>36617</v>
      </c>
      <c r="E92" s="448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403"/>
    </row>
    <row r="93" spans="1:27">
      <c r="A93" s="450" t="s">
        <v>343</v>
      </c>
      <c r="B93" s="403"/>
      <c r="D93" s="451">
        <f>'ASSUM 1'!S16</f>
        <v>6.5000000000000002E-2</v>
      </c>
      <c r="E93" s="448"/>
      <c r="G93" s="403"/>
      <c r="H93" s="403"/>
      <c r="I93" s="403"/>
      <c r="J93" s="403"/>
      <c r="K93" s="403"/>
      <c r="L93" s="403"/>
      <c r="M93" s="403"/>
      <c r="N93" s="403"/>
      <c r="O93" s="403"/>
      <c r="P93" s="403"/>
      <c r="Q93" s="403"/>
      <c r="R93" s="403"/>
      <c r="S93" s="403"/>
      <c r="T93" s="403"/>
      <c r="U93" s="403"/>
      <c r="V93" s="403"/>
      <c r="W93" s="403"/>
      <c r="X93" s="403"/>
      <c r="Y93" s="403"/>
      <c r="Z93" s="403"/>
      <c r="AA93" s="403"/>
    </row>
    <row r="94" spans="1:27">
      <c r="A94" s="450" t="s">
        <v>344</v>
      </c>
      <c r="B94" s="403"/>
      <c r="D94" s="451">
        <f>'ENA Assumptions'!B3-'ENA IDC'!D93</f>
        <v>1.4999999999999999E-2</v>
      </c>
      <c r="E94" s="448"/>
      <c r="G94" s="403"/>
      <c r="H94" s="403"/>
      <c r="I94" s="403"/>
      <c r="J94" s="403"/>
      <c r="K94" s="403"/>
      <c r="L94" s="403"/>
      <c r="M94" s="403"/>
      <c r="N94" s="403"/>
      <c r="O94" s="403"/>
      <c r="P94" s="403"/>
      <c r="Q94" s="403"/>
      <c r="R94" s="403"/>
      <c r="S94" s="403"/>
      <c r="T94" s="403"/>
      <c r="U94" s="403"/>
      <c r="V94" s="403"/>
      <c r="W94" s="403"/>
      <c r="X94" s="403"/>
      <c r="Y94" s="403"/>
      <c r="Z94" s="403"/>
      <c r="AA94" s="403"/>
    </row>
    <row r="95" spans="1:27">
      <c r="A95" s="408" t="s">
        <v>345</v>
      </c>
      <c r="B95" s="403"/>
      <c r="D95" s="451">
        <f>'ASSUM 1'!S18</f>
        <v>0</v>
      </c>
      <c r="E95" s="448"/>
      <c r="G95" s="403"/>
      <c r="H95" s="403"/>
      <c r="I95" s="403"/>
      <c r="J95" s="403"/>
      <c r="K95" s="403"/>
      <c r="L95" s="403"/>
      <c r="M95" s="403"/>
      <c r="N95" s="403"/>
      <c r="O95" s="403"/>
      <c r="P95" s="403"/>
      <c r="Q95" s="403"/>
      <c r="R95" s="403"/>
      <c r="S95" s="403"/>
      <c r="T95" s="403"/>
      <c r="U95" s="403"/>
      <c r="V95" s="403"/>
      <c r="W95" s="403"/>
      <c r="X95" s="403"/>
      <c r="Y95" s="403"/>
      <c r="Z95" s="403"/>
      <c r="AA95" s="403"/>
    </row>
    <row r="96" spans="1:27">
      <c r="A96" s="408" t="s">
        <v>346</v>
      </c>
      <c r="B96" s="403"/>
      <c r="C96" s="404"/>
      <c r="D96" s="451">
        <v>2.2859999999999998E-2</v>
      </c>
      <c r="E96" s="448"/>
      <c r="G96" s="403"/>
      <c r="H96" s="403"/>
      <c r="I96" s="403"/>
      <c r="J96" s="403"/>
      <c r="K96" s="403"/>
      <c r="L96" s="403"/>
      <c r="M96" s="403"/>
      <c r="N96" s="403"/>
      <c r="O96" s="403"/>
      <c r="P96" s="403"/>
      <c r="Q96" s="403"/>
      <c r="R96" s="403"/>
      <c r="S96" s="403"/>
      <c r="T96" s="403"/>
      <c r="U96" s="403"/>
      <c r="V96" s="403"/>
      <c r="W96" s="403"/>
      <c r="X96" s="403"/>
      <c r="Y96" s="403"/>
      <c r="Z96" s="403"/>
      <c r="AA96" s="403"/>
    </row>
    <row r="97" spans="1:27">
      <c r="A97" s="416"/>
      <c r="B97" s="416"/>
      <c r="C97" s="417"/>
      <c r="D97" s="416"/>
      <c r="E97" s="403"/>
      <c r="F97" s="403"/>
      <c r="G97" s="403"/>
      <c r="H97" s="403"/>
      <c r="I97" s="403"/>
      <c r="J97" s="403"/>
      <c r="K97" s="403"/>
      <c r="L97" s="403"/>
      <c r="M97" s="403"/>
      <c r="N97" s="403"/>
      <c r="O97" s="403"/>
      <c r="P97" s="403"/>
      <c r="Q97" s="403"/>
      <c r="R97" s="403"/>
      <c r="S97" s="403"/>
      <c r="T97" s="403"/>
      <c r="U97" s="403"/>
      <c r="V97" s="403"/>
      <c r="W97" s="403"/>
      <c r="X97" s="403"/>
      <c r="Y97" s="403"/>
      <c r="Z97" s="403"/>
      <c r="AA97" s="403"/>
    </row>
    <row r="98" spans="1:27">
      <c r="A98" s="415"/>
      <c r="B98" s="416"/>
      <c r="C98" s="417"/>
      <c r="D98" s="416"/>
      <c r="E98" s="416"/>
      <c r="F98" s="416"/>
      <c r="G98" s="416"/>
      <c r="H98" s="416"/>
      <c r="I98" s="416"/>
      <c r="J98" s="416"/>
      <c r="K98" s="416"/>
      <c r="L98" s="416"/>
      <c r="M98" s="416"/>
      <c r="N98" s="416"/>
      <c r="O98" s="416"/>
      <c r="P98" s="416"/>
      <c r="Q98" s="416"/>
      <c r="R98" s="416"/>
      <c r="S98" s="416"/>
      <c r="T98" s="416"/>
      <c r="U98" s="416"/>
      <c r="V98" s="416"/>
      <c r="W98" s="416"/>
      <c r="X98" s="416"/>
      <c r="Y98" s="416"/>
      <c r="Z98" s="416"/>
      <c r="AA98" s="403"/>
    </row>
    <row r="99" spans="1:27">
      <c r="A99" s="408"/>
      <c r="B99" s="403"/>
      <c r="C99" s="404"/>
      <c r="D99" s="420">
        <f t="shared" ref="D99:Y99" si="11">D8</f>
        <v>36474</v>
      </c>
      <c r="E99" s="420">
        <f t="shared" si="11"/>
        <v>36495</v>
      </c>
      <c r="F99" s="420">
        <f t="shared" si="11"/>
        <v>36526</v>
      </c>
      <c r="G99" s="420">
        <f t="shared" si="11"/>
        <v>36557</v>
      </c>
      <c r="H99" s="420">
        <f t="shared" si="11"/>
        <v>36586</v>
      </c>
      <c r="I99" s="420">
        <f t="shared" si="11"/>
        <v>36617</v>
      </c>
      <c r="J99" s="420">
        <f t="shared" si="11"/>
        <v>36647</v>
      </c>
      <c r="K99" s="420">
        <f t="shared" si="11"/>
        <v>36678</v>
      </c>
      <c r="L99" s="420">
        <f t="shared" si="11"/>
        <v>36708</v>
      </c>
      <c r="M99" s="420">
        <f t="shared" si="11"/>
        <v>36739</v>
      </c>
      <c r="N99" s="420">
        <f t="shared" si="11"/>
        <v>36770</v>
      </c>
      <c r="O99" s="420">
        <f t="shared" si="11"/>
        <v>36800</v>
      </c>
      <c r="P99" s="420">
        <f t="shared" si="11"/>
        <v>36831</v>
      </c>
      <c r="Q99" s="420">
        <f t="shared" si="11"/>
        <v>36861</v>
      </c>
      <c r="R99" s="420">
        <f t="shared" si="11"/>
        <v>36892</v>
      </c>
      <c r="S99" s="420">
        <f t="shared" si="11"/>
        <v>36923</v>
      </c>
      <c r="T99" s="420">
        <f t="shared" si="11"/>
        <v>36951</v>
      </c>
      <c r="U99" s="420">
        <f t="shared" si="11"/>
        <v>36982</v>
      </c>
      <c r="V99" s="420">
        <f t="shared" si="11"/>
        <v>37012</v>
      </c>
      <c r="W99" s="420">
        <f t="shared" si="11"/>
        <v>37043</v>
      </c>
      <c r="X99" s="420">
        <f t="shared" si="11"/>
        <v>37073</v>
      </c>
      <c r="Y99" s="420">
        <f t="shared" si="11"/>
        <v>37104</v>
      </c>
      <c r="Z99" s="421"/>
      <c r="AA99" s="403"/>
    </row>
    <row r="100" spans="1:27">
      <c r="A100" s="452" t="s">
        <v>415</v>
      </c>
      <c r="B100" s="403"/>
      <c r="C100" s="404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03"/>
      <c r="O100" s="403"/>
      <c r="P100" s="403"/>
      <c r="Q100" s="403"/>
      <c r="R100" s="403"/>
      <c r="S100" s="403"/>
      <c r="T100" s="403"/>
      <c r="U100" s="403"/>
      <c r="V100" s="403"/>
      <c r="W100" s="403"/>
      <c r="X100" s="403"/>
      <c r="Y100" s="403"/>
      <c r="Z100" s="403"/>
      <c r="AA100" s="403"/>
    </row>
    <row r="101" spans="1:27">
      <c r="A101" s="408" t="s">
        <v>347</v>
      </c>
      <c r="B101" s="403"/>
      <c r="C101" s="404"/>
      <c r="D101" s="440">
        <f t="shared" ref="D101:Y101" si="12">IF(AND(MONTH(D99)=MONTH($D$92),YEAR(D99)=YEAR($D$92)),$D$91,0)</f>
        <v>0</v>
      </c>
      <c r="E101" s="440">
        <f t="shared" si="12"/>
        <v>0</v>
      </c>
      <c r="F101" s="440">
        <f t="shared" si="12"/>
        <v>0</v>
      </c>
      <c r="G101" s="440">
        <f t="shared" si="12"/>
        <v>0</v>
      </c>
      <c r="H101" s="440">
        <f t="shared" si="12"/>
        <v>0</v>
      </c>
      <c r="I101" s="618">
        <f t="shared" si="12"/>
        <v>118125</v>
      </c>
      <c r="J101" s="440">
        <f t="shared" si="12"/>
        <v>0</v>
      </c>
      <c r="K101" s="440">
        <f t="shared" si="12"/>
        <v>0</v>
      </c>
      <c r="L101" s="440">
        <f t="shared" si="12"/>
        <v>0</v>
      </c>
      <c r="M101" s="440">
        <f t="shared" si="12"/>
        <v>0</v>
      </c>
      <c r="N101" s="440">
        <f t="shared" si="12"/>
        <v>0</v>
      </c>
      <c r="O101" s="440">
        <f t="shared" si="12"/>
        <v>0</v>
      </c>
      <c r="P101" s="440">
        <f t="shared" si="12"/>
        <v>0</v>
      </c>
      <c r="Q101" s="440">
        <f t="shared" si="12"/>
        <v>0</v>
      </c>
      <c r="R101" s="440">
        <f t="shared" si="12"/>
        <v>0</v>
      </c>
      <c r="S101" s="440">
        <f t="shared" si="12"/>
        <v>0</v>
      </c>
      <c r="T101" s="440">
        <f t="shared" si="12"/>
        <v>0</v>
      </c>
      <c r="U101" s="440">
        <f t="shared" si="12"/>
        <v>0</v>
      </c>
      <c r="V101" s="440">
        <f t="shared" si="12"/>
        <v>0</v>
      </c>
      <c r="W101" s="440">
        <f t="shared" si="12"/>
        <v>0</v>
      </c>
      <c r="X101" s="440">
        <f t="shared" si="12"/>
        <v>0</v>
      </c>
      <c r="Y101" s="440">
        <f t="shared" si="12"/>
        <v>0</v>
      </c>
      <c r="Z101" s="427"/>
      <c r="AA101" s="403"/>
    </row>
    <row r="102" spans="1:27">
      <c r="A102" s="408" t="s">
        <v>348</v>
      </c>
      <c r="B102" s="403"/>
      <c r="C102" s="404"/>
      <c r="D102" s="619">
        <f>D77+IF(D101&gt;0,SUM(C78:$D78),0)</f>
        <v>0</v>
      </c>
      <c r="E102" s="619">
        <f>E77+IF(E101&gt;0,SUM($D78:D78),0)</f>
        <v>0</v>
      </c>
      <c r="F102" s="619">
        <f>F77+IF(F101&gt;0,SUM($D78:E78),0)</f>
        <v>0</v>
      </c>
      <c r="G102" s="619">
        <f>G77+IF(G101&gt;0,SUM($D78:F78),0)</f>
        <v>0</v>
      </c>
      <c r="H102" s="619">
        <f>H77+IF(H101&gt;0,SUM($D78:G78),0)</f>
        <v>0</v>
      </c>
      <c r="I102" s="619">
        <f ca="1">I77+IF(I101&gt;0,SUM($D78:H78),0)</f>
        <v>69551.476975741127</v>
      </c>
      <c r="J102" s="619">
        <f ca="1">J77+IF(J101&gt;0,SUM($D78:I78),0)</f>
        <v>8843.4734397440498</v>
      </c>
      <c r="K102" s="619">
        <f ca="1">K77+IF(K101&gt;0,SUM($D78:J78),0)</f>
        <v>5680.6876626419989</v>
      </c>
      <c r="L102" s="619">
        <f ca="1">L77+IF(L101&gt;0,SUM($D78:K78),0)</f>
        <v>6532.6000256511425</v>
      </c>
      <c r="M102" s="619">
        <f ca="1">M77+IF(M101&gt;0,SUM($D78:L78),0)</f>
        <v>6532.6000256511425</v>
      </c>
      <c r="N102" s="619">
        <f ca="1">N77+IF(N101&gt;0,SUM($D78:M78),0)</f>
        <v>9684.6757687849695</v>
      </c>
      <c r="O102" s="619">
        <f ca="1">O77+IF(O101&gt;0,SUM($D78:N78),0)</f>
        <v>9684.6757687849695</v>
      </c>
      <c r="P102" s="619">
        <f ca="1">P77+IF(P101&gt;0,SUM($D78:O78),0)</f>
        <v>1614.8103330005979</v>
      </c>
      <c r="Q102" s="619">
        <f ca="1">Q77+IF(Q101&gt;0,SUM($D78:P78),0)</f>
        <v>0</v>
      </c>
      <c r="R102" s="619">
        <f ca="1">R77+IF(R101&gt;0,SUM($D78:Q78),0)</f>
        <v>0</v>
      </c>
      <c r="S102" s="619">
        <f ca="1">S77+IF(S101&gt;0,SUM($D78:R78),0)</f>
        <v>0</v>
      </c>
      <c r="T102" s="619">
        <f ca="1">T77+IF(T101&gt;0,SUM($D78:S78),0)</f>
        <v>0</v>
      </c>
      <c r="U102" s="619">
        <f ca="1">U77+IF(U101&gt;0,SUM($D78:T78),0)</f>
        <v>0</v>
      </c>
      <c r="V102" s="619">
        <f ca="1">V77+IF(V101&gt;0,SUM($D78:U78),0)</f>
        <v>0</v>
      </c>
      <c r="W102" s="619">
        <f ca="1">W77+IF(W101&gt;0,SUM($D78:V78),0)</f>
        <v>0</v>
      </c>
      <c r="X102" s="619">
        <f ca="1">X77+IF(X101&gt;0,SUM($D78:W78),0)</f>
        <v>0</v>
      </c>
      <c r="Y102" s="619">
        <f ca="1">Y77+IF(Y101&gt;0,SUM($D78:X78),0)</f>
        <v>0</v>
      </c>
      <c r="Z102" s="427"/>
      <c r="AA102" s="403"/>
    </row>
    <row r="103" spans="1:27">
      <c r="A103" s="408" t="s">
        <v>349</v>
      </c>
      <c r="B103" s="403"/>
      <c r="C103" s="404"/>
      <c r="D103" s="427">
        <f>SUM($D$102:D102)</f>
        <v>0</v>
      </c>
      <c r="E103" s="427">
        <f>SUM($D$102:E102)</f>
        <v>0</v>
      </c>
      <c r="F103" s="427">
        <f>SUM($D$102:F102)</f>
        <v>0</v>
      </c>
      <c r="G103" s="427">
        <f>SUM($D$102:G102)</f>
        <v>0</v>
      </c>
      <c r="H103" s="427">
        <f>SUM($D$102:H102)</f>
        <v>0</v>
      </c>
      <c r="I103" s="427">
        <f ca="1">SUM($D$102:I102)</f>
        <v>69551.476975741127</v>
      </c>
      <c r="J103" s="427">
        <f ca="1">SUM($D$102:J102)</f>
        <v>78394.950415485175</v>
      </c>
      <c r="K103" s="427">
        <f ca="1">SUM($D$102:K102)</f>
        <v>84075.638078127173</v>
      </c>
      <c r="L103" s="453">
        <f ca="1">SUM($D$102:L102)</f>
        <v>90608.23810377832</v>
      </c>
      <c r="M103" s="427">
        <f ca="1">SUM($D$102:M102)</f>
        <v>97140.838129429467</v>
      </c>
      <c r="N103" s="427">
        <f ca="1">SUM($D$102:N102)</f>
        <v>106825.51389821444</v>
      </c>
      <c r="O103" s="427">
        <f ca="1">SUM($D$102:O102)</f>
        <v>116510.18966699942</v>
      </c>
      <c r="P103" s="427">
        <f ca="1">SUM($D$102:P102)</f>
        <v>118125.00000000001</v>
      </c>
      <c r="Q103" s="427">
        <f ca="1">SUM($D$102:Q102)</f>
        <v>118125.00000000001</v>
      </c>
      <c r="R103" s="427">
        <f ca="1">SUM($D$102:R102)</f>
        <v>118125.00000000001</v>
      </c>
      <c r="S103" s="427">
        <f ca="1">SUM($D$102:S102)</f>
        <v>118125.00000000001</v>
      </c>
      <c r="T103" s="427">
        <f ca="1">SUM($D$102:T102)</f>
        <v>118125.00000000001</v>
      </c>
      <c r="U103" s="427">
        <f ca="1">SUM($D$102:U102)</f>
        <v>118125.00000000001</v>
      </c>
      <c r="V103" s="427">
        <f ca="1">SUM($D$102:V102)</f>
        <v>118125.00000000001</v>
      </c>
      <c r="W103" s="427">
        <f ca="1">SUM($D$102:W102)</f>
        <v>118125.00000000001</v>
      </c>
      <c r="X103" s="427">
        <f ca="1">SUM($D$102:X102)</f>
        <v>118125.00000000001</v>
      </c>
      <c r="Y103" s="427">
        <f ca="1">SUM($D$102:Y102)</f>
        <v>118125.00000000001</v>
      </c>
      <c r="Z103" s="427"/>
      <c r="AA103" s="403"/>
    </row>
    <row r="104" spans="1:27">
      <c r="A104" s="408" t="s">
        <v>350</v>
      </c>
      <c r="B104" s="403"/>
      <c r="C104" s="404"/>
      <c r="D104" s="427">
        <f t="shared" ref="D104:Y104" si="13">IF(D8&lt;=$D$92,0,IF(D103&lt;$D$91,$D$91-D103,0))</f>
        <v>0</v>
      </c>
      <c r="E104" s="427">
        <f t="shared" si="13"/>
        <v>0</v>
      </c>
      <c r="F104" s="427">
        <f t="shared" si="13"/>
        <v>0</v>
      </c>
      <c r="G104" s="427">
        <f t="shared" si="13"/>
        <v>0</v>
      </c>
      <c r="H104" s="427">
        <f t="shared" si="13"/>
        <v>0</v>
      </c>
      <c r="I104" s="427">
        <f t="shared" ca="1" si="13"/>
        <v>0</v>
      </c>
      <c r="J104" s="427">
        <f t="shared" ca="1" si="13"/>
        <v>39730.049584514825</v>
      </c>
      <c r="K104" s="427">
        <f t="shared" ca="1" si="13"/>
        <v>34049.361921872827</v>
      </c>
      <c r="L104" s="427">
        <f t="shared" ca="1" si="13"/>
        <v>27516.76189622168</v>
      </c>
      <c r="M104" s="427">
        <f t="shared" ca="1" si="13"/>
        <v>20984.161870570533</v>
      </c>
      <c r="N104" s="427">
        <f t="shared" ca="1" si="13"/>
        <v>11299.486101785558</v>
      </c>
      <c r="O104" s="427">
        <f t="shared" ca="1" si="13"/>
        <v>1614.8103330005833</v>
      </c>
      <c r="P104" s="427">
        <f t="shared" ca="1" si="13"/>
        <v>0</v>
      </c>
      <c r="Q104" s="427">
        <f t="shared" ca="1" si="13"/>
        <v>0</v>
      </c>
      <c r="R104" s="427">
        <f t="shared" ca="1" si="13"/>
        <v>0</v>
      </c>
      <c r="S104" s="427">
        <f t="shared" ca="1" si="13"/>
        <v>0</v>
      </c>
      <c r="T104" s="427">
        <f t="shared" ca="1" si="13"/>
        <v>0</v>
      </c>
      <c r="U104" s="427">
        <f t="shared" ca="1" si="13"/>
        <v>0</v>
      </c>
      <c r="V104" s="427">
        <f t="shared" ca="1" si="13"/>
        <v>0</v>
      </c>
      <c r="W104" s="427">
        <f t="shared" ca="1" si="13"/>
        <v>0</v>
      </c>
      <c r="X104" s="427">
        <f t="shared" ca="1" si="13"/>
        <v>0</v>
      </c>
      <c r="Y104" s="427">
        <f t="shared" ca="1" si="13"/>
        <v>0</v>
      </c>
      <c r="Z104" s="427"/>
      <c r="AA104" s="403"/>
    </row>
    <row r="105" spans="1:27">
      <c r="A105" s="408" t="s">
        <v>351</v>
      </c>
      <c r="B105" s="403"/>
      <c r="C105" s="404"/>
      <c r="D105" s="427">
        <f t="shared" ref="D105:Y105" si="14">IF(D7+1&gt;0,+C107,0)</f>
        <v>0.08</v>
      </c>
      <c r="E105" s="427">
        <f t="shared" si="14"/>
        <v>0</v>
      </c>
      <c r="F105" s="427">
        <f t="shared" si="14"/>
        <v>0</v>
      </c>
      <c r="G105" s="427">
        <f t="shared" si="14"/>
        <v>0</v>
      </c>
      <c r="H105" s="427">
        <f t="shared" si="14"/>
        <v>0</v>
      </c>
      <c r="I105" s="427">
        <f t="shared" si="14"/>
        <v>0</v>
      </c>
      <c r="J105" s="427">
        <f t="shared" si="14"/>
        <v>0</v>
      </c>
      <c r="K105" s="427">
        <f t="shared" si="14"/>
        <v>0</v>
      </c>
      <c r="L105" s="427">
        <f t="shared" si="14"/>
        <v>0</v>
      </c>
      <c r="M105" s="427">
        <f t="shared" si="14"/>
        <v>0</v>
      </c>
      <c r="N105" s="427">
        <f t="shared" si="14"/>
        <v>0</v>
      </c>
      <c r="O105" s="427">
        <f t="shared" si="14"/>
        <v>0</v>
      </c>
      <c r="P105" s="427">
        <f t="shared" si="14"/>
        <v>4725</v>
      </c>
      <c r="Q105" s="427">
        <f t="shared" si="14"/>
        <v>0</v>
      </c>
      <c r="R105" s="427">
        <f t="shared" si="14"/>
        <v>0</v>
      </c>
      <c r="S105" s="427">
        <f t="shared" si="14"/>
        <v>0</v>
      </c>
      <c r="T105" s="427">
        <f t="shared" si="14"/>
        <v>0</v>
      </c>
      <c r="U105" s="427">
        <f t="shared" si="14"/>
        <v>0</v>
      </c>
      <c r="V105" s="427">
        <f t="shared" si="14"/>
        <v>0</v>
      </c>
      <c r="W105" s="427">
        <f t="shared" si="14"/>
        <v>0</v>
      </c>
      <c r="X105" s="427">
        <f t="shared" si="14"/>
        <v>0</v>
      </c>
      <c r="Y105" s="427">
        <f t="shared" si="14"/>
        <v>0</v>
      </c>
      <c r="Z105" s="427"/>
      <c r="AA105" s="403"/>
    </row>
    <row r="106" spans="1:27">
      <c r="A106" s="408" t="s">
        <v>352</v>
      </c>
      <c r="B106" s="403"/>
      <c r="C106" s="404"/>
      <c r="D106" s="427">
        <f t="shared" ref="D106:Y106" si="15">C106+D101</f>
        <v>0</v>
      </c>
      <c r="E106" s="427">
        <f t="shared" si="15"/>
        <v>0</v>
      </c>
      <c r="F106" s="427">
        <f t="shared" si="15"/>
        <v>0</v>
      </c>
      <c r="G106" s="427">
        <f t="shared" si="15"/>
        <v>0</v>
      </c>
      <c r="H106" s="427">
        <f t="shared" si="15"/>
        <v>0</v>
      </c>
      <c r="I106" s="427">
        <f t="shared" si="15"/>
        <v>118125</v>
      </c>
      <c r="J106" s="427">
        <f t="shared" si="15"/>
        <v>118125</v>
      </c>
      <c r="K106" s="427">
        <f t="shared" si="15"/>
        <v>118125</v>
      </c>
      <c r="L106" s="427">
        <f t="shared" si="15"/>
        <v>118125</v>
      </c>
      <c r="M106" s="427">
        <f t="shared" si="15"/>
        <v>118125</v>
      </c>
      <c r="N106" s="427">
        <f t="shared" si="15"/>
        <v>118125</v>
      </c>
      <c r="O106" s="427">
        <f t="shared" si="15"/>
        <v>118125</v>
      </c>
      <c r="P106" s="427">
        <f t="shared" si="15"/>
        <v>118125</v>
      </c>
      <c r="Q106" s="427">
        <f t="shared" si="15"/>
        <v>118125</v>
      </c>
      <c r="R106" s="427">
        <f t="shared" si="15"/>
        <v>118125</v>
      </c>
      <c r="S106" s="427">
        <f t="shared" si="15"/>
        <v>118125</v>
      </c>
      <c r="T106" s="427">
        <f t="shared" si="15"/>
        <v>118125</v>
      </c>
      <c r="U106" s="427">
        <f t="shared" si="15"/>
        <v>118125</v>
      </c>
      <c r="V106" s="427">
        <f t="shared" si="15"/>
        <v>118125</v>
      </c>
      <c r="W106" s="427">
        <f t="shared" si="15"/>
        <v>118125</v>
      </c>
      <c r="X106" s="427">
        <f t="shared" si="15"/>
        <v>118125</v>
      </c>
      <c r="Y106" s="427">
        <f t="shared" si="15"/>
        <v>118125</v>
      </c>
      <c r="Z106" s="427"/>
      <c r="AA106" s="403"/>
    </row>
    <row r="107" spans="1:27">
      <c r="A107" s="408" t="s">
        <v>353</v>
      </c>
      <c r="B107" s="403"/>
      <c r="C107" s="433">
        <f>D93+D94+D95</f>
        <v>0.08</v>
      </c>
      <c r="D107" s="427">
        <f t="shared" ref="D107:Y107" si="16">IF(MONTH(D99)=10,$D$91*$C$107/2,0)</f>
        <v>0</v>
      </c>
      <c r="E107" s="427">
        <f t="shared" si="16"/>
        <v>0</v>
      </c>
      <c r="F107" s="427">
        <f t="shared" si="16"/>
        <v>0</v>
      </c>
      <c r="G107" s="427">
        <f t="shared" si="16"/>
        <v>0</v>
      </c>
      <c r="H107" s="427">
        <f t="shared" si="16"/>
        <v>0</v>
      </c>
      <c r="I107" s="427">
        <f t="shared" si="16"/>
        <v>0</v>
      </c>
      <c r="J107" s="427">
        <f t="shared" si="16"/>
        <v>0</v>
      </c>
      <c r="K107" s="427">
        <f t="shared" si="16"/>
        <v>0</v>
      </c>
      <c r="L107" s="427">
        <f t="shared" si="16"/>
        <v>0</v>
      </c>
      <c r="M107" s="427">
        <f t="shared" si="16"/>
        <v>0</v>
      </c>
      <c r="N107" s="427">
        <f t="shared" si="16"/>
        <v>0</v>
      </c>
      <c r="O107" s="427">
        <f t="shared" si="16"/>
        <v>4725</v>
      </c>
      <c r="P107" s="427">
        <f t="shared" si="16"/>
        <v>0</v>
      </c>
      <c r="Q107" s="427">
        <f t="shared" si="16"/>
        <v>0</v>
      </c>
      <c r="R107" s="427">
        <f t="shared" si="16"/>
        <v>0</v>
      </c>
      <c r="S107" s="427">
        <f t="shared" si="16"/>
        <v>0</v>
      </c>
      <c r="T107" s="427">
        <f t="shared" si="16"/>
        <v>0</v>
      </c>
      <c r="U107" s="427">
        <f t="shared" si="16"/>
        <v>0</v>
      </c>
      <c r="V107" s="427">
        <f t="shared" si="16"/>
        <v>0</v>
      </c>
      <c r="W107" s="427">
        <f t="shared" si="16"/>
        <v>0</v>
      </c>
      <c r="X107" s="427">
        <f t="shared" si="16"/>
        <v>0</v>
      </c>
      <c r="Y107" s="427">
        <f t="shared" si="16"/>
        <v>0</v>
      </c>
      <c r="Z107" s="427"/>
      <c r="AA107" s="403"/>
    </row>
    <row r="108" spans="1:27">
      <c r="A108" s="408"/>
      <c r="B108" s="403"/>
      <c r="C108" s="404"/>
      <c r="D108" s="427"/>
      <c r="E108" s="427"/>
      <c r="F108" s="427"/>
      <c r="G108" s="427"/>
      <c r="H108" s="427"/>
      <c r="I108" s="427"/>
      <c r="J108" s="427"/>
      <c r="K108" s="427"/>
      <c r="L108" s="427"/>
      <c r="M108" s="427"/>
      <c r="N108" s="427"/>
      <c r="O108" s="427"/>
      <c r="P108" s="427"/>
      <c r="Q108" s="427"/>
      <c r="R108" s="427"/>
      <c r="S108" s="427"/>
      <c r="T108" s="427"/>
      <c r="U108" s="427"/>
      <c r="V108" s="427"/>
      <c r="W108" s="427"/>
      <c r="X108" s="427"/>
      <c r="Y108" s="427"/>
      <c r="Z108" s="427"/>
      <c r="AA108" s="403"/>
    </row>
    <row r="109" spans="1:27">
      <c r="A109" s="408" t="s">
        <v>354</v>
      </c>
      <c r="B109" s="403"/>
      <c r="C109" s="433">
        <f>D96</f>
        <v>2.2859999999999998E-2</v>
      </c>
      <c r="D109" s="440">
        <f>$D$91*C109</f>
        <v>2700.3374999999996</v>
      </c>
      <c r="E109" s="440"/>
      <c r="F109" s="440"/>
      <c r="G109" s="440"/>
      <c r="H109" s="440"/>
      <c r="I109" s="440"/>
      <c r="J109" s="440"/>
      <c r="K109" s="440"/>
      <c r="L109" s="440"/>
      <c r="M109" s="440"/>
      <c r="N109" s="440"/>
      <c r="O109" s="440"/>
      <c r="P109" s="440"/>
      <c r="Q109" s="440"/>
      <c r="R109" s="440"/>
      <c r="S109" s="440"/>
      <c r="T109" s="440"/>
      <c r="U109" s="440"/>
      <c r="V109" s="440"/>
      <c r="W109" s="440"/>
      <c r="X109" s="440"/>
      <c r="Y109" s="440"/>
      <c r="Z109" s="427"/>
      <c r="AA109" s="403"/>
    </row>
    <row r="110" spans="1:27">
      <c r="A110" s="408"/>
      <c r="B110" s="403"/>
      <c r="C110" s="404"/>
      <c r="D110" s="442"/>
      <c r="E110" s="403"/>
      <c r="F110" s="403"/>
      <c r="G110" s="403"/>
      <c r="H110" s="403"/>
      <c r="I110" s="403"/>
      <c r="J110" s="403"/>
      <c r="K110" s="403"/>
      <c r="L110" s="403"/>
      <c r="M110" s="403"/>
      <c r="N110" s="403"/>
      <c r="O110" s="403"/>
      <c r="P110" s="403"/>
      <c r="Q110" s="403"/>
      <c r="R110" s="403"/>
      <c r="S110" s="403"/>
      <c r="T110" s="403"/>
      <c r="U110" s="403"/>
      <c r="V110" s="403"/>
      <c r="W110" s="403"/>
      <c r="X110" s="403"/>
      <c r="Y110" s="403"/>
      <c r="Z110" s="403"/>
      <c r="AA110" s="403"/>
    </row>
    <row r="111" spans="1:27">
      <c r="A111" s="408" t="s">
        <v>355</v>
      </c>
      <c r="B111" s="403"/>
      <c r="C111" s="404"/>
      <c r="D111" s="427">
        <f>IF(D9&gt;=1,+D104*'ASSUM 1'!S43/12,0)</f>
        <v>0</v>
      </c>
      <c r="E111" s="427">
        <f>IF(E9&gt;=1,+E104*'ASSUM 1'!S43/12,0)</f>
        <v>0</v>
      </c>
      <c r="F111" s="427">
        <f>IF(F9&gt;=1,+F104*'ASSUM 1'!S43/12,0)</f>
        <v>0</v>
      </c>
      <c r="G111" s="427">
        <f>IF(G9&gt;=1,+G104*'ASSUM 1'!S43/12,0)</f>
        <v>0</v>
      </c>
      <c r="H111" s="427">
        <f>IF(H9&gt;=1,+H104*'ASSUM 1'!S43/12,0)</f>
        <v>0</v>
      </c>
      <c r="I111" s="427">
        <f ca="1">IF(I9&gt;=1,+I104*'ASSUM 1'!S43/12,0)</f>
        <v>0</v>
      </c>
      <c r="J111" s="427">
        <f ca="1">IF(J9&gt;=1,+J104*'ASSUM 1'!S43/12,0)</f>
        <v>165.54187326881177</v>
      </c>
      <c r="K111" s="427">
        <f ca="1">IF(K9&gt;=1,+K104*'ASSUM 1'!S43/12,0)</f>
        <v>141.87234134113677</v>
      </c>
      <c r="L111" s="427">
        <f ca="1">IF(L9&gt;=1,+L104*'ASSUM 1'!S43/12,0)</f>
        <v>114.65317456759034</v>
      </c>
      <c r="M111" s="427">
        <f ca="1">IF(M9&gt;=1,+M104*'ASSUM 1'!S43/12,0)</f>
        <v>87.434007794043893</v>
      </c>
      <c r="N111" s="427">
        <f ca="1">IF(N9&gt;=1,+N104*'ASSUM 1'!S43/12,0)</f>
        <v>47.081192090773158</v>
      </c>
      <c r="O111" s="427">
        <f ca="1">IF(O9&gt;=1,+O104*'ASSUM 1'!S43/12,0)</f>
        <v>6.7283763875024318</v>
      </c>
      <c r="P111" s="427">
        <f ca="1">IF(P9&gt;=1,+P104*'ASSUM 1'!S43/12,0)</f>
        <v>0</v>
      </c>
      <c r="Q111" s="427">
        <f ca="1">IF(Q9&gt;=1,+Q104*'ASSUM 1'!S43/12,0)</f>
        <v>0</v>
      </c>
      <c r="R111" s="427">
        <f ca="1">IF(R9&gt;=1,+R104*'ASSUM 1'!S43/12,0)</f>
        <v>0</v>
      </c>
      <c r="S111" s="427">
        <f ca="1">IF(S9&gt;=1,+S104*'ASSUM 1'!S43/12,0)</f>
        <v>0</v>
      </c>
      <c r="T111" s="427">
        <f ca="1">IF(T9&gt;=1,+T104*'ASSUM 1'!S43/12,0)</f>
        <v>0</v>
      </c>
      <c r="U111" s="427">
        <f ca="1">IF(U9&gt;=1,+U104*'ASSUM 1'!S43/12,0)</f>
        <v>0</v>
      </c>
      <c r="V111" s="427">
        <f ca="1">IF(V9&gt;=1,+V104*'ASSUM 1'!S43/12,0)</f>
        <v>0</v>
      </c>
      <c r="W111" s="427">
        <f ca="1">IF(W9&gt;=1,+W104*'ASSUM 1'!S43/12,0)</f>
        <v>0</v>
      </c>
      <c r="X111" s="427">
        <f ca="1">IF(X9&gt;=1,+X104*'ASSUM 1'!S43/12,0)</f>
        <v>0</v>
      </c>
      <c r="Y111" s="427">
        <f ca="1">IF(Y9&gt;=1,+Y104*'ASSUM 1'!S43/12,0)</f>
        <v>0</v>
      </c>
      <c r="Z111" s="403"/>
      <c r="AA111" s="403"/>
    </row>
    <row r="112" spans="1:27">
      <c r="A112" s="408" t="s">
        <v>356</v>
      </c>
      <c r="B112" s="421"/>
      <c r="C112" s="454"/>
      <c r="D112" s="437">
        <f t="shared" ref="D112:Y112" si="17">D107</f>
        <v>0</v>
      </c>
      <c r="E112" s="437">
        <f t="shared" si="17"/>
        <v>0</v>
      </c>
      <c r="F112" s="437">
        <f t="shared" si="17"/>
        <v>0</v>
      </c>
      <c r="G112" s="437">
        <f t="shared" si="17"/>
        <v>0</v>
      </c>
      <c r="H112" s="437">
        <f t="shared" si="17"/>
        <v>0</v>
      </c>
      <c r="I112" s="437">
        <f t="shared" si="17"/>
        <v>0</v>
      </c>
      <c r="J112" s="437">
        <f t="shared" si="17"/>
        <v>0</v>
      </c>
      <c r="K112" s="437">
        <f t="shared" si="17"/>
        <v>0</v>
      </c>
      <c r="L112" s="437">
        <f t="shared" si="17"/>
        <v>0</v>
      </c>
      <c r="M112" s="437">
        <f t="shared" si="17"/>
        <v>0</v>
      </c>
      <c r="N112" s="437">
        <f t="shared" si="17"/>
        <v>0</v>
      </c>
      <c r="O112" s="437">
        <f t="shared" si="17"/>
        <v>4725</v>
      </c>
      <c r="P112" s="437">
        <f t="shared" si="17"/>
        <v>0</v>
      </c>
      <c r="Q112" s="437">
        <f t="shared" si="17"/>
        <v>0</v>
      </c>
      <c r="R112" s="437">
        <f t="shared" si="17"/>
        <v>0</v>
      </c>
      <c r="S112" s="437">
        <f t="shared" si="17"/>
        <v>0</v>
      </c>
      <c r="T112" s="437">
        <f t="shared" si="17"/>
        <v>0</v>
      </c>
      <c r="U112" s="437">
        <f t="shared" si="17"/>
        <v>0</v>
      </c>
      <c r="V112" s="437">
        <f t="shared" si="17"/>
        <v>0</v>
      </c>
      <c r="W112" s="437">
        <f t="shared" si="17"/>
        <v>0</v>
      </c>
      <c r="X112" s="437">
        <f t="shared" si="17"/>
        <v>0</v>
      </c>
      <c r="Y112" s="437">
        <f t="shared" si="17"/>
        <v>0</v>
      </c>
      <c r="Z112" s="442"/>
      <c r="AA112" s="403"/>
    </row>
    <row r="113" spans="1:27">
      <c r="A113" s="408" t="s">
        <v>357</v>
      </c>
      <c r="B113" s="421"/>
      <c r="C113" s="454"/>
      <c r="D113" s="427">
        <f t="shared" ref="D113:Y113" si="18">D112-D111</f>
        <v>0</v>
      </c>
      <c r="E113" s="427">
        <f t="shared" si="18"/>
        <v>0</v>
      </c>
      <c r="F113" s="427">
        <f t="shared" si="18"/>
        <v>0</v>
      </c>
      <c r="G113" s="427">
        <f t="shared" si="18"/>
        <v>0</v>
      </c>
      <c r="H113" s="427">
        <f t="shared" si="18"/>
        <v>0</v>
      </c>
      <c r="I113" s="427">
        <f t="shared" ca="1" si="18"/>
        <v>0</v>
      </c>
      <c r="J113" s="427">
        <f t="shared" ca="1" si="18"/>
        <v>-165.54187326881177</v>
      </c>
      <c r="K113" s="427">
        <f t="shared" ca="1" si="18"/>
        <v>-141.87234134113677</v>
      </c>
      <c r="L113" s="427">
        <f t="shared" ca="1" si="18"/>
        <v>-114.65317456759034</v>
      </c>
      <c r="M113" s="427">
        <f t="shared" ca="1" si="18"/>
        <v>-87.434007794043893</v>
      </c>
      <c r="N113" s="427">
        <f t="shared" ca="1" si="18"/>
        <v>-47.081192090773158</v>
      </c>
      <c r="O113" s="427">
        <f t="shared" ca="1" si="18"/>
        <v>4718.2716236124979</v>
      </c>
      <c r="P113" s="427">
        <f t="shared" ca="1" si="18"/>
        <v>0</v>
      </c>
      <c r="Q113" s="427">
        <f t="shared" ca="1" si="18"/>
        <v>0</v>
      </c>
      <c r="R113" s="427">
        <f t="shared" ca="1" si="18"/>
        <v>0</v>
      </c>
      <c r="S113" s="427">
        <f t="shared" ca="1" si="18"/>
        <v>0</v>
      </c>
      <c r="T113" s="427">
        <f t="shared" ca="1" si="18"/>
        <v>0</v>
      </c>
      <c r="U113" s="427">
        <f t="shared" ca="1" si="18"/>
        <v>0</v>
      </c>
      <c r="V113" s="427">
        <f t="shared" ca="1" si="18"/>
        <v>0</v>
      </c>
      <c r="W113" s="427">
        <f t="shared" ca="1" si="18"/>
        <v>0</v>
      </c>
      <c r="X113" s="427">
        <f t="shared" ca="1" si="18"/>
        <v>0</v>
      </c>
      <c r="Y113" s="427">
        <f t="shared" ca="1" si="18"/>
        <v>0</v>
      </c>
      <c r="Z113" s="442"/>
      <c r="AA113" s="403"/>
    </row>
    <row r="114" spans="1:27">
      <c r="A114" s="408"/>
      <c r="B114" s="403"/>
      <c r="C114" s="404"/>
      <c r="D114" s="403"/>
      <c r="E114" s="403"/>
      <c r="F114" s="403"/>
      <c r="G114" s="403"/>
      <c r="H114" s="403"/>
      <c r="I114" s="403"/>
      <c r="J114" s="403"/>
      <c r="K114" s="403"/>
      <c r="L114" s="403"/>
      <c r="M114" s="403"/>
      <c r="N114" s="403"/>
      <c r="O114" s="403"/>
      <c r="P114" s="403"/>
      <c r="Q114" s="403"/>
      <c r="R114" s="403"/>
      <c r="S114" s="403"/>
      <c r="T114" s="403"/>
      <c r="U114" s="403"/>
      <c r="V114" s="403"/>
      <c r="W114" s="403"/>
      <c r="X114" s="403"/>
      <c r="Y114" s="403"/>
      <c r="Z114" s="403"/>
      <c r="AA114" s="403"/>
    </row>
    <row r="115" spans="1:27" ht="17.399999999999999">
      <c r="A115" s="455" t="s">
        <v>358</v>
      </c>
      <c r="B115" s="456"/>
      <c r="C115" s="417"/>
      <c r="D115" s="457">
        <f ca="1">SUM(D113:Z113)</f>
        <v>4161.6890345501415</v>
      </c>
      <c r="E115" s="408"/>
      <c r="F115" s="403"/>
      <c r="G115" s="403"/>
      <c r="H115" s="403"/>
      <c r="I115" s="403"/>
      <c r="J115" s="403"/>
      <c r="K115" s="403"/>
      <c r="L115" s="403"/>
      <c r="M115" s="403"/>
      <c r="N115" s="403"/>
      <c r="O115" s="403"/>
      <c r="P115" s="403"/>
      <c r="Q115" s="403"/>
      <c r="R115" s="403"/>
      <c r="S115" s="403"/>
      <c r="T115" s="403"/>
      <c r="U115" s="403"/>
      <c r="V115" s="403"/>
      <c r="W115" s="403"/>
      <c r="X115" s="403"/>
      <c r="Y115" s="403"/>
      <c r="Z115" s="403"/>
      <c r="AA115" s="403"/>
    </row>
    <row r="116" spans="1:27" ht="17.399999999999999">
      <c r="A116" s="458" t="s">
        <v>359</v>
      </c>
      <c r="B116" s="403"/>
      <c r="C116" s="404"/>
      <c r="D116" s="459">
        <f>D109</f>
        <v>2700.3374999999996</v>
      </c>
      <c r="E116" s="408"/>
      <c r="F116" s="403"/>
      <c r="G116" s="403"/>
      <c r="H116" s="403"/>
      <c r="I116" s="403"/>
      <c r="J116" s="403"/>
      <c r="K116" s="403"/>
      <c r="L116" s="403"/>
      <c r="M116" s="403"/>
      <c r="N116" s="403"/>
      <c r="O116" s="403"/>
      <c r="P116" s="403"/>
      <c r="Q116" s="403"/>
      <c r="R116" s="403"/>
      <c r="S116" s="403"/>
      <c r="T116" s="403"/>
      <c r="U116" s="403"/>
      <c r="V116" s="403"/>
      <c r="W116" s="403"/>
      <c r="X116" s="403"/>
      <c r="Y116" s="403"/>
      <c r="Z116" s="403"/>
      <c r="AA116" s="403"/>
    </row>
    <row r="117" spans="1:27">
      <c r="A117" s="460"/>
      <c r="B117" s="461"/>
      <c r="C117" s="461"/>
      <c r="D117" s="461"/>
      <c r="E117" s="403"/>
      <c r="F117" s="403"/>
      <c r="G117" s="403"/>
      <c r="H117" s="403"/>
      <c r="I117" s="403"/>
      <c r="J117" s="403"/>
      <c r="K117" s="403"/>
      <c r="L117" s="403"/>
      <c r="M117" s="403"/>
      <c r="N117" s="403"/>
      <c r="O117" s="403"/>
      <c r="P117" s="403"/>
      <c r="Q117" s="403"/>
      <c r="R117" s="403"/>
      <c r="S117" s="403"/>
      <c r="T117" s="403"/>
      <c r="U117" s="403"/>
      <c r="V117" s="403"/>
      <c r="W117" s="403"/>
      <c r="X117" s="403"/>
      <c r="Y117" s="403"/>
      <c r="Z117" s="403"/>
      <c r="AA117" s="403"/>
    </row>
    <row r="118" spans="1:27">
      <c r="A118" s="408"/>
      <c r="B118" s="403"/>
      <c r="C118" s="404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403"/>
      <c r="AA118" s="403"/>
    </row>
    <row r="119" spans="1:27">
      <c r="A119" s="416"/>
      <c r="B119" s="462"/>
      <c r="C119" s="463"/>
      <c r="D119" s="464"/>
      <c r="E119" s="464"/>
      <c r="F119" s="464"/>
      <c r="G119" s="464"/>
      <c r="H119" s="464"/>
      <c r="I119" s="464"/>
      <c r="J119" s="464"/>
      <c r="K119" s="464"/>
      <c r="L119" s="464"/>
      <c r="M119" s="464"/>
      <c r="N119" s="464"/>
      <c r="O119" s="464"/>
      <c r="P119" s="464"/>
      <c r="Q119" s="464"/>
      <c r="R119" s="464"/>
      <c r="S119" s="464"/>
      <c r="T119" s="464"/>
      <c r="U119" s="464"/>
      <c r="V119" s="464"/>
      <c r="W119" s="464"/>
      <c r="X119" s="464"/>
      <c r="Y119" s="464"/>
      <c r="Z119" s="464"/>
      <c r="AA119" s="403"/>
    </row>
    <row r="120" spans="1:27">
      <c r="A120" s="403"/>
      <c r="B120" s="419"/>
      <c r="C120" s="465"/>
      <c r="D120" s="427"/>
      <c r="E120" s="427"/>
      <c r="F120" s="427"/>
      <c r="G120" s="427"/>
      <c r="H120" s="427"/>
      <c r="I120" s="427"/>
      <c r="J120" s="427"/>
      <c r="K120" s="427"/>
      <c r="L120" s="427"/>
      <c r="M120" s="427"/>
      <c r="N120" s="427"/>
      <c r="O120" s="427"/>
      <c r="P120" s="427"/>
      <c r="Q120" s="427"/>
      <c r="R120" s="427"/>
      <c r="S120" s="427"/>
      <c r="T120" s="427"/>
      <c r="U120" s="427"/>
      <c r="V120" s="427"/>
      <c r="W120" s="427"/>
      <c r="X120" s="427"/>
      <c r="Y120" s="427"/>
      <c r="Z120" s="427"/>
      <c r="AA120" s="403"/>
    </row>
    <row r="121" spans="1:27">
      <c r="A121" s="403" t="s">
        <v>360</v>
      </c>
      <c r="B121" s="419"/>
      <c r="C121" s="465">
        <f ca="1">SUM(D121:Z121)</f>
        <v>173682.32532443412</v>
      </c>
      <c r="D121" s="427">
        <f t="shared" ref="D121:Y121" ca="1" si="19">D113+D79</f>
        <v>13111.953688293142</v>
      </c>
      <c r="E121" s="427">
        <f t="shared" ca="1" si="19"/>
        <v>7313.5196917428566</v>
      </c>
      <c r="F121" s="427">
        <f t="shared" ca="1" si="19"/>
        <v>7313.5196917428566</v>
      </c>
      <c r="G121" s="427">
        <f t="shared" ca="1" si="19"/>
        <v>7313.5196917428566</v>
      </c>
      <c r="H121" s="427">
        <f t="shared" ca="1" si="19"/>
        <v>8630.5196917428566</v>
      </c>
      <c r="I121" s="427">
        <f t="shared" ca="1" si="19"/>
        <v>25868.444520476573</v>
      </c>
      <c r="J121" s="427">
        <f t="shared" ca="1" si="19"/>
        <v>8677.9315664752376</v>
      </c>
      <c r="K121" s="427">
        <f t="shared" ca="1" si="19"/>
        <v>5538.8153213008618</v>
      </c>
      <c r="L121" s="427">
        <f t="shared" ca="1" si="19"/>
        <v>6417.9468510835522</v>
      </c>
      <c r="M121" s="427">
        <f t="shared" ca="1" si="19"/>
        <v>6445.1660178570983</v>
      </c>
      <c r="N121" s="427">
        <f t="shared" ca="1" si="19"/>
        <v>9637.5945766941968</v>
      </c>
      <c r="O121" s="427">
        <f t="shared" ca="1" si="19"/>
        <v>14402.947392397467</v>
      </c>
      <c r="P121" s="427">
        <f t="shared" ca="1" si="19"/>
        <v>17088.157308168396</v>
      </c>
      <c r="Q121" s="427">
        <f t="shared" ca="1" si="19"/>
        <v>11408.741554774104</v>
      </c>
      <c r="R121" s="427">
        <f t="shared" ca="1" si="19"/>
        <v>11408.741554774104</v>
      </c>
      <c r="S121" s="427">
        <f t="shared" ca="1" si="19"/>
        <v>13104.806205167926</v>
      </c>
      <c r="T121" s="427">
        <f t="shared" ca="1" si="19"/>
        <v>0</v>
      </c>
      <c r="U121" s="427">
        <f t="shared" ca="1" si="19"/>
        <v>0</v>
      </c>
      <c r="V121" s="427">
        <f t="shared" ca="1" si="19"/>
        <v>0</v>
      </c>
      <c r="W121" s="427">
        <f t="shared" ca="1" si="19"/>
        <v>0</v>
      </c>
      <c r="X121" s="427">
        <f t="shared" ca="1" si="19"/>
        <v>0</v>
      </c>
      <c r="Y121" s="427">
        <f t="shared" ca="1" si="19"/>
        <v>0</v>
      </c>
      <c r="Z121" s="427"/>
      <c r="AA121" s="403"/>
    </row>
    <row r="122" spans="1:27">
      <c r="A122" s="403" t="s">
        <v>361</v>
      </c>
      <c r="B122" s="419"/>
      <c r="C122" s="465"/>
      <c r="D122" s="427">
        <f t="shared" ref="D122:Y122" ca="1" si="20">D121+C122</f>
        <v>13111.953688293142</v>
      </c>
      <c r="E122" s="427">
        <f t="shared" ca="1" si="20"/>
        <v>20425.473380035997</v>
      </c>
      <c r="F122" s="427">
        <f t="shared" ca="1" si="20"/>
        <v>27738.993071778852</v>
      </c>
      <c r="G122" s="427">
        <f t="shared" ca="1" si="20"/>
        <v>35052.512763521707</v>
      </c>
      <c r="H122" s="427">
        <f t="shared" ca="1" si="20"/>
        <v>43683.032455264562</v>
      </c>
      <c r="I122" s="427">
        <f t="shared" ca="1" si="20"/>
        <v>69551.476975741127</v>
      </c>
      <c r="J122" s="427">
        <f t="shared" ca="1" si="20"/>
        <v>78229.408542216363</v>
      </c>
      <c r="K122" s="427">
        <f t="shared" ca="1" si="20"/>
        <v>83768.223863517225</v>
      </c>
      <c r="L122" s="427">
        <f t="shared" ca="1" si="20"/>
        <v>90186.170714600783</v>
      </c>
      <c r="M122" s="427">
        <f t="shared" ca="1" si="20"/>
        <v>96631.336732457887</v>
      </c>
      <c r="N122" s="427">
        <f t="shared" ca="1" si="20"/>
        <v>106268.93130915209</v>
      </c>
      <c r="O122" s="427">
        <f t="shared" ca="1" si="20"/>
        <v>120671.87870154956</v>
      </c>
      <c r="P122" s="427">
        <f t="shared" ca="1" si="20"/>
        <v>137760.03600971797</v>
      </c>
      <c r="Q122" s="427">
        <f t="shared" ca="1" si="20"/>
        <v>149168.77756449208</v>
      </c>
      <c r="R122" s="427">
        <f t="shared" ca="1" si="20"/>
        <v>160577.51911926619</v>
      </c>
      <c r="S122" s="427">
        <f t="shared" ca="1" si="20"/>
        <v>173682.32532443412</v>
      </c>
      <c r="T122" s="427">
        <f t="shared" ca="1" si="20"/>
        <v>173682.32532443412</v>
      </c>
      <c r="U122" s="427">
        <f t="shared" ca="1" si="20"/>
        <v>173682.32532443412</v>
      </c>
      <c r="V122" s="427">
        <f t="shared" ca="1" si="20"/>
        <v>173682.32532443412</v>
      </c>
      <c r="W122" s="427">
        <f t="shared" ca="1" si="20"/>
        <v>173682.32532443412</v>
      </c>
      <c r="X122" s="427">
        <f t="shared" ca="1" si="20"/>
        <v>173682.32532443412</v>
      </c>
      <c r="Y122" s="427">
        <f t="shared" ca="1" si="20"/>
        <v>173682.32532443412</v>
      </c>
      <c r="Z122" s="427"/>
      <c r="AA122" s="403"/>
    </row>
    <row r="123" spans="1:27">
      <c r="A123" s="403"/>
      <c r="B123" s="403"/>
      <c r="C123" s="404"/>
      <c r="D123" s="403"/>
      <c r="E123" s="403"/>
      <c r="F123" s="403"/>
      <c r="G123" s="403"/>
      <c r="H123" s="466"/>
      <c r="I123" s="403"/>
      <c r="J123" s="403"/>
      <c r="K123" s="403"/>
      <c r="L123" s="403"/>
      <c r="M123" s="403"/>
      <c r="N123" s="403"/>
      <c r="O123" s="403"/>
      <c r="P123" s="403"/>
      <c r="Q123" s="403"/>
      <c r="R123" s="403"/>
      <c r="S123" s="403"/>
      <c r="T123" s="403"/>
      <c r="U123" s="403"/>
      <c r="V123" s="403"/>
      <c r="W123" s="403"/>
      <c r="X123" s="403"/>
      <c r="Y123" s="403"/>
      <c r="Z123" s="403"/>
      <c r="AA123" s="403"/>
    </row>
    <row r="124" spans="1:27">
      <c r="A124" s="403" t="s">
        <v>362</v>
      </c>
      <c r="B124" s="419">
        <f>YEAR('ASSUM 1'!R7)</f>
        <v>1999</v>
      </c>
      <c r="C124" s="465">
        <f ca="1">SUM(D124:Z124)</f>
        <v>20425.473380035997</v>
      </c>
      <c r="D124" s="427">
        <f ca="1">IF(YEAR(D$8)=$B$124,D78+D113,0)</f>
        <v>13111.953688293142</v>
      </c>
      <c r="E124" s="427">
        <f t="shared" ref="E124:Y124" ca="1" si="21">IF(YEAR(E$8)=$B$124,E78+E113,0)</f>
        <v>7313.5196917428566</v>
      </c>
      <c r="F124" s="427">
        <f t="shared" si="21"/>
        <v>0</v>
      </c>
      <c r="G124" s="427">
        <f t="shared" si="21"/>
        <v>0</v>
      </c>
      <c r="H124" s="427">
        <f t="shared" si="21"/>
        <v>0</v>
      </c>
      <c r="I124" s="427">
        <f t="shared" si="21"/>
        <v>0</v>
      </c>
      <c r="J124" s="427">
        <f t="shared" si="21"/>
        <v>0</v>
      </c>
      <c r="K124" s="427">
        <f t="shared" si="21"/>
        <v>0</v>
      </c>
      <c r="L124" s="427">
        <f t="shared" si="21"/>
        <v>0</v>
      </c>
      <c r="M124" s="427">
        <f t="shared" si="21"/>
        <v>0</v>
      </c>
      <c r="N124" s="427">
        <f t="shared" si="21"/>
        <v>0</v>
      </c>
      <c r="O124" s="427">
        <f t="shared" si="21"/>
        <v>0</v>
      </c>
      <c r="P124" s="427">
        <f t="shared" si="21"/>
        <v>0</v>
      </c>
      <c r="Q124" s="427">
        <f t="shared" si="21"/>
        <v>0</v>
      </c>
      <c r="R124" s="427">
        <f t="shared" si="21"/>
        <v>0</v>
      </c>
      <c r="S124" s="427">
        <f t="shared" si="21"/>
        <v>0</v>
      </c>
      <c r="T124" s="427">
        <f t="shared" si="21"/>
        <v>0</v>
      </c>
      <c r="U124" s="427">
        <f t="shared" si="21"/>
        <v>0</v>
      </c>
      <c r="V124" s="427">
        <f t="shared" si="21"/>
        <v>0</v>
      </c>
      <c r="W124" s="427">
        <f t="shared" si="21"/>
        <v>0</v>
      </c>
      <c r="X124" s="427">
        <f t="shared" si="21"/>
        <v>0</v>
      </c>
      <c r="Y124" s="427">
        <f t="shared" si="21"/>
        <v>0</v>
      </c>
      <c r="Z124" s="427"/>
      <c r="AA124" s="403"/>
    </row>
    <row r="125" spans="1:27">
      <c r="A125" s="403"/>
      <c r="B125" s="419">
        <f>B124+1</f>
        <v>2000</v>
      </c>
      <c r="C125" s="465">
        <f ca="1">SUM(D125:Z125)</f>
        <v>10618.304184456058</v>
      </c>
      <c r="D125" s="467">
        <f>IF(YEAR(D$8)=$B$125,D$78+D113,0)</f>
        <v>0</v>
      </c>
      <c r="E125" s="467">
        <f>IF(YEAR(E$8)=$B$125,E$78+E113,0)</f>
        <v>0</v>
      </c>
      <c r="F125" s="467">
        <f ca="1">IF(YEAR(F$8)=$B$125,F$78+F113,0)</f>
        <v>7313.5196917428566</v>
      </c>
      <c r="G125" s="467">
        <f ca="1">IF(YEAR(G$8)=$B$125,G$78+G113,0)</f>
        <v>7313.5196917428566</v>
      </c>
      <c r="H125" s="467">
        <f ca="1">IF(YEAR(H$8)=$B$125,H$78+H113,0)</f>
        <v>8630.5196917428566</v>
      </c>
      <c r="I125" s="467">
        <f ca="1">-IF(I101&gt;0,SUM($D$124:H125),0)+IF(YEAR(I$8)=$B$125,I$78+I113,0)</f>
        <v>-43683.032455264562</v>
      </c>
      <c r="J125" s="467">
        <f ca="1">-IF(J101&gt;0,SUM($D$124:I125),0)+IF(YEAR(J$8)=$B$125,J$78+J113,0)</f>
        <v>-165.54187326881177</v>
      </c>
      <c r="K125" s="467">
        <f ca="1">-IF(K101&gt;0,SUM($D$124:J125),0)+IF(YEAR(K$8)=$B$125,K$78+K113,0)</f>
        <v>-141.87234134113677</v>
      </c>
      <c r="L125" s="467">
        <f ca="1">-IF(L101&gt;0,SUM($D$124:K125),0)+IF(YEAR(L$8)=$B$125,L$78+L113,0)</f>
        <v>-114.65317456759034</v>
      </c>
      <c r="M125" s="467">
        <f ca="1">-IF(M101&gt;0,SUM($D$124:L125),0)+IF(YEAR(M$8)=$B$125,M$78+M113,0)</f>
        <v>-87.434007794043893</v>
      </c>
      <c r="N125" s="467">
        <f ca="1">-IF(N101&gt;0,SUM($D$124:M125),0)+IF(YEAR(N$8)=$B$125,N$78+N113,0)</f>
        <v>-47.081192090773158</v>
      </c>
      <c r="O125" s="467">
        <f ca="1">-IF(O101&gt;0,SUM($D$124:N125),0)+IF(YEAR(O$8)=$B$125,O$78+O113,0)</f>
        <v>4718.2716236124979</v>
      </c>
      <c r="P125" s="467">
        <f ca="1">-IF(P101&gt;0,SUM($D$124:O125),0)+IF(YEAR(P$8)=$B$125,P$78+P113,0)</f>
        <v>15473.346975167799</v>
      </c>
      <c r="Q125" s="467">
        <f ca="1">-IF(Q101&gt;0,SUM($D$124:P125),0)+IF(YEAR(Q$8)=$B$125,Q$78+Q113,0)</f>
        <v>11408.741554774104</v>
      </c>
      <c r="R125" s="467">
        <f>-IF(R101&gt;0,SUM($D$124:Q125),0)+IF(YEAR(R$8)=$B$125,R$78+R113,0)</f>
        <v>0</v>
      </c>
      <c r="S125" s="467">
        <f>-IF(S101&gt;0,SUM($D$124:R125),0)+IF(YEAR(S$8)=$B$125,S$78+S113,0)</f>
        <v>0</v>
      </c>
      <c r="T125" s="467">
        <f>-IF(T101&gt;0,SUM($D$124:S125),0)+IF(YEAR(T$8)=$B$125,T$78+T113,0)</f>
        <v>0</v>
      </c>
      <c r="U125" s="467">
        <f>-IF(U101&gt;0,SUM($D$124:T125),0)+IF(YEAR(U$8)=$B$125,U$78+U113,0)</f>
        <v>0</v>
      </c>
      <c r="V125" s="467">
        <f>-IF(V101&gt;0,SUM($D$124:U125),0)+IF(YEAR(V$8)=$B$125,V$78+V113,0)</f>
        <v>0</v>
      </c>
      <c r="W125" s="467">
        <f>-IF(W101&gt;0,SUM($D$124:V125),0)+IF(YEAR(W$8)=$B$125,W$78+W113,0)</f>
        <v>0</v>
      </c>
      <c r="X125" s="467">
        <f>-IF(X101&gt;0,SUM($D$124:W125),0)+IF(YEAR(X$8)=$B$125,X$78+X113,0)</f>
        <v>0</v>
      </c>
      <c r="Y125" s="467">
        <f>-IF(Y101&gt;0,SUM($D$124:X125),0)+IF(YEAR(Y$8)=$B$125,Y$78+Y113,0)</f>
        <v>0</v>
      </c>
      <c r="Z125" s="427"/>
      <c r="AA125" s="403"/>
    </row>
    <row r="126" spans="1:27">
      <c r="A126" s="403"/>
      <c r="B126" s="419">
        <f>B125+1</f>
        <v>2001</v>
      </c>
      <c r="C126" s="465">
        <f ca="1">SUM(D126:Z126)</f>
        <v>24513.54775994203</v>
      </c>
      <c r="D126" s="437">
        <f>IF(YEAR(D$8)=$B$126,D$78+D113,0)</f>
        <v>0</v>
      </c>
      <c r="E126" s="437">
        <f t="shared" ref="E126:Y126" si="22">IF(YEAR(E$8)=$B$126,E$78+E113,0)</f>
        <v>0</v>
      </c>
      <c r="F126" s="437">
        <f t="shared" si="22"/>
        <v>0</v>
      </c>
      <c r="G126" s="437">
        <f t="shared" si="22"/>
        <v>0</v>
      </c>
      <c r="H126" s="437">
        <f t="shared" si="22"/>
        <v>0</v>
      </c>
      <c r="I126" s="437">
        <f t="shared" si="22"/>
        <v>0</v>
      </c>
      <c r="J126" s="437">
        <f t="shared" si="22"/>
        <v>0</v>
      </c>
      <c r="K126" s="437">
        <f t="shared" si="22"/>
        <v>0</v>
      </c>
      <c r="L126" s="437">
        <f t="shared" si="22"/>
        <v>0</v>
      </c>
      <c r="M126" s="437">
        <f t="shared" si="22"/>
        <v>0</v>
      </c>
      <c r="N126" s="437">
        <f t="shared" si="22"/>
        <v>0</v>
      </c>
      <c r="O126" s="437">
        <f t="shared" si="22"/>
        <v>0</v>
      </c>
      <c r="P126" s="437">
        <f t="shared" si="22"/>
        <v>0</v>
      </c>
      <c r="Q126" s="437">
        <f t="shared" si="22"/>
        <v>0</v>
      </c>
      <c r="R126" s="437">
        <f t="shared" ca="1" si="22"/>
        <v>11408.741554774104</v>
      </c>
      <c r="S126" s="437">
        <f t="shared" ca="1" si="22"/>
        <v>13104.806205167926</v>
      </c>
      <c r="T126" s="437">
        <f t="shared" ca="1" si="22"/>
        <v>0</v>
      </c>
      <c r="U126" s="437">
        <f t="shared" ca="1" si="22"/>
        <v>0</v>
      </c>
      <c r="V126" s="437">
        <f t="shared" ca="1" si="22"/>
        <v>0</v>
      </c>
      <c r="W126" s="437">
        <f t="shared" ca="1" si="22"/>
        <v>0</v>
      </c>
      <c r="X126" s="437">
        <f t="shared" ca="1" si="22"/>
        <v>0</v>
      </c>
      <c r="Y126" s="437">
        <f t="shared" ca="1" si="22"/>
        <v>0</v>
      </c>
      <c r="Z126" s="437"/>
      <c r="AA126" s="403"/>
    </row>
    <row r="127" spans="1:27">
      <c r="A127" s="403" t="s">
        <v>363</v>
      </c>
      <c r="B127" s="427"/>
      <c r="C127" s="465">
        <f t="shared" ref="C127:Y127" ca="1" si="23">SUM(C124:C126)</f>
        <v>55557.325324434089</v>
      </c>
      <c r="D127" s="427">
        <f t="shared" ca="1" si="23"/>
        <v>13111.953688293142</v>
      </c>
      <c r="E127" s="427">
        <f t="shared" ca="1" si="23"/>
        <v>7313.5196917428566</v>
      </c>
      <c r="F127" s="427">
        <f t="shared" ca="1" si="23"/>
        <v>7313.5196917428566</v>
      </c>
      <c r="G127" s="427">
        <f t="shared" ca="1" si="23"/>
        <v>7313.5196917428566</v>
      </c>
      <c r="H127" s="427">
        <f t="shared" ca="1" si="23"/>
        <v>8630.5196917428566</v>
      </c>
      <c r="I127" s="427">
        <f t="shared" ca="1" si="23"/>
        <v>-43683.032455264562</v>
      </c>
      <c r="J127" s="427">
        <f t="shared" ca="1" si="23"/>
        <v>-165.54187326881177</v>
      </c>
      <c r="K127" s="427">
        <f t="shared" ca="1" si="23"/>
        <v>-141.87234134113677</v>
      </c>
      <c r="L127" s="427">
        <f t="shared" ca="1" si="23"/>
        <v>-114.65317456759034</v>
      </c>
      <c r="M127" s="427">
        <f t="shared" ca="1" si="23"/>
        <v>-87.434007794043893</v>
      </c>
      <c r="N127" s="427">
        <f t="shared" ca="1" si="23"/>
        <v>-47.081192090773158</v>
      </c>
      <c r="O127" s="427">
        <f t="shared" ca="1" si="23"/>
        <v>4718.2716236124979</v>
      </c>
      <c r="P127" s="427">
        <f t="shared" ca="1" si="23"/>
        <v>15473.346975167799</v>
      </c>
      <c r="Q127" s="427">
        <f t="shared" ca="1" si="23"/>
        <v>11408.741554774104</v>
      </c>
      <c r="R127" s="427">
        <f t="shared" ca="1" si="23"/>
        <v>11408.741554774104</v>
      </c>
      <c r="S127" s="427">
        <f t="shared" ca="1" si="23"/>
        <v>13104.806205167926</v>
      </c>
      <c r="T127" s="427">
        <f t="shared" ca="1" si="23"/>
        <v>0</v>
      </c>
      <c r="U127" s="427">
        <f t="shared" ca="1" si="23"/>
        <v>0</v>
      </c>
      <c r="V127" s="427">
        <f t="shared" ca="1" si="23"/>
        <v>0</v>
      </c>
      <c r="W127" s="427">
        <f t="shared" ca="1" si="23"/>
        <v>0</v>
      </c>
      <c r="X127" s="427">
        <f t="shared" ca="1" si="23"/>
        <v>0</v>
      </c>
      <c r="Y127" s="427">
        <f t="shared" ca="1" si="23"/>
        <v>0</v>
      </c>
      <c r="Z127" s="427"/>
      <c r="AA127" s="403"/>
    </row>
    <row r="128" spans="1:27">
      <c r="A128" s="427"/>
      <c r="B128" s="427"/>
      <c r="C128" s="465"/>
      <c r="D128" s="427"/>
      <c r="E128" s="427"/>
      <c r="F128" s="427"/>
      <c r="G128" s="427"/>
      <c r="H128" s="427"/>
      <c r="I128" s="427"/>
      <c r="J128" s="427"/>
      <c r="K128" s="427"/>
      <c r="L128" s="427"/>
      <c r="M128" s="427"/>
      <c r="N128" s="427"/>
      <c r="O128" s="427"/>
      <c r="P128" s="427"/>
      <c r="Q128" s="427"/>
      <c r="R128" s="427"/>
      <c r="S128" s="427"/>
      <c r="T128" s="427"/>
      <c r="U128" s="427"/>
      <c r="V128" s="427"/>
      <c r="W128" s="427"/>
      <c r="X128" s="427"/>
      <c r="Y128" s="427"/>
      <c r="Z128" s="427"/>
      <c r="AA128" s="427"/>
    </row>
    <row r="129" spans="1:27">
      <c r="A129" s="403"/>
      <c r="B129" s="403"/>
      <c r="C129" s="404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403"/>
      <c r="AA129" s="403"/>
    </row>
    <row r="130" spans="1:27">
      <c r="A130" s="418" t="s">
        <v>364</v>
      </c>
      <c r="B130" s="403">
        <f>B124</f>
        <v>1999</v>
      </c>
      <c r="C130" s="465">
        <f ca="1">SUM(D130:Z130)</f>
        <v>20425.473380035997</v>
      </c>
      <c r="D130" s="427">
        <f t="shared" ref="D130:U130" ca="1" si="24">IF(YEAR(D$8)=$B$130,D$79-D$42-D$52-D$41,0)</f>
        <v>13111.953688293142</v>
      </c>
      <c r="E130" s="427">
        <f t="shared" ca="1" si="24"/>
        <v>7313.5196917428566</v>
      </c>
      <c r="F130" s="427">
        <f t="shared" si="24"/>
        <v>0</v>
      </c>
      <c r="G130" s="427">
        <f t="shared" si="24"/>
        <v>0</v>
      </c>
      <c r="H130" s="427">
        <f t="shared" si="24"/>
        <v>0</v>
      </c>
      <c r="I130" s="427">
        <f t="shared" si="24"/>
        <v>0</v>
      </c>
      <c r="J130" s="427">
        <f t="shared" si="24"/>
        <v>0</v>
      </c>
      <c r="K130" s="427">
        <f t="shared" si="24"/>
        <v>0</v>
      </c>
      <c r="L130" s="427">
        <f t="shared" si="24"/>
        <v>0</v>
      </c>
      <c r="M130" s="427">
        <f t="shared" si="24"/>
        <v>0</v>
      </c>
      <c r="N130" s="427">
        <f t="shared" si="24"/>
        <v>0</v>
      </c>
      <c r="O130" s="427">
        <f t="shared" si="24"/>
        <v>0</v>
      </c>
      <c r="P130" s="427">
        <f t="shared" si="24"/>
        <v>0</v>
      </c>
      <c r="Q130" s="427">
        <f t="shared" si="24"/>
        <v>0</v>
      </c>
      <c r="R130" s="427">
        <f t="shared" si="24"/>
        <v>0</v>
      </c>
      <c r="S130" s="427">
        <f t="shared" si="24"/>
        <v>0</v>
      </c>
      <c r="T130" s="427">
        <f t="shared" si="24"/>
        <v>0</v>
      </c>
      <c r="U130" s="427">
        <f t="shared" si="24"/>
        <v>0</v>
      </c>
      <c r="V130" s="427"/>
      <c r="W130" s="427"/>
      <c r="X130" s="427"/>
      <c r="Y130" s="427"/>
      <c r="Z130" s="427"/>
      <c r="AA130" s="403"/>
    </row>
    <row r="131" spans="1:27">
      <c r="A131" s="403"/>
      <c r="B131" s="403">
        <f>B125</f>
        <v>2000</v>
      </c>
      <c r="C131" s="465">
        <f ca="1">SUM(D131:Z131)</f>
        <v>112274.04764990593</v>
      </c>
      <c r="D131" s="427">
        <f t="shared" ref="D131:U131" si="25">IF(YEAR(D$8)=$B$131,D$79-D$42-D$52-D$41,0)</f>
        <v>0</v>
      </c>
      <c r="E131" s="427">
        <f t="shared" si="25"/>
        <v>0</v>
      </c>
      <c r="F131" s="427">
        <f t="shared" ca="1" si="25"/>
        <v>7313.5196917428566</v>
      </c>
      <c r="G131" s="427">
        <f t="shared" ca="1" si="25"/>
        <v>7313.5196917428566</v>
      </c>
      <c r="H131" s="427">
        <f t="shared" ca="1" si="25"/>
        <v>8630.5196917428566</v>
      </c>
      <c r="I131" s="427">
        <f t="shared" ca="1" si="25"/>
        <v>13560.877020476571</v>
      </c>
      <c r="J131" s="427">
        <f t="shared" ca="1" si="25"/>
        <v>8843.4734397440498</v>
      </c>
      <c r="K131" s="427">
        <f t="shared" ca="1" si="25"/>
        <v>5680.6876626419989</v>
      </c>
      <c r="L131" s="427">
        <f t="shared" ca="1" si="25"/>
        <v>6532.6000256511425</v>
      </c>
      <c r="M131" s="427">
        <f t="shared" ca="1" si="25"/>
        <v>6532.6000256511425</v>
      </c>
      <c r="N131" s="427">
        <f t="shared" ca="1" si="25"/>
        <v>9684.6757687849695</v>
      </c>
      <c r="O131" s="427">
        <f t="shared" ca="1" si="25"/>
        <v>9684.6757687849695</v>
      </c>
      <c r="P131" s="427">
        <f t="shared" ca="1" si="25"/>
        <v>17088.157308168396</v>
      </c>
      <c r="Q131" s="427">
        <f t="shared" ca="1" si="25"/>
        <v>11408.741554774104</v>
      </c>
      <c r="R131" s="427">
        <f t="shared" si="25"/>
        <v>0</v>
      </c>
      <c r="S131" s="427">
        <f t="shared" si="25"/>
        <v>0</v>
      </c>
      <c r="T131" s="427">
        <f t="shared" si="25"/>
        <v>0</v>
      </c>
      <c r="U131" s="427">
        <f t="shared" si="25"/>
        <v>0</v>
      </c>
      <c r="V131" s="427"/>
      <c r="W131" s="427"/>
      <c r="X131" s="427"/>
      <c r="Y131" s="427"/>
      <c r="Z131" s="427"/>
      <c r="AA131" s="403"/>
    </row>
    <row r="132" spans="1:27">
      <c r="A132" s="403"/>
      <c r="B132" s="403">
        <f>B126</f>
        <v>2001</v>
      </c>
      <c r="C132" s="465">
        <f ca="1">SUM(D132:Z132)</f>
        <v>24513.54775994203</v>
      </c>
      <c r="D132" s="437">
        <f t="shared" ref="D132:U132" si="26">IF(YEAR(D$8)=$B$132,D$79-D$42-D$52-D$41,0)</f>
        <v>0</v>
      </c>
      <c r="E132" s="437">
        <f t="shared" si="26"/>
        <v>0</v>
      </c>
      <c r="F132" s="437">
        <f t="shared" si="26"/>
        <v>0</v>
      </c>
      <c r="G132" s="437">
        <f t="shared" si="26"/>
        <v>0</v>
      </c>
      <c r="H132" s="437">
        <f t="shared" si="26"/>
        <v>0</v>
      </c>
      <c r="I132" s="437">
        <f t="shared" si="26"/>
        <v>0</v>
      </c>
      <c r="J132" s="437">
        <f t="shared" si="26"/>
        <v>0</v>
      </c>
      <c r="K132" s="437">
        <f t="shared" si="26"/>
        <v>0</v>
      </c>
      <c r="L132" s="437">
        <f t="shared" si="26"/>
        <v>0</v>
      </c>
      <c r="M132" s="437">
        <f t="shared" si="26"/>
        <v>0</v>
      </c>
      <c r="N132" s="437">
        <f t="shared" si="26"/>
        <v>0</v>
      </c>
      <c r="O132" s="437">
        <f t="shared" si="26"/>
        <v>0</v>
      </c>
      <c r="P132" s="437">
        <f t="shared" si="26"/>
        <v>0</v>
      </c>
      <c r="Q132" s="437">
        <f t="shared" si="26"/>
        <v>0</v>
      </c>
      <c r="R132" s="437">
        <f t="shared" ca="1" si="26"/>
        <v>11408.741554774104</v>
      </c>
      <c r="S132" s="437">
        <f t="shared" ca="1" si="26"/>
        <v>13104.806205167926</v>
      </c>
      <c r="T132" s="437">
        <f t="shared" ca="1" si="26"/>
        <v>0</v>
      </c>
      <c r="U132" s="437">
        <f t="shared" ca="1" si="26"/>
        <v>0</v>
      </c>
      <c r="V132" s="437"/>
      <c r="W132" s="437"/>
      <c r="X132" s="437"/>
      <c r="Y132" s="437"/>
      <c r="Z132" s="437"/>
      <c r="AA132" s="403"/>
    </row>
    <row r="133" spans="1:27">
      <c r="A133" s="403"/>
      <c r="B133" s="403"/>
      <c r="C133" s="465">
        <f t="shared" ref="C133:Y133" ca="1" si="27">SUM(C130:C132)</f>
        <v>157213.06878988395</v>
      </c>
      <c r="D133" s="427">
        <f t="shared" ca="1" si="27"/>
        <v>13111.953688293142</v>
      </c>
      <c r="E133" s="427">
        <f t="shared" ca="1" si="27"/>
        <v>7313.5196917428566</v>
      </c>
      <c r="F133" s="427">
        <f t="shared" ca="1" si="27"/>
        <v>7313.5196917428566</v>
      </c>
      <c r="G133" s="427">
        <f t="shared" ca="1" si="27"/>
        <v>7313.5196917428566</v>
      </c>
      <c r="H133" s="427">
        <f t="shared" ca="1" si="27"/>
        <v>8630.5196917428566</v>
      </c>
      <c r="I133" s="427">
        <f t="shared" ca="1" si="27"/>
        <v>13560.877020476571</v>
      </c>
      <c r="J133" s="427">
        <f t="shared" ca="1" si="27"/>
        <v>8843.4734397440498</v>
      </c>
      <c r="K133" s="427">
        <f t="shared" ca="1" si="27"/>
        <v>5680.6876626419989</v>
      </c>
      <c r="L133" s="427">
        <f t="shared" ca="1" si="27"/>
        <v>6532.6000256511425</v>
      </c>
      <c r="M133" s="427">
        <f t="shared" ca="1" si="27"/>
        <v>6532.6000256511425</v>
      </c>
      <c r="N133" s="427">
        <f t="shared" ca="1" si="27"/>
        <v>9684.6757687849695</v>
      </c>
      <c r="O133" s="427">
        <f t="shared" ca="1" si="27"/>
        <v>9684.6757687849695</v>
      </c>
      <c r="P133" s="427">
        <f t="shared" ca="1" si="27"/>
        <v>17088.157308168396</v>
      </c>
      <c r="Q133" s="427">
        <f t="shared" ca="1" si="27"/>
        <v>11408.741554774104</v>
      </c>
      <c r="R133" s="427">
        <f t="shared" ca="1" si="27"/>
        <v>11408.741554774104</v>
      </c>
      <c r="S133" s="427">
        <f t="shared" ca="1" si="27"/>
        <v>13104.806205167926</v>
      </c>
      <c r="T133" s="427">
        <f t="shared" ca="1" si="27"/>
        <v>0</v>
      </c>
      <c r="U133" s="427">
        <f t="shared" ca="1" si="27"/>
        <v>0</v>
      </c>
      <c r="V133" s="427">
        <f t="shared" si="27"/>
        <v>0</v>
      </c>
      <c r="W133" s="427">
        <f t="shared" si="27"/>
        <v>0</v>
      </c>
      <c r="X133" s="427">
        <f t="shared" si="27"/>
        <v>0</v>
      </c>
      <c r="Y133" s="427">
        <f t="shared" si="27"/>
        <v>0</v>
      </c>
      <c r="Z133" s="427"/>
      <c r="AA133" s="40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2" manualBreakCount="2">
    <brk id="56" max="19" man="1"/>
    <brk id="82" max="19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53"/>
  <sheetViews>
    <sheetView showOutlineSymbols="0" view="pageBreakPreview" topLeftCell="A17" zoomScale="60" zoomScaleNormal="75" workbookViewId="0">
      <selection activeCell="C51" sqref="C51"/>
    </sheetView>
  </sheetViews>
  <sheetFormatPr defaultColWidth="9.81640625" defaultRowHeight="15.6"/>
  <cols>
    <col min="1" max="1" width="20.81640625" style="338" customWidth="1"/>
    <col min="2" max="16384" width="9.81640625" style="338"/>
  </cols>
  <sheetData>
    <row r="1" spans="1:24" ht="22.2">
      <c r="A1" s="336" t="s">
        <v>0</v>
      </c>
      <c r="B1" s="337"/>
      <c r="C1" s="337"/>
      <c r="D1" s="337"/>
    </row>
    <row r="2" spans="1:24">
      <c r="A2" s="339" t="s">
        <v>408</v>
      </c>
      <c r="B2" s="340"/>
      <c r="C2" s="341"/>
      <c r="D2" s="337"/>
    </row>
    <row r="3" spans="1:24" ht="12.75" customHeight="1">
      <c r="A3" s="342">
        <v>0</v>
      </c>
      <c r="B3" s="342"/>
      <c r="C3" s="343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  <c r="X3" s="342"/>
    </row>
    <row r="4" spans="1:24">
      <c r="A4" s="337"/>
      <c r="B4" s="337"/>
      <c r="C4" s="344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</row>
    <row r="5" spans="1:24">
      <c r="A5" s="337" t="s">
        <v>50</v>
      </c>
      <c r="C5" s="575">
        <f ca="1">'144A DEBT'!C5</f>
        <v>2000</v>
      </c>
      <c r="D5" s="575">
        <f ca="1">'144A DEBT'!D5</f>
        <v>2001</v>
      </c>
      <c r="E5" s="575">
        <f ca="1">'144A DEBT'!E5</f>
        <v>2002</v>
      </c>
      <c r="F5" s="575">
        <f ca="1">'144A DEBT'!F5</f>
        <v>2003</v>
      </c>
      <c r="G5" s="575">
        <f ca="1">'144A DEBT'!G5</f>
        <v>2004</v>
      </c>
      <c r="H5" s="575">
        <f ca="1">'144A DEBT'!H5</f>
        <v>2005</v>
      </c>
      <c r="I5" s="575">
        <f ca="1">'144A DEBT'!I5</f>
        <v>2006</v>
      </c>
      <c r="J5" s="575">
        <f ca="1">'144A DEBT'!J5</f>
        <v>2007</v>
      </c>
      <c r="K5" s="575">
        <f ca="1">'144A DEBT'!K5</f>
        <v>2008</v>
      </c>
      <c r="L5" s="575">
        <f ca="1">'144A DEBT'!L5</f>
        <v>2009</v>
      </c>
      <c r="M5" s="575">
        <f ca="1">'144A DEBT'!M5</f>
        <v>2010</v>
      </c>
      <c r="N5" s="575">
        <f ca="1">'144A DEBT'!N5</f>
        <v>2011</v>
      </c>
      <c r="O5" s="575">
        <f ca="1">'144A DEBT'!O5</f>
        <v>2012</v>
      </c>
      <c r="P5" s="575">
        <f ca="1">'144A DEBT'!P5</f>
        <v>2013</v>
      </c>
      <c r="Q5" s="575">
        <f ca="1">'144A DEBT'!Q5</f>
        <v>2014</v>
      </c>
      <c r="R5" s="575">
        <f ca="1">'144A DEBT'!R5</f>
        <v>2015</v>
      </c>
      <c r="S5" s="575">
        <f ca="1">'144A DEBT'!S5</f>
        <v>2016</v>
      </c>
      <c r="T5" s="575">
        <f ca="1">'144A DEBT'!T5</f>
        <v>2017</v>
      </c>
      <c r="U5" s="575">
        <f ca="1">'144A DEBT'!U5</f>
        <v>2018</v>
      </c>
      <c r="V5" s="575">
        <f ca="1">'144A DEBT'!V5</f>
        <v>2019</v>
      </c>
      <c r="W5" s="575">
        <f ca="1">'144A DEBT'!W5</f>
        <v>0</v>
      </c>
      <c r="X5" s="575">
        <f ca="1">'144A DEBT'!X5</f>
        <v>0</v>
      </c>
    </row>
    <row r="6" spans="1:24">
      <c r="A6" s="337" t="s">
        <v>392</v>
      </c>
      <c r="C6" s="575">
        <f ca="1">'144A DEBT'!C6</f>
        <v>1</v>
      </c>
      <c r="D6" s="575">
        <f ca="1">'144A DEBT'!D6</f>
        <v>2</v>
      </c>
      <c r="E6" s="575">
        <f ca="1">'144A DEBT'!E6</f>
        <v>3</v>
      </c>
      <c r="F6" s="575">
        <f ca="1">'144A DEBT'!F6</f>
        <v>4</v>
      </c>
      <c r="G6" s="575">
        <f ca="1">'144A DEBT'!G6</f>
        <v>5</v>
      </c>
      <c r="H6" s="575">
        <f ca="1">'144A DEBT'!H6</f>
        <v>6</v>
      </c>
      <c r="I6" s="575">
        <f ca="1">'144A DEBT'!I6</f>
        <v>7</v>
      </c>
      <c r="J6" s="575">
        <f ca="1">'144A DEBT'!J6</f>
        <v>8</v>
      </c>
      <c r="K6" s="575">
        <f ca="1">'144A DEBT'!K6</f>
        <v>9</v>
      </c>
      <c r="L6" s="575">
        <f ca="1">'144A DEBT'!L6</f>
        <v>10</v>
      </c>
      <c r="M6" s="575">
        <f ca="1">'144A DEBT'!M6</f>
        <v>11</v>
      </c>
      <c r="N6" s="575">
        <f ca="1">'144A DEBT'!N6</f>
        <v>12</v>
      </c>
      <c r="O6" s="575">
        <f ca="1">'144A DEBT'!O6</f>
        <v>13</v>
      </c>
      <c r="P6" s="575">
        <f ca="1">'144A DEBT'!P6</f>
        <v>14</v>
      </c>
      <c r="Q6" s="575">
        <f ca="1">'144A DEBT'!Q6</f>
        <v>15</v>
      </c>
      <c r="R6" s="575">
        <f ca="1">'144A DEBT'!R6</f>
        <v>16</v>
      </c>
      <c r="S6" s="575">
        <f ca="1">'144A DEBT'!S6</f>
        <v>17</v>
      </c>
      <c r="T6" s="575">
        <f ca="1">'144A DEBT'!T6</f>
        <v>18</v>
      </c>
      <c r="U6" s="575">
        <f ca="1">'144A DEBT'!U6</f>
        <v>19</v>
      </c>
      <c r="V6" s="575">
        <f ca="1">'144A DEBT'!V6</f>
        <v>20</v>
      </c>
      <c r="W6" s="575">
        <f ca="1">'144A DEBT'!W6</f>
        <v>0</v>
      </c>
      <c r="X6" s="575">
        <f ca="1">'144A DEBT'!X6</f>
        <v>0</v>
      </c>
    </row>
    <row r="7" spans="1:24">
      <c r="A7" s="337" t="s">
        <v>409</v>
      </c>
      <c r="C7" s="576">
        <f ca="1">'144A DEBT'!C7</f>
        <v>7</v>
      </c>
      <c r="D7" s="576">
        <f ca="1">'144A DEBT'!D7</f>
        <v>12</v>
      </c>
      <c r="E7" s="576">
        <f ca="1">'144A DEBT'!E7</f>
        <v>12</v>
      </c>
      <c r="F7" s="576">
        <f ca="1">'144A DEBT'!F7</f>
        <v>12</v>
      </c>
      <c r="G7" s="576">
        <f ca="1">'144A DEBT'!G7</f>
        <v>12</v>
      </c>
      <c r="H7" s="576">
        <f ca="1">'144A DEBT'!H7</f>
        <v>12</v>
      </c>
      <c r="I7" s="576">
        <f ca="1">'144A DEBT'!I7</f>
        <v>12</v>
      </c>
      <c r="J7" s="576">
        <f ca="1">'144A DEBT'!J7</f>
        <v>12</v>
      </c>
      <c r="K7" s="576">
        <f ca="1">'144A DEBT'!K7</f>
        <v>12</v>
      </c>
      <c r="L7" s="576">
        <f ca="1">'144A DEBT'!L7</f>
        <v>12</v>
      </c>
      <c r="M7" s="576">
        <f ca="1">'144A DEBT'!M7</f>
        <v>12</v>
      </c>
      <c r="N7" s="576">
        <f ca="1">'144A DEBT'!N7</f>
        <v>12</v>
      </c>
      <c r="O7" s="576">
        <f ca="1">'144A DEBT'!O7</f>
        <v>12</v>
      </c>
      <c r="P7" s="576">
        <f ca="1">'144A DEBT'!P7</f>
        <v>12</v>
      </c>
      <c r="Q7" s="576">
        <f ca="1">'144A DEBT'!Q7</f>
        <v>12</v>
      </c>
      <c r="R7" s="576">
        <f ca="1">'144A DEBT'!R7</f>
        <v>12</v>
      </c>
      <c r="S7" s="576">
        <f ca="1">'144A DEBT'!S7</f>
        <v>12</v>
      </c>
      <c r="T7" s="576">
        <f ca="1">'144A DEBT'!T7</f>
        <v>12</v>
      </c>
      <c r="U7" s="576">
        <f ca="1">'144A DEBT'!U7</f>
        <v>12</v>
      </c>
      <c r="V7" s="576">
        <f ca="1">'144A DEBT'!V7</f>
        <v>12</v>
      </c>
      <c r="W7" s="576">
        <f ca="1">'144A DEBT'!W7</f>
        <v>0</v>
      </c>
      <c r="X7" s="576">
        <f ca="1">'144A DEBT'!X7</f>
        <v>0</v>
      </c>
    </row>
    <row r="8" spans="1:24">
      <c r="A8" s="337"/>
      <c r="B8" s="337"/>
      <c r="C8" s="337"/>
      <c r="D8" s="337"/>
    </row>
    <row r="9" spans="1:24">
      <c r="A9" s="339" t="s">
        <v>393</v>
      </c>
      <c r="B9" s="346"/>
      <c r="C9" s="347"/>
      <c r="D9" s="347"/>
      <c r="E9" s="348"/>
    </row>
    <row r="10" spans="1:24">
      <c r="A10" s="349" t="s">
        <v>30</v>
      </c>
      <c r="B10" s="345" t="s">
        <v>411</v>
      </c>
      <c r="C10" s="337">
        <f ca="1">ROUND(B11-SUM(C35:S35),0)</f>
        <v>0</v>
      </c>
      <c r="D10" s="350" t="s">
        <v>330</v>
      </c>
      <c r="E10" s="348"/>
    </row>
    <row r="11" spans="1:24">
      <c r="A11" s="349" t="s">
        <v>394</v>
      </c>
      <c r="B11" s="351">
        <f>'ASSUM 1'!$S$29*1000</f>
        <v>90000</v>
      </c>
      <c r="C11" s="337" t="s">
        <v>395</v>
      </c>
      <c r="D11" s="337"/>
      <c r="E11" s="348"/>
    </row>
    <row r="12" spans="1:24">
      <c r="A12" s="349" t="s">
        <v>396</v>
      </c>
      <c r="B12" s="352">
        <f>'ASSUM 1'!S42</f>
        <v>0.08</v>
      </c>
      <c r="C12" s="337" t="s">
        <v>76</v>
      </c>
      <c r="D12" s="337"/>
      <c r="E12" s="348"/>
    </row>
    <row r="13" spans="1:24">
      <c r="A13" s="349" t="s">
        <v>397</v>
      </c>
      <c r="B13" s="337">
        <f>+'ASSUM 1'!S32</f>
        <v>15</v>
      </c>
      <c r="C13" s="337" t="s">
        <v>398</v>
      </c>
      <c r="D13" s="337"/>
      <c r="E13" s="348"/>
    </row>
    <row r="14" spans="1:24">
      <c r="A14" s="349" t="s">
        <v>399</v>
      </c>
      <c r="B14" s="337" t="str">
        <f>IF('ASSUM 1'!N26=1,"Custom",IF('ASSUM 1'!S33=0,"Mortgage","Levelized"))</f>
        <v>Custom</v>
      </c>
      <c r="C14" s="337"/>
      <c r="D14" s="337"/>
      <c r="E14" s="348"/>
    </row>
    <row r="15" spans="1:24">
      <c r="A15" s="349" t="s">
        <v>400</v>
      </c>
      <c r="B15" s="353">
        <f>'ASSUM 1'!S35</f>
        <v>0</v>
      </c>
      <c r="C15" s="337" t="s">
        <v>401</v>
      </c>
      <c r="D15" s="337"/>
      <c r="E15" s="348"/>
    </row>
    <row r="16" spans="1:24">
      <c r="A16" s="347"/>
      <c r="B16" s="354"/>
      <c r="C16" s="347"/>
      <c r="D16" s="347"/>
    </row>
    <row r="17" spans="1:20">
      <c r="A17" s="355" t="s">
        <v>26</v>
      </c>
      <c r="B17" s="356"/>
      <c r="C17" s="357"/>
      <c r="D17" s="357"/>
      <c r="E17" s="356"/>
      <c r="F17" s="356"/>
      <c r="G17" s="356"/>
      <c r="H17" s="356"/>
      <c r="I17" s="356"/>
      <c r="J17" s="356"/>
      <c r="K17" s="356"/>
      <c r="L17" s="356"/>
      <c r="M17" s="356"/>
      <c r="N17" s="356"/>
      <c r="O17" s="356"/>
      <c r="P17" s="356"/>
      <c r="Q17" s="356"/>
      <c r="R17" s="356"/>
      <c r="S17" s="356"/>
      <c r="T17" s="358"/>
    </row>
    <row r="18" spans="1:20">
      <c r="A18" s="359"/>
      <c r="C18" s="351"/>
      <c r="D18" s="351"/>
      <c r="T18" s="358"/>
    </row>
    <row r="19" spans="1:20">
      <c r="A19" s="359" t="s">
        <v>407</v>
      </c>
      <c r="C19" s="360">
        <f t="shared" ref="C19:S19" ca="1" si="0">IF(C$7&lt;12,0,B26+1)</f>
        <v>0</v>
      </c>
      <c r="D19" s="337">
        <f t="shared" ca="1" si="0"/>
        <v>1</v>
      </c>
      <c r="E19" s="337">
        <f t="shared" ca="1" si="0"/>
        <v>3</v>
      </c>
      <c r="F19" s="337">
        <f t="shared" ca="1" si="0"/>
        <v>5</v>
      </c>
      <c r="G19" s="337">
        <f t="shared" ca="1" si="0"/>
        <v>7</v>
      </c>
      <c r="H19" s="337">
        <f t="shared" ca="1" si="0"/>
        <v>9</v>
      </c>
      <c r="I19" s="337">
        <f t="shared" ca="1" si="0"/>
        <v>11</v>
      </c>
      <c r="J19" s="337">
        <f t="shared" ca="1" si="0"/>
        <v>13</v>
      </c>
      <c r="K19" s="337">
        <f t="shared" ca="1" si="0"/>
        <v>15</v>
      </c>
      <c r="L19" s="337">
        <f t="shared" ca="1" si="0"/>
        <v>17</v>
      </c>
      <c r="M19" s="337">
        <f t="shared" ca="1" si="0"/>
        <v>19</v>
      </c>
      <c r="N19" s="337">
        <f t="shared" ca="1" si="0"/>
        <v>21</v>
      </c>
      <c r="O19" s="337">
        <f t="shared" ca="1" si="0"/>
        <v>23</v>
      </c>
      <c r="P19" s="337">
        <f t="shared" ca="1" si="0"/>
        <v>25</v>
      </c>
      <c r="Q19" s="337">
        <f t="shared" ca="1" si="0"/>
        <v>27</v>
      </c>
      <c r="R19" s="337">
        <f t="shared" ca="1" si="0"/>
        <v>29</v>
      </c>
      <c r="S19" s="337">
        <f t="shared" ca="1" si="0"/>
        <v>31</v>
      </c>
      <c r="T19" s="358"/>
    </row>
    <row r="20" spans="1:20">
      <c r="A20" s="359" t="s">
        <v>20</v>
      </c>
      <c r="C20" s="351">
        <f>B11</f>
        <v>90000</v>
      </c>
      <c r="D20" s="351">
        <f t="shared" ref="D20:S20" ca="1" si="1">C31</f>
        <v>90000</v>
      </c>
      <c r="E20" s="351">
        <f t="shared" ca="1" si="1"/>
        <v>86940</v>
      </c>
      <c r="F20" s="351">
        <f t="shared" ca="1" si="1"/>
        <v>84150</v>
      </c>
      <c r="G20" s="351">
        <f t="shared" ca="1" si="1"/>
        <v>80505</v>
      </c>
      <c r="H20" s="351">
        <f t="shared" ca="1" si="1"/>
        <v>76266</v>
      </c>
      <c r="I20" s="351">
        <f t="shared" ca="1" si="1"/>
        <v>75456</v>
      </c>
      <c r="J20" s="351">
        <f t="shared" ca="1" si="1"/>
        <v>71451</v>
      </c>
      <c r="K20" s="351">
        <f t="shared" ca="1" si="1"/>
        <v>63486</v>
      </c>
      <c r="L20" s="351">
        <f t="shared" ca="1" si="1"/>
        <v>54441</v>
      </c>
      <c r="M20" s="351">
        <f t="shared" ca="1" si="1"/>
        <v>45891</v>
      </c>
      <c r="N20" s="351">
        <f t="shared" ca="1" si="1"/>
        <v>37341</v>
      </c>
      <c r="O20" s="351">
        <f t="shared" ca="1" si="1"/>
        <v>29241</v>
      </c>
      <c r="P20" s="351">
        <f t="shared" ca="1" si="1"/>
        <v>21141</v>
      </c>
      <c r="Q20" s="351">
        <f t="shared" ca="1" si="1"/>
        <v>13491</v>
      </c>
      <c r="R20" s="351">
        <f t="shared" ca="1" si="1"/>
        <v>6291</v>
      </c>
      <c r="S20" s="351">
        <f t="shared" ca="1" si="1"/>
        <v>-1.6370904631912708E-11</v>
      </c>
      <c r="T20" s="358"/>
    </row>
    <row r="21" spans="1:20">
      <c r="A21" s="359" t="s">
        <v>402</v>
      </c>
      <c r="C21" s="351">
        <f ca="1">IF(C19&gt;=1,VLOOKUP(C5,'ASSUM 1'!$K$7:$N$23,4)*$C$20/2,0)</f>
        <v>0</v>
      </c>
      <c r="D21" s="351">
        <f ca="1">IF(D19&gt;=1,VLOOKUP(D5,'ASSUM 1'!$K$7:$N$23,4)*$C$20/2,0)</f>
        <v>1530</v>
      </c>
      <c r="E21" s="351">
        <f ca="1">IF(E19&gt;=1,VLOOKUP(E5,'ASSUM 1'!$K$7:$N$23,4)*$C$20/2,0)</f>
        <v>1395</v>
      </c>
      <c r="F21" s="351">
        <f ca="1">IF(F19&gt;=1,VLOOKUP(F5,'ASSUM 1'!$K$7:$N$23,4)*$C$20/2,0)</f>
        <v>1822.5</v>
      </c>
      <c r="G21" s="351">
        <f ca="1">IF(G19&gt;=1,VLOOKUP(G5,'ASSUM 1'!$K$7:$N$23,4)*$C$20/2,0)</f>
        <v>2119.5</v>
      </c>
      <c r="H21" s="351">
        <f ca="1">IF(H19&gt;=1,VLOOKUP(H5,'ASSUM 1'!$K$7:$N$23,4)*$C$20/2,0)</f>
        <v>404.99999999999994</v>
      </c>
      <c r="I21" s="351">
        <f ca="1">IF(I19&gt;=1,VLOOKUP(I5,'ASSUM 1'!$K$7:$N$23,4)*$C$20/2,0)</f>
        <v>2002.5</v>
      </c>
      <c r="J21" s="351">
        <f ca="1">IF(J19&gt;=1,VLOOKUP(J5,'ASSUM 1'!$K$7:$N$23,4)*$C$20/2,0)</f>
        <v>3982.5</v>
      </c>
      <c r="K21" s="351">
        <f ca="1">IF(K19&gt;=1,VLOOKUP(K5,'ASSUM 1'!$K$7:$N$23,4)*$C$20/2,0)</f>
        <v>4522.5</v>
      </c>
      <c r="L21" s="351">
        <f ca="1">IF(L19&gt;=1,VLOOKUP(L5,'ASSUM 1'!$K$7:$N$23,4)*$C$20/2,0)</f>
        <v>4275</v>
      </c>
      <c r="M21" s="351">
        <f ca="1">IF(M19&gt;=1,VLOOKUP(M5,'ASSUM 1'!$K$7:$N$23,4)*$C$20/2,0)</f>
        <v>4275</v>
      </c>
      <c r="N21" s="351">
        <f ca="1">IF(N19&gt;=1,VLOOKUP(N5,'ASSUM 1'!$K$7:$N$23,4)*$C$20/2,0)</f>
        <v>4050</v>
      </c>
      <c r="O21" s="351">
        <f ca="1">IF(O19&gt;=1,VLOOKUP(O5,'ASSUM 1'!$K$7:$N$23,4)*$C$20/2,0)</f>
        <v>4050</v>
      </c>
      <c r="P21" s="351">
        <f ca="1">IF(P19&gt;=1,VLOOKUP(P5,'ASSUM 1'!$K$7:$N$23,4)*$C$20/2,0)</f>
        <v>3825.0000000000005</v>
      </c>
      <c r="Q21" s="351">
        <f ca="1">IF(Q19&gt;=1,VLOOKUP(Q5,'ASSUM 1'!$K$7:$N$23,4)*$C$20/2,0)</f>
        <v>3600</v>
      </c>
      <c r="R21" s="351">
        <f ca="1">IF(R19&gt;=1,VLOOKUP(R5,'ASSUM 1'!$K$7:$N$23,4)*$C$20/2,0)</f>
        <v>3145.5000000000082</v>
      </c>
      <c r="S21" s="351">
        <f ca="1">IF(S19&gt;=1,VLOOKUP(S5,'ASSUM 1'!$K$7:$N$23,4)*$C$20/2,0)</f>
        <v>0</v>
      </c>
      <c r="T21" s="358"/>
    </row>
    <row r="22" spans="1:20">
      <c r="A22" s="359" t="s">
        <v>403</v>
      </c>
      <c r="C22" s="351">
        <f ca="1">IF(OR(C7&lt;12,C19=0),0,+C20*'144A DEBT'!S42/2)</f>
        <v>0</v>
      </c>
      <c r="D22" s="351">
        <f ca="1">IF(OR(D7&lt;12,D19=0),0,+D20*'ASSUM 1'!$S$42/2)</f>
        <v>3600</v>
      </c>
      <c r="E22" s="351">
        <f ca="1">IF(OR(E7&lt;12,E19=0),0,+E20*'ASSUM 1'!$S$42/2)</f>
        <v>3477.6</v>
      </c>
      <c r="F22" s="351">
        <f ca="1">IF(OR(F7&lt;12,F19=0),0,+F20*'ASSUM 1'!$S$42/2)</f>
        <v>3366</v>
      </c>
      <c r="G22" s="351">
        <f ca="1">IF(OR(G7&lt;12,G19=0),0,+G20*'ASSUM 1'!$S$42/2)</f>
        <v>3220.2000000000003</v>
      </c>
      <c r="H22" s="351">
        <f ca="1">IF(OR(H7&lt;12,H19=0),0,+H20*'ASSUM 1'!$S$42/2)</f>
        <v>3050.64</v>
      </c>
      <c r="I22" s="351">
        <f ca="1">IF(OR(I7&lt;12,I19=0),0,+I20*'ASSUM 1'!$S$42/2)</f>
        <v>3018.2400000000002</v>
      </c>
      <c r="J22" s="351">
        <f ca="1">IF(OR(J7&lt;12,J19=0),0,+J20*'ASSUM 1'!$S$42/2)</f>
        <v>2858.04</v>
      </c>
      <c r="K22" s="351">
        <f ca="1">IF(OR(K7&lt;12,K19=0),0,+K20*'ASSUM 1'!$S$42/2)</f>
        <v>2539.44</v>
      </c>
      <c r="L22" s="351">
        <f ca="1">IF(OR(L7&lt;12,L19=0),0,+L20*'ASSUM 1'!$S$42/2)</f>
        <v>2177.64</v>
      </c>
      <c r="M22" s="351">
        <f ca="1">IF(OR(M7&lt;12,M19=0),0,+M20*'ASSUM 1'!$S$42/2)</f>
        <v>1835.64</v>
      </c>
      <c r="N22" s="351">
        <f ca="1">IF(OR(N7&lt;12,N19=0),0,+N20*'ASSUM 1'!$S$42/2)</f>
        <v>1493.64</v>
      </c>
      <c r="O22" s="351">
        <f ca="1">IF(OR(O7&lt;12,O19=0),0,+O20*'ASSUM 1'!$S$42/2)</f>
        <v>1169.6400000000001</v>
      </c>
      <c r="P22" s="351">
        <f ca="1">IF(OR(P7&lt;12,P19=0),0,+P20*'ASSUM 1'!$S$42/2)</f>
        <v>845.64</v>
      </c>
      <c r="Q22" s="351">
        <f ca="1">IF(OR(Q7&lt;12,Q19=0),0,+Q20*'ASSUM 1'!$S$42/2)</f>
        <v>539.64</v>
      </c>
      <c r="R22" s="351">
        <f ca="1">IF(OR(R7&lt;12,R19=0),0,+R20*'ASSUM 1'!$S$42/2)</f>
        <v>251.64000000000001</v>
      </c>
      <c r="S22" s="351">
        <f ca="1">IF(OR(S7&lt;12,S19=0),0,+S20*'ASSUM 1'!$S$42/2)</f>
        <v>-6.5483618527650831E-13</v>
      </c>
      <c r="T22" s="358"/>
    </row>
    <row r="23" spans="1:20">
      <c r="A23" s="359" t="s">
        <v>404</v>
      </c>
      <c r="C23" s="351">
        <f ca="1">IF(C7&lt;12,0,IF(C20&gt;1,PMT('ASSUM 1'!S42/2,'144A DEBT'!S32*IF('ASSUM 1'!S34="semi",2,1),-(($C$20))),0))</f>
        <v>0</v>
      </c>
      <c r="D23" s="351">
        <f ca="1">IF(D7&lt;12,0,IF(D20&gt;1,PMT('ASSUM 1'!$S$42/2,'ASSUM 1'!$S$32*IF('ASSUM 1'!$S$34="semi",2,1),-(($C$20))),0))</f>
        <v>5204.7089220295165</v>
      </c>
      <c r="E23" s="351">
        <f ca="1">IF(E7&lt;12,0,IF(E20&gt;1,PMT('ASSUM 1'!$S$42/2,'ASSUM 1'!$S$32*IF('ASSUM 1'!$S$34="semi",2,1),-(($C$20))),0))</f>
        <v>5204.7089220295165</v>
      </c>
      <c r="F23" s="351">
        <f ca="1">IF(F7&lt;12,0,IF(F20&gt;1,PMT('ASSUM 1'!$S$42/2,'ASSUM 1'!$S$32*IF('ASSUM 1'!$S$34="semi",2,1),-(($C$20))),0))</f>
        <v>5204.7089220295165</v>
      </c>
      <c r="G23" s="351">
        <f ca="1">IF(G7&lt;12,0,IF(G20&gt;1,PMT('ASSUM 1'!$S$42/2,'ASSUM 1'!$S$32*IF('ASSUM 1'!$S$34="semi",2,1),-(($C$20))),0))</f>
        <v>5204.7089220295165</v>
      </c>
      <c r="H23" s="351">
        <f ca="1">IF(H7&lt;12,0,IF(H20&gt;1,PMT('ASSUM 1'!$S$42/2,'ASSUM 1'!$S$32*IF('ASSUM 1'!$S$34="semi",2,1),-(($C$20))),0))</f>
        <v>5204.7089220295165</v>
      </c>
      <c r="I23" s="351">
        <f ca="1">IF(I7&lt;12,0,IF(I20&gt;1,PMT('ASSUM 1'!$S$42/2,'ASSUM 1'!$S$32*IF('ASSUM 1'!$S$34="semi",2,1),-(($C$20))),0))</f>
        <v>5204.7089220295165</v>
      </c>
      <c r="J23" s="351">
        <f ca="1">IF(J7&lt;12,0,IF(J20&gt;1,PMT('ASSUM 1'!$S$42/2,'ASSUM 1'!$S$32*IF('ASSUM 1'!$S$34="semi",2,1),-(($C$20))),0))</f>
        <v>5204.7089220295165</v>
      </c>
      <c r="K23" s="351">
        <f ca="1">IF(K7&lt;12,0,IF(K20&gt;1,PMT('ASSUM 1'!$S$42/2,'ASSUM 1'!$S$32*IF('ASSUM 1'!$S$34="semi",2,1),-(($C$20))),0))</f>
        <v>5204.7089220295165</v>
      </c>
      <c r="L23" s="351">
        <f ca="1">IF(L7&lt;12,0,IF(L20&gt;1,PMT('ASSUM 1'!$S$42/2,'ASSUM 1'!$S$32*IF('ASSUM 1'!$S$34="semi",2,1),-(($C$20))),0))</f>
        <v>5204.7089220295165</v>
      </c>
      <c r="M23" s="351">
        <f ca="1">IF(M7&lt;12,0,IF(M20&gt;1,PMT('ASSUM 1'!$S$42/2,'ASSUM 1'!$S$32*IF('ASSUM 1'!$S$34="semi",2,1),-(($C$20))),0))</f>
        <v>5204.7089220295165</v>
      </c>
      <c r="N23" s="351">
        <f ca="1">IF(N7&lt;12,0,IF(N20&gt;1,PMT('ASSUM 1'!$S$42/2,'ASSUM 1'!$S$32*IF('ASSUM 1'!$S$34="semi",2,1),-(($C$20))),0))</f>
        <v>5204.7089220295165</v>
      </c>
      <c r="O23" s="351">
        <f ca="1">IF(O7&lt;12,0,IF(O20&gt;1,PMT('ASSUM 1'!$S$42/2,'ASSUM 1'!$S$32*IF('ASSUM 1'!$S$34="semi",2,1),-(($C$20))),0))</f>
        <v>5204.7089220295165</v>
      </c>
      <c r="P23" s="351">
        <f ca="1">IF(P7&lt;12,0,IF(P20&gt;1,PMT('ASSUM 1'!$S$42/2,'ASSUM 1'!$S$32*IF('ASSUM 1'!$S$34="semi",2,1),-(($C$20))),0))</f>
        <v>5204.7089220295165</v>
      </c>
      <c r="Q23" s="351">
        <f ca="1">IF(Q7&lt;12,0,IF(Q20&gt;1,PMT('ASSUM 1'!$S$42/2,'ASSUM 1'!$S$32*IF('ASSUM 1'!$S$34="semi",2,1),-(($C$20))),0))</f>
        <v>5204.7089220295165</v>
      </c>
      <c r="R23" s="351">
        <f ca="1">IF(R7&lt;12,0,IF(R20&gt;1,PMT('ASSUM 1'!$S$42/2,'ASSUM 1'!$S$32*IF('ASSUM 1'!$S$34="semi",2,1),-(($C$20))),0))</f>
        <v>5204.7089220295165</v>
      </c>
      <c r="S23" s="351">
        <f ca="1">IF(S7&lt;12,0,IF(S20&gt;1,PMT('ASSUM 1'!$S$42/2,'ASSUM 1'!$S$32*IF('ASSUM 1'!$S$34="semi",2,1),-(($C$20))),0))</f>
        <v>0</v>
      </c>
      <c r="T23" s="358"/>
    </row>
    <row r="24" spans="1:20">
      <c r="A24" s="359" t="s">
        <v>268</v>
      </c>
      <c r="C24" s="351">
        <f t="shared" ref="C24:S24" ca="1" si="2">C20-C21</f>
        <v>90000</v>
      </c>
      <c r="D24" s="351">
        <f t="shared" ca="1" si="2"/>
        <v>88470</v>
      </c>
      <c r="E24" s="351">
        <f t="shared" ca="1" si="2"/>
        <v>85545</v>
      </c>
      <c r="F24" s="351">
        <f t="shared" ca="1" si="2"/>
        <v>82327.5</v>
      </c>
      <c r="G24" s="351">
        <f t="shared" ca="1" si="2"/>
        <v>78385.5</v>
      </c>
      <c r="H24" s="351">
        <f t="shared" ca="1" si="2"/>
        <v>75861</v>
      </c>
      <c r="I24" s="351">
        <f t="shared" ca="1" si="2"/>
        <v>73453.5</v>
      </c>
      <c r="J24" s="351">
        <f t="shared" ca="1" si="2"/>
        <v>67468.5</v>
      </c>
      <c r="K24" s="351">
        <f t="shared" ca="1" si="2"/>
        <v>58963.5</v>
      </c>
      <c r="L24" s="351">
        <f t="shared" ca="1" si="2"/>
        <v>50166</v>
      </c>
      <c r="M24" s="351">
        <f t="shared" ca="1" si="2"/>
        <v>41616</v>
      </c>
      <c r="N24" s="351">
        <f t="shared" ca="1" si="2"/>
        <v>33291</v>
      </c>
      <c r="O24" s="351">
        <f t="shared" ca="1" si="2"/>
        <v>25191</v>
      </c>
      <c r="P24" s="351">
        <f t="shared" ca="1" si="2"/>
        <v>17316</v>
      </c>
      <c r="Q24" s="351">
        <f t="shared" ca="1" si="2"/>
        <v>9891</v>
      </c>
      <c r="R24" s="351">
        <f t="shared" ca="1" si="2"/>
        <v>3145.4999999999918</v>
      </c>
      <c r="S24" s="351">
        <f t="shared" ca="1" si="2"/>
        <v>-1.6370904631912708E-11</v>
      </c>
      <c r="T24" s="358"/>
    </row>
    <row r="25" spans="1:20">
      <c r="A25" s="359"/>
      <c r="C25" s="351"/>
      <c r="D25" s="351"/>
      <c r="T25" s="358"/>
    </row>
    <row r="26" spans="1:20">
      <c r="A26" s="359" t="s">
        <v>407</v>
      </c>
      <c r="C26" s="361">
        <v>0</v>
      </c>
      <c r="D26" s="337">
        <f ca="1">+D19+1</f>
        <v>2</v>
      </c>
      <c r="E26" s="337">
        <f t="shared" ref="E26:S26" ca="1" si="3">+E19+1</f>
        <v>4</v>
      </c>
      <c r="F26" s="337">
        <f t="shared" ca="1" si="3"/>
        <v>6</v>
      </c>
      <c r="G26" s="337">
        <f t="shared" ca="1" si="3"/>
        <v>8</v>
      </c>
      <c r="H26" s="337">
        <f t="shared" ca="1" si="3"/>
        <v>10</v>
      </c>
      <c r="I26" s="337">
        <f t="shared" ca="1" si="3"/>
        <v>12</v>
      </c>
      <c r="J26" s="337">
        <f t="shared" ca="1" si="3"/>
        <v>14</v>
      </c>
      <c r="K26" s="337">
        <f t="shared" ca="1" si="3"/>
        <v>16</v>
      </c>
      <c r="L26" s="337">
        <f t="shared" ca="1" si="3"/>
        <v>18</v>
      </c>
      <c r="M26" s="337">
        <f t="shared" ca="1" si="3"/>
        <v>20</v>
      </c>
      <c r="N26" s="337">
        <f t="shared" ca="1" si="3"/>
        <v>22</v>
      </c>
      <c r="O26" s="337">
        <f t="shared" ca="1" si="3"/>
        <v>24</v>
      </c>
      <c r="P26" s="337">
        <f t="shared" ca="1" si="3"/>
        <v>26</v>
      </c>
      <c r="Q26" s="337">
        <f t="shared" ca="1" si="3"/>
        <v>28</v>
      </c>
      <c r="R26" s="337">
        <f t="shared" ca="1" si="3"/>
        <v>30</v>
      </c>
      <c r="S26" s="337">
        <f t="shared" ca="1" si="3"/>
        <v>32</v>
      </c>
      <c r="T26" s="358"/>
    </row>
    <row r="27" spans="1:20">
      <c r="A27" s="359" t="s">
        <v>20</v>
      </c>
      <c r="C27" s="351">
        <f t="shared" ref="C27:S27" ca="1" si="4">C24</f>
        <v>90000</v>
      </c>
      <c r="D27" s="351">
        <f t="shared" ca="1" si="4"/>
        <v>88470</v>
      </c>
      <c r="E27" s="351">
        <f t="shared" ca="1" si="4"/>
        <v>85545</v>
      </c>
      <c r="F27" s="351">
        <f t="shared" ca="1" si="4"/>
        <v>82327.5</v>
      </c>
      <c r="G27" s="351">
        <f t="shared" ca="1" si="4"/>
        <v>78385.5</v>
      </c>
      <c r="H27" s="351">
        <f t="shared" ca="1" si="4"/>
        <v>75861</v>
      </c>
      <c r="I27" s="351">
        <f t="shared" ca="1" si="4"/>
        <v>73453.5</v>
      </c>
      <c r="J27" s="351">
        <f t="shared" ca="1" si="4"/>
        <v>67468.5</v>
      </c>
      <c r="K27" s="351">
        <f t="shared" ca="1" si="4"/>
        <v>58963.5</v>
      </c>
      <c r="L27" s="351">
        <f t="shared" ca="1" si="4"/>
        <v>50166</v>
      </c>
      <c r="M27" s="351">
        <f t="shared" ca="1" si="4"/>
        <v>41616</v>
      </c>
      <c r="N27" s="351">
        <f t="shared" ca="1" si="4"/>
        <v>33291</v>
      </c>
      <c r="O27" s="351">
        <f t="shared" ca="1" si="4"/>
        <v>25191</v>
      </c>
      <c r="P27" s="351">
        <f t="shared" ca="1" si="4"/>
        <v>17316</v>
      </c>
      <c r="Q27" s="351">
        <f t="shared" ca="1" si="4"/>
        <v>9891</v>
      </c>
      <c r="R27" s="351">
        <f t="shared" ca="1" si="4"/>
        <v>3145.4999999999918</v>
      </c>
      <c r="S27" s="351">
        <f t="shared" ca="1" si="4"/>
        <v>-1.6370904631912708E-11</v>
      </c>
      <c r="T27" s="358"/>
    </row>
    <row r="28" spans="1:20">
      <c r="A28" s="359" t="s">
        <v>402</v>
      </c>
      <c r="C28" s="621">
        <f ca="1">VLOOKUP(C5,'ASSUM 1'!$K$7:$N$23,4)/2*$C$20*IF(C26=0,0,1)</f>
        <v>0</v>
      </c>
      <c r="D28" s="621">
        <f ca="1">VLOOKUP(D5,'ASSUM 1'!$K$7:$N$23,4)/2*$C$20*IF(D26=0,0,1)</f>
        <v>1530</v>
      </c>
      <c r="E28" s="621">
        <f ca="1">VLOOKUP(E5,'ASSUM 1'!$K$7:$N$23,4)/2*$C$20*IF(E26=0,0,1)</f>
        <v>1395</v>
      </c>
      <c r="F28" s="621">
        <f ca="1">VLOOKUP(F5,'ASSUM 1'!$K$7:$N$23,4)/2*$C$20*IF(F26=0,0,1)</f>
        <v>1822.5</v>
      </c>
      <c r="G28" s="621">
        <f ca="1">VLOOKUP(G5,'ASSUM 1'!$K$7:$N$23,4)/2*$C$20*IF(G26=0,0,1)</f>
        <v>2119.5</v>
      </c>
      <c r="H28" s="621">
        <f ca="1">VLOOKUP(H5,'ASSUM 1'!$K$7:$N$23,4)/2*$C$20*IF(H26=0,0,1)</f>
        <v>404.99999999999994</v>
      </c>
      <c r="I28" s="621">
        <f ca="1">VLOOKUP(I5,'ASSUM 1'!$K$7:$N$23,4)/2*$C$20*IF(I26=0,0,1)</f>
        <v>2002.5</v>
      </c>
      <c r="J28" s="621">
        <f ca="1">VLOOKUP(J5,'ASSUM 1'!$K$7:$N$23,4)/2*$C$20*IF(J26=0,0,1)</f>
        <v>3982.5</v>
      </c>
      <c r="K28" s="621">
        <f ca="1">VLOOKUP(K5,'ASSUM 1'!$K$7:$N$23,4)/2*$C$20*IF(K26=0,0,1)</f>
        <v>4522.5</v>
      </c>
      <c r="L28" s="621">
        <f ca="1">VLOOKUP(L5,'ASSUM 1'!$K$7:$N$23,4)/2*$C$20*IF(L26=0,0,1)</f>
        <v>4275</v>
      </c>
      <c r="M28" s="621">
        <f ca="1">VLOOKUP(M5,'ASSUM 1'!$K$7:$N$23,4)/2*$C$20*IF(M26=0,0,1)</f>
        <v>4275</v>
      </c>
      <c r="N28" s="621">
        <f ca="1">VLOOKUP(N5,'ASSUM 1'!$K$7:$N$23,4)/2*$C$20*IF(N26=0,0,1)</f>
        <v>4050</v>
      </c>
      <c r="O28" s="621">
        <f ca="1">VLOOKUP(O5,'ASSUM 1'!$K$7:$N$23,4)/2*$C$20*IF(O26=0,0,1)</f>
        <v>4050</v>
      </c>
      <c r="P28" s="621">
        <f ca="1">VLOOKUP(P5,'ASSUM 1'!$K$7:$N$23,4)/2*$C$20*IF(P26=0,0,1)</f>
        <v>3825.0000000000005</v>
      </c>
      <c r="Q28" s="621">
        <f ca="1">VLOOKUP(Q5,'ASSUM 1'!$K$7:$N$23,4)/2*$C$20*IF(Q26=0,0,1)</f>
        <v>3600</v>
      </c>
      <c r="R28" s="621">
        <f ca="1">VLOOKUP(R5,'ASSUM 1'!$K$7:$N$23,4)/2*$C$20*IF(R26=0,0,1)</f>
        <v>3145.5000000000082</v>
      </c>
      <c r="S28" s="621">
        <f ca="1">VLOOKUP(S5,'ASSUM 1'!$K$7:$N$23,4)/2*$C$20*IF(S26=0,0,1)</f>
        <v>0</v>
      </c>
      <c r="T28" s="358"/>
    </row>
    <row r="29" spans="1:20">
      <c r="A29" s="359" t="s">
        <v>403</v>
      </c>
      <c r="C29" s="620">
        <v>0</v>
      </c>
      <c r="D29" s="351">
        <f ca="1">D27*'ASSUM 1'!$S$42/2</f>
        <v>3538.8</v>
      </c>
      <c r="E29" s="351">
        <f ca="1">E27*'ASSUM 1'!$S$42/2</f>
        <v>3421.8</v>
      </c>
      <c r="F29" s="351">
        <f ca="1">F27*'ASSUM 1'!$S$42/2</f>
        <v>3293.1</v>
      </c>
      <c r="G29" s="351">
        <f ca="1">G27*'ASSUM 1'!$S$42/2</f>
        <v>3135.42</v>
      </c>
      <c r="H29" s="351">
        <f ca="1">H27*'ASSUM 1'!$S$42/2</f>
        <v>3034.44</v>
      </c>
      <c r="I29" s="351">
        <f ca="1">I27*'ASSUM 1'!$S$42/2</f>
        <v>2938.14</v>
      </c>
      <c r="J29" s="351">
        <f ca="1">J27*'ASSUM 1'!$S$42/2</f>
        <v>2698.7400000000002</v>
      </c>
      <c r="K29" s="351">
        <f ca="1">K27*'ASSUM 1'!$S$42/2</f>
        <v>2358.54</v>
      </c>
      <c r="L29" s="351">
        <f ca="1">L27*'ASSUM 1'!$S$42/2</f>
        <v>2006.64</v>
      </c>
      <c r="M29" s="351">
        <f ca="1">M27*'ASSUM 1'!$S$42/2</f>
        <v>1664.64</v>
      </c>
      <c r="N29" s="351">
        <f ca="1">N27*'ASSUM 1'!$S$42/2</f>
        <v>1331.64</v>
      </c>
      <c r="O29" s="351">
        <f ca="1">O27*'ASSUM 1'!$S$42/2</f>
        <v>1007.64</v>
      </c>
      <c r="P29" s="351">
        <f ca="1">P27*'ASSUM 1'!$S$42/2</f>
        <v>692.64</v>
      </c>
      <c r="Q29" s="351">
        <f ca="1">Q27*'ASSUM 1'!$S$42/2</f>
        <v>395.64</v>
      </c>
      <c r="R29" s="351">
        <f ca="1">R27*'ASSUM 1'!$S$42/2</f>
        <v>125.81999999999968</v>
      </c>
      <c r="S29" s="351">
        <f ca="1">S27*'ASSUM 1'!$S$42/2</f>
        <v>-6.5483618527650831E-13</v>
      </c>
      <c r="T29" s="358"/>
    </row>
    <row r="30" spans="1:20">
      <c r="A30" s="359" t="s">
        <v>404</v>
      </c>
      <c r="C30" s="351">
        <f ca="1">IF(C27&gt;1,PMT('ASSUM 1'!$S$42/2,'ASSUM 1'!$S$32*IF('ASSUM 1'!$S$34="semi",2,1),-(($C$20))),0)</f>
        <v>5204.7089220295165</v>
      </c>
      <c r="D30" s="351">
        <f ca="1">IF(D27&gt;1,PMT('ASSUM 1'!$S$42/2,'ASSUM 1'!$S$32*IF('ASSUM 1'!$S$34="semi",2,1),-(($C$20))),0)</f>
        <v>5204.7089220295165</v>
      </c>
      <c r="E30" s="351">
        <f ca="1">IF(E27&gt;1,PMT('ASSUM 1'!$S$42/2,'ASSUM 1'!$S$32*IF('ASSUM 1'!$S$34="semi",2,1),-(($C$20))),0)</f>
        <v>5204.7089220295165</v>
      </c>
      <c r="F30" s="351">
        <f ca="1">IF(F27&gt;1,PMT('ASSUM 1'!$S$42/2,'ASSUM 1'!$S$32*IF('ASSUM 1'!$S$34="semi",2,1),-(($C$20))),0)</f>
        <v>5204.7089220295165</v>
      </c>
      <c r="G30" s="351">
        <f ca="1">IF(G27&gt;1,PMT('ASSUM 1'!$S$42/2,'ASSUM 1'!$S$32*IF('ASSUM 1'!$S$34="semi",2,1),-(($C$20))),0)</f>
        <v>5204.7089220295165</v>
      </c>
      <c r="H30" s="351">
        <f ca="1">IF(H27&gt;1,PMT('ASSUM 1'!$S$42/2,'ASSUM 1'!$S$32*IF('ASSUM 1'!$S$34="semi",2,1),-(($C$20))),0)</f>
        <v>5204.7089220295165</v>
      </c>
      <c r="I30" s="351">
        <f ca="1">IF(I27&gt;1,PMT('ASSUM 1'!$S$42/2,'ASSUM 1'!$S$32*IF('ASSUM 1'!$S$34="semi",2,1),-(($C$20))),0)</f>
        <v>5204.7089220295165</v>
      </c>
      <c r="J30" s="351">
        <f ca="1">IF(J27&gt;1,PMT('ASSUM 1'!$S$42/2,'ASSUM 1'!$S$32*IF('ASSUM 1'!$S$34="semi",2,1),-(($C$20))),0)</f>
        <v>5204.7089220295165</v>
      </c>
      <c r="K30" s="351">
        <f ca="1">IF(K27&gt;1,PMT('ASSUM 1'!$S$42/2,'ASSUM 1'!$S$32*IF('ASSUM 1'!$S$34="semi",2,1),-(($C$20))),0)</f>
        <v>5204.7089220295165</v>
      </c>
      <c r="L30" s="351">
        <f ca="1">IF(L27&gt;1,PMT('ASSUM 1'!$S$42/2,'ASSUM 1'!$S$32*IF('ASSUM 1'!$S$34="semi",2,1),-(($C$20))),0)</f>
        <v>5204.7089220295165</v>
      </c>
      <c r="M30" s="351">
        <f ca="1">IF(M27&gt;1,PMT('ASSUM 1'!$S$42/2,'ASSUM 1'!$S$32*IF('ASSUM 1'!$S$34="semi",2,1),-(($C$20))),0)</f>
        <v>5204.7089220295165</v>
      </c>
      <c r="N30" s="351">
        <f ca="1">IF(N27&gt;1,PMT('ASSUM 1'!$S$42/2,'ASSUM 1'!$S$32*IF('ASSUM 1'!$S$34="semi",2,1),-(($C$20))),0)</f>
        <v>5204.7089220295165</v>
      </c>
      <c r="O30" s="351">
        <f ca="1">IF(O27&gt;1,PMT('ASSUM 1'!$S$42/2,'ASSUM 1'!$S$32*IF('ASSUM 1'!$S$34="semi",2,1),-(($C$20))),0)</f>
        <v>5204.7089220295165</v>
      </c>
      <c r="P30" s="351">
        <f ca="1">IF(P27&gt;1,PMT('ASSUM 1'!$S$42/2,'ASSUM 1'!$S$32*IF('ASSUM 1'!$S$34="semi",2,1),-(($C$20))),0)</f>
        <v>5204.7089220295165</v>
      </c>
      <c r="Q30" s="351">
        <f ca="1">IF(Q27&gt;1,PMT('ASSUM 1'!$S$42/2,'ASSUM 1'!$S$32*IF('ASSUM 1'!$S$34="semi",2,1),-(($C$20))),0)</f>
        <v>5204.7089220295165</v>
      </c>
      <c r="R30" s="351">
        <f ca="1">IF(R27&gt;1,PMT('ASSUM 1'!$S$42/2,'ASSUM 1'!$S$32*IF('ASSUM 1'!$S$34="semi",2,1),-(($C$20))),0)</f>
        <v>5204.7089220295165</v>
      </c>
      <c r="S30" s="351">
        <f ca="1">IF(S27&gt;1,PMT('ASSUM 1'!$S$42/2,'ASSUM 1'!$S$32*IF('ASSUM 1'!$S$34="semi",2,1),-(($C$20))),0)</f>
        <v>0</v>
      </c>
      <c r="T30" s="358"/>
    </row>
    <row r="31" spans="1:20">
      <c r="A31" s="359" t="s">
        <v>268</v>
      </c>
      <c r="C31" s="351">
        <f t="shared" ref="C31:S31" ca="1" si="5">C27-C28</f>
        <v>90000</v>
      </c>
      <c r="D31" s="351">
        <f t="shared" ca="1" si="5"/>
        <v>86940</v>
      </c>
      <c r="E31" s="351">
        <f t="shared" ca="1" si="5"/>
        <v>84150</v>
      </c>
      <c r="F31" s="351">
        <f t="shared" ca="1" si="5"/>
        <v>80505</v>
      </c>
      <c r="G31" s="351">
        <f t="shared" ca="1" si="5"/>
        <v>76266</v>
      </c>
      <c r="H31" s="351">
        <f t="shared" ca="1" si="5"/>
        <v>75456</v>
      </c>
      <c r="I31" s="351">
        <f t="shared" ca="1" si="5"/>
        <v>71451</v>
      </c>
      <c r="J31" s="351">
        <f t="shared" ca="1" si="5"/>
        <v>63486</v>
      </c>
      <c r="K31" s="351">
        <f t="shared" ca="1" si="5"/>
        <v>54441</v>
      </c>
      <c r="L31" s="351">
        <f t="shared" ca="1" si="5"/>
        <v>45891</v>
      </c>
      <c r="M31" s="351">
        <f t="shared" ca="1" si="5"/>
        <v>37341</v>
      </c>
      <c r="N31" s="351">
        <f t="shared" ca="1" si="5"/>
        <v>29241</v>
      </c>
      <c r="O31" s="351">
        <f t="shared" ca="1" si="5"/>
        <v>21141</v>
      </c>
      <c r="P31" s="351">
        <f t="shared" ca="1" si="5"/>
        <v>13491</v>
      </c>
      <c r="Q31" s="351">
        <f t="shared" ca="1" si="5"/>
        <v>6291</v>
      </c>
      <c r="R31" s="351">
        <f t="shared" ca="1" si="5"/>
        <v>-1.6370904631912708E-11</v>
      </c>
      <c r="S31" s="351">
        <f t="shared" ca="1" si="5"/>
        <v>-1.6370904631912708E-11</v>
      </c>
      <c r="T31" s="358"/>
    </row>
    <row r="32" spans="1:20">
      <c r="A32" s="359"/>
      <c r="C32" s="351"/>
      <c r="D32" s="351"/>
      <c r="T32" s="358"/>
    </row>
    <row r="33" spans="1:23">
      <c r="A33" s="363" t="s">
        <v>405</v>
      </c>
      <c r="C33" s="351"/>
      <c r="D33" s="351"/>
      <c r="T33" s="358"/>
    </row>
    <row r="34" spans="1:23">
      <c r="A34" s="359" t="s">
        <v>403</v>
      </c>
      <c r="C34" s="351">
        <f t="shared" ref="C34:S34" ca="1" si="6">ROUND(+C29+C22,2)</f>
        <v>0</v>
      </c>
      <c r="D34" s="351">
        <f t="shared" ca="1" si="6"/>
        <v>7138.8</v>
      </c>
      <c r="E34" s="351">
        <f t="shared" ca="1" si="6"/>
        <v>6899.4</v>
      </c>
      <c r="F34" s="351">
        <f t="shared" ca="1" si="6"/>
        <v>6659.1</v>
      </c>
      <c r="G34" s="351">
        <f t="shared" ca="1" si="6"/>
        <v>6355.62</v>
      </c>
      <c r="H34" s="351">
        <f t="shared" ca="1" si="6"/>
        <v>6085.08</v>
      </c>
      <c r="I34" s="351">
        <f t="shared" ca="1" si="6"/>
        <v>5956.38</v>
      </c>
      <c r="J34" s="351">
        <f t="shared" ca="1" si="6"/>
        <v>5556.78</v>
      </c>
      <c r="K34" s="351">
        <f t="shared" ca="1" si="6"/>
        <v>4897.9799999999996</v>
      </c>
      <c r="L34" s="351">
        <f t="shared" ca="1" si="6"/>
        <v>4184.28</v>
      </c>
      <c r="M34" s="351">
        <f t="shared" ca="1" si="6"/>
        <v>3500.28</v>
      </c>
      <c r="N34" s="351">
        <f t="shared" ca="1" si="6"/>
        <v>2825.28</v>
      </c>
      <c r="O34" s="351">
        <f t="shared" ca="1" si="6"/>
        <v>2177.2800000000002</v>
      </c>
      <c r="P34" s="351">
        <f t="shared" ca="1" si="6"/>
        <v>1538.28</v>
      </c>
      <c r="Q34" s="351">
        <f t="shared" ca="1" si="6"/>
        <v>935.28</v>
      </c>
      <c r="R34" s="351">
        <f t="shared" ca="1" si="6"/>
        <v>377.46</v>
      </c>
      <c r="S34" s="351">
        <f t="shared" ca="1" si="6"/>
        <v>0</v>
      </c>
      <c r="T34" s="358"/>
    </row>
    <row r="35" spans="1:23">
      <c r="A35" s="359" t="s">
        <v>402</v>
      </c>
      <c r="C35" s="364">
        <f t="shared" ref="C35:S35" ca="1" si="7">C28+C21</f>
        <v>0</v>
      </c>
      <c r="D35" s="364">
        <f t="shared" ca="1" si="7"/>
        <v>3060</v>
      </c>
      <c r="E35" s="364">
        <f t="shared" ca="1" si="7"/>
        <v>2790</v>
      </c>
      <c r="F35" s="364">
        <f t="shared" ca="1" si="7"/>
        <v>3645</v>
      </c>
      <c r="G35" s="364">
        <f t="shared" ca="1" si="7"/>
        <v>4239</v>
      </c>
      <c r="H35" s="364">
        <f t="shared" ca="1" si="7"/>
        <v>809.99999999999989</v>
      </c>
      <c r="I35" s="364">
        <f t="shared" ca="1" si="7"/>
        <v>4005</v>
      </c>
      <c r="J35" s="364">
        <f t="shared" ca="1" si="7"/>
        <v>7965</v>
      </c>
      <c r="K35" s="364">
        <f t="shared" ca="1" si="7"/>
        <v>9045</v>
      </c>
      <c r="L35" s="364">
        <f t="shared" ca="1" si="7"/>
        <v>8550</v>
      </c>
      <c r="M35" s="364">
        <f t="shared" ca="1" si="7"/>
        <v>8550</v>
      </c>
      <c r="N35" s="364">
        <f t="shared" ca="1" si="7"/>
        <v>8100</v>
      </c>
      <c r="O35" s="364">
        <f t="shared" ca="1" si="7"/>
        <v>8100</v>
      </c>
      <c r="P35" s="364">
        <f t="shared" ca="1" si="7"/>
        <v>7650.0000000000009</v>
      </c>
      <c r="Q35" s="364">
        <f t="shared" ca="1" si="7"/>
        <v>7200</v>
      </c>
      <c r="R35" s="364">
        <f t="shared" ca="1" si="7"/>
        <v>6291.0000000000164</v>
      </c>
      <c r="S35" s="364">
        <f t="shared" ca="1" si="7"/>
        <v>0</v>
      </c>
      <c r="T35" s="358"/>
    </row>
    <row r="36" spans="1:23">
      <c r="A36" s="359" t="s">
        <v>406</v>
      </c>
      <c r="C36" s="351">
        <f t="shared" ref="C36:S36" ca="1" si="8">C34+C35</f>
        <v>0</v>
      </c>
      <c r="D36" s="351">
        <f t="shared" ca="1" si="8"/>
        <v>10198.799999999999</v>
      </c>
      <c r="E36" s="351">
        <f t="shared" ca="1" si="8"/>
        <v>9689.4</v>
      </c>
      <c r="F36" s="351">
        <f t="shared" ca="1" si="8"/>
        <v>10304.1</v>
      </c>
      <c r="G36" s="351">
        <f t="shared" ca="1" si="8"/>
        <v>10594.619999999999</v>
      </c>
      <c r="H36" s="351">
        <f t="shared" ca="1" si="8"/>
        <v>6895.08</v>
      </c>
      <c r="I36" s="351">
        <f t="shared" ca="1" si="8"/>
        <v>9961.380000000001</v>
      </c>
      <c r="J36" s="351">
        <f t="shared" ca="1" si="8"/>
        <v>13521.779999999999</v>
      </c>
      <c r="K36" s="351">
        <f t="shared" ca="1" si="8"/>
        <v>13942.98</v>
      </c>
      <c r="L36" s="351">
        <f t="shared" ca="1" si="8"/>
        <v>12734.279999999999</v>
      </c>
      <c r="M36" s="351">
        <f t="shared" ca="1" si="8"/>
        <v>12050.28</v>
      </c>
      <c r="N36" s="351">
        <f t="shared" ca="1" si="8"/>
        <v>10925.28</v>
      </c>
      <c r="O36" s="351">
        <f t="shared" ca="1" si="8"/>
        <v>10277.280000000001</v>
      </c>
      <c r="P36" s="351">
        <f t="shared" ca="1" si="8"/>
        <v>9188.2800000000007</v>
      </c>
      <c r="Q36" s="351">
        <f t="shared" ca="1" si="8"/>
        <v>8135.28</v>
      </c>
      <c r="R36" s="351">
        <f t="shared" ca="1" si="8"/>
        <v>6668.4600000000164</v>
      </c>
      <c r="S36" s="351">
        <f t="shared" ca="1" si="8"/>
        <v>0</v>
      </c>
      <c r="T36" s="358"/>
    </row>
    <row r="37" spans="1:23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6"/>
      <c r="N37" s="356"/>
      <c r="O37" s="356"/>
      <c r="P37" s="356"/>
      <c r="Q37" s="356"/>
      <c r="R37" s="356"/>
      <c r="S37" s="356"/>
    </row>
    <row r="38" spans="1:23"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5"/>
      <c r="N38" s="365"/>
      <c r="O38" s="365"/>
      <c r="P38" s="365"/>
      <c r="Q38" s="365"/>
      <c r="R38" s="365"/>
      <c r="S38" s="365"/>
    </row>
    <row r="39" spans="1:23">
      <c r="A39" s="345" t="s">
        <v>327</v>
      </c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</row>
    <row r="40" spans="1:23">
      <c r="A40" s="337" t="s">
        <v>266</v>
      </c>
      <c r="C40" s="362">
        <f ca="1">'ASSUM 1'!R46</f>
        <v>9607.2300000000014</v>
      </c>
      <c r="D40" s="351">
        <f t="shared" ref="D40:R40" ca="1" si="9">C42</f>
        <v>9536.4</v>
      </c>
      <c r="E40" s="351">
        <f t="shared" ca="1" si="9"/>
        <v>9488.9160000000011</v>
      </c>
      <c r="F40" s="351">
        <f t="shared" ca="1" si="9"/>
        <v>10255.392000000002</v>
      </c>
      <c r="G40" s="351">
        <f t="shared" ca="1" si="9"/>
        <v>10983.168</v>
      </c>
      <c r="H40" s="351">
        <f t="shared" ca="1" si="9"/>
        <v>11411.1</v>
      </c>
      <c r="I40" s="351">
        <f t="shared" ca="1" si="9"/>
        <v>12442.14</v>
      </c>
      <c r="J40" s="351">
        <f t="shared" ca="1" si="9"/>
        <v>12634.919999999998</v>
      </c>
      <c r="K40" s="351">
        <f t="shared" ca="1" si="9"/>
        <v>11986.019999999999</v>
      </c>
      <c r="L40" s="351">
        <f t="shared" ca="1" si="9"/>
        <v>11035.079999999996</v>
      </c>
      <c r="M40" s="351">
        <f t="shared" ca="1" si="9"/>
        <v>10115.280000000001</v>
      </c>
      <c r="N40" s="351">
        <f t="shared" ca="1" si="9"/>
        <v>9038.9160000000029</v>
      </c>
      <c r="O40" s="351">
        <f t="shared" ca="1" si="9"/>
        <v>6853.8600000000033</v>
      </c>
      <c r="P40" s="351">
        <f t="shared" ca="1" si="9"/>
        <v>5998.0050000000047</v>
      </c>
      <c r="Q40" s="351">
        <f t="shared" ca="1" si="9"/>
        <v>4934.5800000000054</v>
      </c>
      <c r="R40" s="351">
        <f t="shared" ca="1" si="9"/>
        <v>3334.2300000000082</v>
      </c>
      <c r="S40" s="351"/>
    </row>
    <row r="41" spans="1:23">
      <c r="A41" s="337" t="s">
        <v>328</v>
      </c>
      <c r="C41" s="364">
        <f ca="1">C40-((AVERAGE(D36:H36))*'ASSUM 1'!$Q$46/12)</f>
        <v>70.830000000001746</v>
      </c>
      <c r="D41" s="364">
        <f ca="1">D40-((AVERAGE(E36:I36))*'ASSUM 1'!$Q$46/12)</f>
        <v>47.483999999998559</v>
      </c>
      <c r="E41" s="364">
        <f ca="1">E40-((AVERAGE(F36:J36))*'ASSUM 1'!$Q$46/12)</f>
        <v>-766.47600000000057</v>
      </c>
      <c r="F41" s="364">
        <f ca="1">F40-((AVERAGE(G36:K36))*'ASSUM 1'!$Q$46/12)</f>
        <v>-727.77599999999802</v>
      </c>
      <c r="G41" s="364">
        <f ca="1">G40-((AVERAGE(H36:L36))*'ASSUM 1'!$Q$46/12)</f>
        <v>-427.9320000000007</v>
      </c>
      <c r="H41" s="364">
        <f ca="1">H40-((AVERAGE(I36:M36))*'ASSUM 1'!$Q$46/12)</f>
        <v>-1031.0399999999991</v>
      </c>
      <c r="I41" s="364">
        <f ca="1">I40-((AVERAGE(J36:N36))*'ASSUM 1'!$Q$46/12)</f>
        <v>-192.77999999999884</v>
      </c>
      <c r="J41" s="364">
        <f ca="1">J40-((AVERAGE(K36:O36))*'ASSUM 1'!$Q$46/12)</f>
        <v>648.89999999999964</v>
      </c>
      <c r="K41" s="364">
        <f ca="1">K40-((AVERAGE(L36:P36))*'ASSUM 1'!$Q$46/12)</f>
        <v>950.94000000000233</v>
      </c>
      <c r="L41" s="364">
        <f ca="1">L40-((AVERAGE(M36:Q36))*'ASSUM 1'!$Q$46/12)</f>
        <v>919.79999999999563</v>
      </c>
      <c r="M41" s="364">
        <f ca="1">M40-((AVERAGE(N36:R36))*'ASSUM 1'!$Q$46/12)</f>
        <v>1076.3639999999978</v>
      </c>
      <c r="N41" s="364">
        <f ca="1">N40-((AVERAGE(O36:S36))*'ASSUM 1'!$Q$46/12)</f>
        <v>2185.0559999999996</v>
      </c>
      <c r="O41" s="364">
        <f ca="1">O40-((AVERAGE(P36:T36))*'ASSUM 1'!$Q$46/12)</f>
        <v>855.85499999999865</v>
      </c>
      <c r="P41" s="364">
        <f ca="1">P40-((AVERAGE(Q36:U36))*'ASSUM 1'!$Q$46/12)</f>
        <v>1063.4249999999993</v>
      </c>
      <c r="Q41" s="364">
        <f ca="1">Q40-((AVERAGE(R36:V36))*'ASSUM 1'!$Q$46/12)</f>
        <v>1600.3499999999972</v>
      </c>
      <c r="R41" s="364">
        <f ca="1">R40-((AVERAGE(S36:W36))*'ASSUM 1'!$Q$46/12)</f>
        <v>3334.2300000000082</v>
      </c>
      <c r="S41" s="364"/>
    </row>
    <row r="42" spans="1:23">
      <c r="A42" s="337"/>
      <c r="C42" s="351">
        <f t="shared" ref="C42:R42" ca="1" si="10">C40-C41</f>
        <v>9536.4</v>
      </c>
      <c r="D42" s="351">
        <f t="shared" ca="1" si="10"/>
        <v>9488.9160000000011</v>
      </c>
      <c r="E42" s="351">
        <f t="shared" ca="1" si="10"/>
        <v>10255.392000000002</v>
      </c>
      <c r="F42" s="351">
        <f t="shared" ca="1" si="10"/>
        <v>10983.168</v>
      </c>
      <c r="G42" s="351">
        <f t="shared" ca="1" si="10"/>
        <v>11411.1</v>
      </c>
      <c r="H42" s="351">
        <f t="shared" ca="1" si="10"/>
        <v>12442.14</v>
      </c>
      <c r="I42" s="351">
        <f t="shared" ca="1" si="10"/>
        <v>12634.919999999998</v>
      </c>
      <c r="J42" s="351">
        <f t="shared" ca="1" si="10"/>
        <v>11986.019999999999</v>
      </c>
      <c r="K42" s="351">
        <f t="shared" ca="1" si="10"/>
        <v>11035.079999999996</v>
      </c>
      <c r="L42" s="351">
        <f t="shared" ca="1" si="10"/>
        <v>10115.280000000001</v>
      </c>
      <c r="M42" s="351">
        <f t="shared" ca="1" si="10"/>
        <v>9038.9160000000029</v>
      </c>
      <c r="N42" s="351">
        <f t="shared" ca="1" si="10"/>
        <v>6853.8600000000033</v>
      </c>
      <c r="O42" s="351">
        <f t="shared" ca="1" si="10"/>
        <v>5998.0050000000047</v>
      </c>
      <c r="P42" s="351">
        <f t="shared" ca="1" si="10"/>
        <v>4934.5800000000054</v>
      </c>
      <c r="Q42" s="351">
        <f t="shared" ca="1" si="10"/>
        <v>3334.2300000000082</v>
      </c>
      <c r="R42" s="351">
        <f t="shared" ca="1" si="10"/>
        <v>0</v>
      </c>
      <c r="S42" s="351"/>
    </row>
    <row r="43" spans="1:23">
      <c r="A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</row>
    <row r="44" spans="1:23">
      <c r="A44" s="345" t="s">
        <v>329</v>
      </c>
      <c r="C44" s="351">
        <f ca="1">C42*'ASSUM 1'!$S$46</f>
        <v>76.291200000000003</v>
      </c>
      <c r="D44" s="351">
        <f ca="1">D42*'ASSUM 1'!$S$46</f>
        <v>75.911328000000012</v>
      </c>
      <c r="E44" s="351">
        <f ca="1">E42*'ASSUM 1'!$S$46</f>
        <v>82.043136000000018</v>
      </c>
      <c r="F44" s="351">
        <f ca="1">F42*'ASSUM 1'!$S$46</f>
        <v>87.865343999999993</v>
      </c>
      <c r="G44" s="351">
        <f ca="1">G42*'ASSUM 1'!$S$46</f>
        <v>91.288800000000009</v>
      </c>
      <c r="H44" s="351">
        <f ca="1">H42*'ASSUM 1'!$S$46</f>
        <v>99.537120000000002</v>
      </c>
      <c r="I44" s="351">
        <f ca="1">I42*'ASSUM 1'!$S$46</f>
        <v>101.07935999999999</v>
      </c>
      <c r="J44" s="351">
        <f ca="1">J42*'ASSUM 1'!$S$46</f>
        <v>95.888159999999985</v>
      </c>
      <c r="K44" s="351">
        <f ca="1">K42*'ASSUM 1'!$S$46</f>
        <v>88.280639999999977</v>
      </c>
      <c r="L44" s="351">
        <f ca="1">L42*'ASSUM 1'!$S$46</f>
        <v>80.922240000000002</v>
      </c>
      <c r="M44" s="351">
        <f ca="1">M42*'ASSUM 1'!$S$46</f>
        <v>72.311328000000032</v>
      </c>
      <c r="N44" s="351">
        <f ca="1">N42*'ASSUM 1'!$S$46</f>
        <v>54.830880000000029</v>
      </c>
      <c r="O44" s="351">
        <f ca="1">O42*'ASSUM 1'!$S$46</f>
        <v>47.984040000000036</v>
      </c>
      <c r="P44" s="351">
        <f ca="1">P42*'ASSUM 1'!$S$46</f>
        <v>39.476640000000046</v>
      </c>
      <c r="Q44" s="351">
        <f ca="1">Q42*'ASSUM 1'!$S$46</f>
        <v>26.673840000000066</v>
      </c>
      <c r="R44" s="351">
        <f ca="1">R42*'ASSUM 1'!$S$46</f>
        <v>0</v>
      </c>
      <c r="S44" s="351"/>
    </row>
    <row r="47" spans="1:23">
      <c r="A47" s="338" t="s">
        <v>441</v>
      </c>
      <c r="C47" s="338">
        <v>0.5</v>
      </c>
      <c r="D47" s="338">
        <v>1.5</v>
      </c>
      <c r="E47" s="338">
        <v>2.5</v>
      </c>
      <c r="F47" s="338">
        <v>3.5</v>
      </c>
      <c r="G47" s="338">
        <v>4.5</v>
      </c>
      <c r="H47" s="338">
        <v>5.5</v>
      </c>
      <c r="I47" s="338">
        <v>6.5</v>
      </c>
      <c r="J47" s="338">
        <v>7.5</v>
      </c>
      <c r="K47" s="338">
        <v>8.5</v>
      </c>
      <c r="L47" s="338">
        <v>9.5</v>
      </c>
      <c r="M47" s="338">
        <v>10.5</v>
      </c>
      <c r="N47" s="338">
        <v>11.5</v>
      </c>
      <c r="O47" s="338">
        <v>12.5</v>
      </c>
      <c r="P47" s="338">
        <v>13.5</v>
      </c>
      <c r="Q47" s="338">
        <v>14.5</v>
      </c>
      <c r="R47" s="338">
        <v>15.5</v>
      </c>
      <c r="S47" s="338">
        <v>16.5</v>
      </c>
      <c r="T47" s="338">
        <v>17.5</v>
      </c>
      <c r="U47" s="338">
        <v>18.5</v>
      </c>
      <c r="V47" s="338">
        <v>19.5</v>
      </c>
      <c r="W47" s="338">
        <v>20.5</v>
      </c>
    </row>
    <row r="48" spans="1:23">
      <c r="A48" s="338" t="s">
        <v>451</v>
      </c>
      <c r="B48" s="778">
        <f ca="1">SUM(C48:W48)</f>
        <v>440545.50000000012</v>
      </c>
      <c r="C48" s="778">
        <f ca="1">C47*C28</f>
        <v>0</v>
      </c>
      <c r="D48" s="778">
        <f t="shared" ref="D48:W48" ca="1" si="11">D47*D28</f>
        <v>2295</v>
      </c>
      <c r="E48" s="778">
        <f t="shared" ca="1" si="11"/>
        <v>3487.5</v>
      </c>
      <c r="F48" s="778">
        <f t="shared" ca="1" si="11"/>
        <v>6378.75</v>
      </c>
      <c r="G48" s="778">
        <f t="shared" ca="1" si="11"/>
        <v>9537.75</v>
      </c>
      <c r="H48" s="778">
        <f t="shared" ca="1" si="11"/>
        <v>2227.4999999999995</v>
      </c>
      <c r="I48" s="778">
        <f t="shared" ca="1" si="11"/>
        <v>13016.25</v>
      </c>
      <c r="J48" s="778">
        <f t="shared" ca="1" si="11"/>
        <v>29868.75</v>
      </c>
      <c r="K48" s="778">
        <f t="shared" ca="1" si="11"/>
        <v>38441.25</v>
      </c>
      <c r="L48" s="778">
        <f t="shared" ca="1" si="11"/>
        <v>40612.5</v>
      </c>
      <c r="M48" s="778">
        <f t="shared" ca="1" si="11"/>
        <v>44887.5</v>
      </c>
      <c r="N48" s="778">
        <f t="shared" ca="1" si="11"/>
        <v>46575</v>
      </c>
      <c r="O48" s="778">
        <f t="shared" ca="1" si="11"/>
        <v>50625</v>
      </c>
      <c r="P48" s="778">
        <f t="shared" ca="1" si="11"/>
        <v>51637.500000000007</v>
      </c>
      <c r="Q48" s="778">
        <f t="shared" ca="1" si="11"/>
        <v>52200</v>
      </c>
      <c r="R48" s="778">
        <f t="shared" ca="1" si="11"/>
        <v>48755.250000000124</v>
      </c>
      <c r="S48" s="778">
        <f t="shared" ca="1" si="11"/>
        <v>0</v>
      </c>
      <c r="T48" s="778">
        <f t="shared" si="11"/>
        <v>0</v>
      </c>
      <c r="U48" s="778">
        <f t="shared" si="11"/>
        <v>0</v>
      </c>
      <c r="V48" s="778">
        <f t="shared" si="11"/>
        <v>0</v>
      </c>
      <c r="W48" s="778">
        <f t="shared" si="11"/>
        <v>0</v>
      </c>
    </row>
    <row r="50" spans="1:23">
      <c r="A50" s="338" t="s">
        <v>441</v>
      </c>
      <c r="C50" s="338">
        <v>1</v>
      </c>
      <c r="D50" s="338">
        <v>2</v>
      </c>
      <c r="E50" s="338">
        <v>3</v>
      </c>
      <c r="F50" s="338">
        <v>4</v>
      </c>
      <c r="G50" s="338">
        <v>5</v>
      </c>
      <c r="H50" s="338">
        <v>6</v>
      </c>
      <c r="I50" s="338">
        <v>7</v>
      </c>
      <c r="J50" s="338">
        <v>8</v>
      </c>
      <c r="K50" s="338">
        <v>9</v>
      </c>
      <c r="L50" s="338">
        <v>10</v>
      </c>
      <c r="M50" s="338">
        <v>11</v>
      </c>
      <c r="N50" s="338">
        <v>12</v>
      </c>
      <c r="O50" s="338">
        <v>13</v>
      </c>
      <c r="P50" s="338">
        <v>14</v>
      </c>
      <c r="Q50" s="338">
        <v>15</v>
      </c>
      <c r="R50" s="338">
        <v>16</v>
      </c>
      <c r="S50" s="338">
        <v>17</v>
      </c>
      <c r="T50" s="338">
        <v>18</v>
      </c>
      <c r="U50" s="338">
        <v>19</v>
      </c>
      <c r="V50" s="338">
        <v>20</v>
      </c>
      <c r="W50" s="338">
        <v>21</v>
      </c>
    </row>
    <row r="51" spans="1:23">
      <c r="A51" s="338" t="s">
        <v>451</v>
      </c>
      <c r="B51" s="778">
        <f ca="1">SUM(C51:W51)</f>
        <v>418045.50000000012</v>
      </c>
      <c r="C51" s="779">
        <f ca="1">C50*D21</f>
        <v>1530</v>
      </c>
      <c r="D51" s="779">
        <f t="shared" ref="D51:W51" ca="1" si="12">D50*E21</f>
        <v>2790</v>
      </c>
      <c r="E51" s="779">
        <f t="shared" ca="1" si="12"/>
        <v>5467.5</v>
      </c>
      <c r="F51" s="779">
        <f t="shared" ca="1" si="12"/>
        <v>8478</v>
      </c>
      <c r="G51" s="779">
        <f t="shared" ca="1" si="12"/>
        <v>2024.9999999999998</v>
      </c>
      <c r="H51" s="779">
        <f t="shared" ca="1" si="12"/>
        <v>12015</v>
      </c>
      <c r="I51" s="779">
        <f t="shared" ca="1" si="12"/>
        <v>27877.5</v>
      </c>
      <c r="J51" s="779">
        <f t="shared" ca="1" si="12"/>
        <v>36180</v>
      </c>
      <c r="K51" s="779">
        <f t="shared" ca="1" si="12"/>
        <v>38475</v>
      </c>
      <c r="L51" s="779">
        <f t="shared" ca="1" si="12"/>
        <v>42750</v>
      </c>
      <c r="M51" s="779">
        <f t="shared" ca="1" si="12"/>
        <v>44550</v>
      </c>
      <c r="N51" s="779">
        <f t="shared" ca="1" si="12"/>
        <v>48600</v>
      </c>
      <c r="O51" s="779">
        <f t="shared" ca="1" si="12"/>
        <v>49725.000000000007</v>
      </c>
      <c r="P51" s="779">
        <f t="shared" ca="1" si="12"/>
        <v>50400</v>
      </c>
      <c r="Q51" s="779">
        <f t="shared" ca="1" si="12"/>
        <v>47182.500000000124</v>
      </c>
      <c r="R51" s="779">
        <f t="shared" ca="1" si="12"/>
        <v>0</v>
      </c>
      <c r="S51" s="779">
        <f t="shared" si="12"/>
        <v>0</v>
      </c>
      <c r="T51" s="779">
        <f t="shared" si="12"/>
        <v>0</v>
      </c>
      <c r="U51" s="779">
        <f t="shared" si="12"/>
        <v>0</v>
      </c>
      <c r="V51" s="779">
        <f t="shared" si="12"/>
        <v>0</v>
      </c>
      <c r="W51" s="779">
        <f t="shared" si="12"/>
        <v>0</v>
      </c>
    </row>
    <row r="53" spans="1:23">
      <c r="A53" s="338" t="s">
        <v>442</v>
      </c>
      <c r="B53" s="780">
        <f ca="1">(B48+B51)/C20</f>
        <v>9.5399000000000029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62"/>
  <sheetViews>
    <sheetView showOutlineSymbols="0" view="pageBreakPreview" topLeftCell="A9" zoomScale="60" zoomScaleNormal="75" workbookViewId="0">
      <selection activeCell="C9" sqref="C9"/>
    </sheetView>
  </sheetViews>
  <sheetFormatPr defaultColWidth="9.81640625" defaultRowHeight="15.6"/>
  <cols>
    <col min="1" max="1" width="28.81640625" style="369" customWidth="1"/>
    <col min="2" max="16384" width="9.81640625" style="369"/>
  </cols>
  <sheetData>
    <row r="1" spans="1:26" ht="22.2">
      <c r="A1" s="366" t="s">
        <v>0</v>
      </c>
      <c r="B1" s="367"/>
      <c r="C1" s="368"/>
      <c r="D1" s="368"/>
      <c r="E1" s="368"/>
      <c r="F1" s="368"/>
      <c r="G1" s="368"/>
      <c r="H1" s="368"/>
      <c r="I1" s="368"/>
    </row>
    <row r="2" spans="1:26">
      <c r="A2" s="370" t="s">
        <v>390</v>
      </c>
      <c r="B2" s="371"/>
      <c r="C2" s="372"/>
      <c r="D2" s="368"/>
      <c r="E2" s="368"/>
      <c r="F2" s="368"/>
      <c r="G2" s="368"/>
      <c r="H2" s="368"/>
      <c r="I2" s="368"/>
    </row>
    <row r="3" spans="1:26" ht="9" customHeight="1">
      <c r="A3" s="373" t="e">
        <f>#REF!</f>
        <v>#REF!</v>
      </c>
      <c r="B3" s="374" t="e">
        <f>#REF!</f>
        <v>#REF!</v>
      </c>
      <c r="C3" s="373"/>
      <c r="D3" s="373"/>
      <c r="E3" s="373"/>
      <c r="F3" s="373"/>
      <c r="G3" s="375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  <c r="X3" s="373"/>
    </row>
    <row r="4" spans="1:26">
      <c r="A4" s="368"/>
      <c r="B4" s="367"/>
      <c r="C4" s="376"/>
      <c r="D4" s="376"/>
      <c r="E4" s="376"/>
      <c r="F4" s="376"/>
      <c r="G4" s="376"/>
      <c r="H4" s="376"/>
      <c r="I4" s="376"/>
    </row>
    <row r="5" spans="1:26">
      <c r="A5" s="377" t="s">
        <v>391</v>
      </c>
      <c r="B5" s="367"/>
      <c r="C5" s="378">
        <v>1</v>
      </c>
      <c r="D5" s="378">
        <f>IF(OR((C5+1&gt;'ASSUM 1'!$Q$7),C5=0),0,C5+1)</f>
        <v>2</v>
      </c>
      <c r="E5" s="378">
        <f>IF(OR((D5+1&gt;'ASSUM 1'!$Q$7),D5=0),0,D5+1)</f>
        <v>3</v>
      </c>
      <c r="F5" s="378">
        <f>IF(OR((E5+1&gt;'ASSUM 1'!$Q$7),E5=0),0,E5+1)</f>
        <v>4</v>
      </c>
      <c r="G5" s="378">
        <f>IF(OR((F5+1&gt;'ASSUM 1'!$Q$7),F5=0),0,F5+1)</f>
        <v>5</v>
      </c>
      <c r="H5" s="378">
        <f>IF(OR((G5+1&gt;'ASSUM 1'!$Q$7),G5=0),0,G5+1)</f>
        <v>6</v>
      </c>
      <c r="I5" s="378">
        <f>IF(OR((H5+1&gt;'ASSUM 1'!$Q$7),H5=0),0,H5+1)</f>
        <v>7</v>
      </c>
      <c r="J5" s="378">
        <f>IF(OR((I5+1&gt;'ASSUM 1'!$Q$7),I5=0),0,I5+1)</f>
        <v>8</v>
      </c>
      <c r="K5" s="378">
        <f>IF(OR((J5+1&gt;'ASSUM 1'!$Q$7),J5=0),0,J5+1)</f>
        <v>9</v>
      </c>
      <c r="L5" s="378">
        <f>IF(OR((K5+1&gt;'ASSUM 1'!$Q$7),K5=0),0,K5+1)</f>
        <v>10</v>
      </c>
      <c r="M5" s="378">
        <f>IF(OR((L5+1&gt;'ASSUM 1'!$Q$7),L5=0),0,L5+1)</f>
        <v>11</v>
      </c>
      <c r="N5" s="378">
        <f>IF(OR((M5+1&gt;'ASSUM 1'!$Q$7),M5=0),0,M5+1)</f>
        <v>12</v>
      </c>
      <c r="O5" s="378">
        <f>IF(OR((N5+1&gt;'ASSUM 1'!$Q$7),N5=0),0,N5+1)</f>
        <v>13</v>
      </c>
      <c r="P5" s="378">
        <f>IF(OR((O5+1&gt;'ASSUM 1'!$Q$7),O5=0),0,O5+1)</f>
        <v>14</v>
      </c>
      <c r="Q5" s="378">
        <f>IF(OR((P5+1&gt;'ASSUM 1'!$Q$7),P5=0),0,P5+1)</f>
        <v>15</v>
      </c>
      <c r="R5" s="378">
        <f>IF(OR((Q5+1&gt;'ASSUM 1'!$Q$7),Q5=0),0,Q5+1)</f>
        <v>16</v>
      </c>
      <c r="S5" s="378">
        <f>IF(OR((R5+1&gt;'ASSUM 1'!$Q$7),R5=0),0,R5+1)</f>
        <v>17</v>
      </c>
      <c r="T5" s="378">
        <f>IF(OR((S5+1&gt;'ASSUM 1'!$Q$7),S5=0),0,S5+1)</f>
        <v>0</v>
      </c>
      <c r="U5" s="378">
        <f>IF(OR((T5+1&gt;'ASSUM 1'!$Q$7),T5=0),0,T5+1)</f>
        <v>0</v>
      </c>
      <c r="V5" s="378">
        <f>IF(OR((U5+1&gt;'ASSUM 1'!$Q$7),U5=0),0,U5+1)</f>
        <v>0</v>
      </c>
      <c r="W5" s="378">
        <f>IF(OR((V5+1&gt;'ASSUM 1'!$Q$7),V5=0),0,V5+1)</f>
        <v>0</v>
      </c>
      <c r="X5" s="378">
        <f>IF(OR((W5+1&gt;'ASSUM 1'!$Q$7),W5=0),0,W5+1)</f>
        <v>0</v>
      </c>
      <c r="Z5" s="379" t="s">
        <v>330</v>
      </c>
    </row>
    <row r="6" spans="1:26">
      <c r="A6" s="377" t="s">
        <v>331</v>
      </c>
      <c r="B6" s="367"/>
      <c r="C6" s="380">
        <f>'ASSUM 1'!R7</f>
        <v>36474</v>
      </c>
      <c r="D6" s="380">
        <f t="shared" ref="D6:X6" si="0">C6+365.25/12</f>
        <v>36504.4375</v>
      </c>
      <c r="E6" s="380">
        <f t="shared" si="0"/>
        <v>36534.875</v>
      </c>
      <c r="F6" s="380">
        <f t="shared" si="0"/>
        <v>36565.3125</v>
      </c>
      <c r="G6" s="380">
        <f t="shared" si="0"/>
        <v>36595.75</v>
      </c>
      <c r="H6" s="380">
        <f t="shared" si="0"/>
        <v>36626.1875</v>
      </c>
      <c r="I6" s="380">
        <f t="shared" si="0"/>
        <v>36656.625</v>
      </c>
      <c r="J6" s="380">
        <f t="shared" si="0"/>
        <v>36687.0625</v>
      </c>
      <c r="K6" s="380">
        <f t="shared" si="0"/>
        <v>36717.5</v>
      </c>
      <c r="L6" s="380">
        <f t="shared" si="0"/>
        <v>36747.9375</v>
      </c>
      <c r="M6" s="380">
        <f t="shared" si="0"/>
        <v>36778.375</v>
      </c>
      <c r="N6" s="380">
        <f t="shared" si="0"/>
        <v>36808.8125</v>
      </c>
      <c r="O6" s="380">
        <f t="shared" si="0"/>
        <v>36839.25</v>
      </c>
      <c r="P6" s="380">
        <f t="shared" si="0"/>
        <v>36869.6875</v>
      </c>
      <c r="Q6" s="380">
        <f t="shared" si="0"/>
        <v>36900.125</v>
      </c>
      <c r="R6" s="380">
        <f t="shared" si="0"/>
        <v>36930.5625</v>
      </c>
      <c r="S6" s="380">
        <f t="shared" si="0"/>
        <v>36961</v>
      </c>
      <c r="T6" s="380">
        <f t="shared" si="0"/>
        <v>36991.4375</v>
      </c>
      <c r="U6" s="380">
        <f t="shared" si="0"/>
        <v>37021.875</v>
      </c>
      <c r="V6" s="380">
        <f t="shared" si="0"/>
        <v>37052.3125</v>
      </c>
      <c r="W6" s="380">
        <f t="shared" si="0"/>
        <v>37082.75</v>
      </c>
      <c r="X6" s="380">
        <f t="shared" si="0"/>
        <v>37113.1875</v>
      </c>
      <c r="Z6" s="381"/>
    </row>
    <row r="7" spans="1:26">
      <c r="A7" s="377"/>
      <c r="B7" s="367"/>
      <c r="C7" s="368"/>
      <c r="D7" s="368"/>
      <c r="E7" s="368"/>
      <c r="F7" s="378"/>
      <c r="G7" s="378"/>
      <c r="H7" s="378"/>
      <c r="I7" s="378"/>
      <c r="J7" s="368"/>
      <c r="K7" s="368"/>
      <c r="L7" s="368"/>
      <c r="M7" s="378"/>
      <c r="N7" s="378"/>
      <c r="O7" s="378"/>
      <c r="P7" s="378"/>
      <c r="Z7" s="381"/>
    </row>
    <row r="8" spans="1:26" ht="16.2">
      <c r="A8" s="382" t="str">
        <f>'ASSUM 2'!A8</f>
        <v>Major Equipment</v>
      </c>
      <c r="B8" s="383" t="s">
        <v>27</v>
      </c>
      <c r="C8" s="384"/>
      <c r="D8" s="385"/>
      <c r="E8" s="385"/>
      <c r="F8" s="386"/>
      <c r="G8" s="386"/>
      <c r="H8" s="386"/>
      <c r="I8" s="386"/>
      <c r="J8" s="387"/>
      <c r="K8" s="385"/>
      <c r="L8" s="385"/>
      <c r="M8" s="386"/>
      <c r="N8" s="386"/>
      <c r="O8" s="386"/>
      <c r="P8" s="386"/>
      <c r="Q8" s="388"/>
      <c r="R8" s="388"/>
      <c r="S8" s="388"/>
      <c r="T8" s="388"/>
      <c r="U8" s="388"/>
      <c r="V8" s="388"/>
      <c r="W8" s="389"/>
      <c r="Z8" s="381"/>
    </row>
    <row r="9" spans="1:26" ht="16.2">
      <c r="A9" s="382" t="str">
        <f>'ASSUM 2'!A9</f>
        <v>Equipment Costs</v>
      </c>
      <c r="B9" s="367">
        <f>'ASSUM 2'!E9</f>
        <v>124.665655348</v>
      </c>
      <c r="C9" s="390">
        <v>0.08</v>
      </c>
      <c r="D9" s="391">
        <v>0.05</v>
      </c>
      <c r="E9" s="391">
        <v>0.05</v>
      </c>
      <c r="F9" s="391">
        <v>0.05</v>
      </c>
      <c r="G9" s="391">
        <v>0.05</v>
      </c>
      <c r="H9" s="391">
        <v>9.4E-2</v>
      </c>
      <c r="I9" s="391">
        <v>4.4499999999999998E-2</v>
      </c>
      <c r="J9" s="391">
        <v>3.85E-2</v>
      </c>
      <c r="K9" s="391">
        <v>4.4499999999999998E-2</v>
      </c>
      <c r="L9" s="391">
        <f>K9</f>
        <v>4.4499999999999998E-2</v>
      </c>
      <c r="M9" s="391">
        <v>6.6699999999999995E-2</v>
      </c>
      <c r="N9" s="391">
        <f>M9</f>
        <v>6.6699999999999995E-2</v>
      </c>
      <c r="O9" s="391">
        <v>0.11</v>
      </c>
      <c r="P9" s="391">
        <v>7.0000000000000007E-2</v>
      </c>
      <c r="Q9" s="391">
        <v>7.0000000000000007E-2</v>
      </c>
      <c r="R9" s="391">
        <v>7.0599999999999996E-2</v>
      </c>
      <c r="S9" s="391"/>
      <c r="T9" s="391"/>
      <c r="W9" s="389"/>
      <c r="Z9" s="392">
        <f>1-SUM(C9:X9)</f>
        <v>0</v>
      </c>
    </row>
    <row r="10" spans="1:26" ht="16.2">
      <c r="A10" s="382" t="str">
        <f>'ASSUM 2'!A10</f>
        <v>Balance of EPC</v>
      </c>
      <c r="B10" s="367">
        <f>'ASSUM 2'!E10</f>
        <v>12.291738486857142</v>
      </c>
      <c r="C10" s="393">
        <f t="shared" ref="C10:R12" si="1">C9</f>
        <v>0.08</v>
      </c>
      <c r="D10" s="394">
        <f t="shared" si="1"/>
        <v>0.05</v>
      </c>
      <c r="E10" s="394">
        <f t="shared" si="1"/>
        <v>0.05</v>
      </c>
      <c r="F10" s="394">
        <f t="shared" si="1"/>
        <v>0.05</v>
      </c>
      <c r="G10" s="394">
        <f t="shared" si="1"/>
        <v>0.05</v>
      </c>
      <c r="H10" s="394">
        <f t="shared" si="1"/>
        <v>9.4E-2</v>
      </c>
      <c r="I10" s="394">
        <f t="shared" si="1"/>
        <v>4.4499999999999998E-2</v>
      </c>
      <c r="J10" s="394">
        <f t="shared" si="1"/>
        <v>3.85E-2</v>
      </c>
      <c r="K10" s="394">
        <f t="shared" si="1"/>
        <v>4.4499999999999998E-2</v>
      </c>
      <c r="L10" s="394">
        <f t="shared" si="1"/>
        <v>4.4499999999999998E-2</v>
      </c>
      <c r="M10" s="394">
        <f t="shared" si="1"/>
        <v>6.6699999999999995E-2</v>
      </c>
      <c r="N10" s="394">
        <f t="shared" si="1"/>
        <v>6.6699999999999995E-2</v>
      </c>
      <c r="O10" s="394">
        <f t="shared" si="1"/>
        <v>0.11</v>
      </c>
      <c r="P10" s="394">
        <f t="shared" si="1"/>
        <v>7.0000000000000007E-2</v>
      </c>
      <c r="Q10" s="394">
        <f t="shared" si="1"/>
        <v>7.0000000000000007E-2</v>
      </c>
      <c r="R10" s="394">
        <f t="shared" si="1"/>
        <v>7.0599999999999996E-2</v>
      </c>
      <c r="S10" s="394"/>
      <c r="T10" s="394"/>
      <c r="W10" s="389"/>
      <c r="Z10" s="392">
        <f>1-SUM(C10:X10)</f>
        <v>0</v>
      </c>
    </row>
    <row r="11" spans="1:26" ht="16.2">
      <c r="A11" s="382" t="str">
        <f>'ASSUM 2'!A11</f>
        <v>Other</v>
      </c>
      <c r="B11" s="367">
        <f>'ASSUM 2'!E11</f>
        <v>0</v>
      </c>
      <c r="C11" s="393">
        <f t="shared" si="1"/>
        <v>0.08</v>
      </c>
      <c r="D11" s="394">
        <f t="shared" si="1"/>
        <v>0.05</v>
      </c>
      <c r="E11" s="394">
        <f t="shared" si="1"/>
        <v>0.05</v>
      </c>
      <c r="F11" s="394">
        <f t="shared" si="1"/>
        <v>0.05</v>
      </c>
      <c r="G11" s="394">
        <f t="shared" si="1"/>
        <v>0.05</v>
      </c>
      <c r="H11" s="394">
        <f t="shared" si="1"/>
        <v>9.4E-2</v>
      </c>
      <c r="I11" s="394">
        <f t="shared" si="1"/>
        <v>4.4499999999999998E-2</v>
      </c>
      <c r="J11" s="394">
        <f t="shared" si="1"/>
        <v>3.85E-2</v>
      </c>
      <c r="K11" s="394">
        <f t="shared" si="1"/>
        <v>4.4499999999999998E-2</v>
      </c>
      <c r="L11" s="394">
        <f t="shared" si="1"/>
        <v>4.4499999999999998E-2</v>
      </c>
      <c r="M11" s="394">
        <f t="shared" si="1"/>
        <v>6.6699999999999995E-2</v>
      </c>
      <c r="N11" s="394">
        <f t="shared" si="1"/>
        <v>6.6699999999999995E-2</v>
      </c>
      <c r="O11" s="394">
        <f t="shared" si="1"/>
        <v>0.11</v>
      </c>
      <c r="P11" s="394">
        <f t="shared" si="1"/>
        <v>7.0000000000000007E-2</v>
      </c>
      <c r="Q11" s="394">
        <f t="shared" si="1"/>
        <v>7.0000000000000007E-2</v>
      </c>
      <c r="R11" s="394">
        <f t="shared" si="1"/>
        <v>7.0599999999999996E-2</v>
      </c>
      <c r="S11" s="394"/>
      <c r="T11" s="394"/>
      <c r="W11" s="389"/>
      <c r="Z11" s="392">
        <f>1-SUM(C11:X11)</f>
        <v>0</v>
      </c>
    </row>
    <row r="12" spans="1:26" ht="16.2">
      <c r="A12" s="382" t="str">
        <f>'ASSUM 2'!A12</f>
        <v>Other</v>
      </c>
      <c r="B12" s="367">
        <f>'ASSUM 2'!E12</f>
        <v>0</v>
      </c>
      <c r="C12" s="393">
        <f t="shared" si="1"/>
        <v>0.08</v>
      </c>
      <c r="D12" s="394">
        <f t="shared" si="1"/>
        <v>0.05</v>
      </c>
      <c r="E12" s="394">
        <f t="shared" si="1"/>
        <v>0.05</v>
      </c>
      <c r="F12" s="394">
        <f t="shared" si="1"/>
        <v>0.05</v>
      </c>
      <c r="G12" s="394">
        <f t="shared" si="1"/>
        <v>0.05</v>
      </c>
      <c r="H12" s="394">
        <f t="shared" si="1"/>
        <v>9.4E-2</v>
      </c>
      <c r="I12" s="394">
        <f t="shared" si="1"/>
        <v>4.4499999999999998E-2</v>
      </c>
      <c r="J12" s="394">
        <f t="shared" si="1"/>
        <v>3.85E-2</v>
      </c>
      <c r="K12" s="394">
        <f t="shared" si="1"/>
        <v>4.4499999999999998E-2</v>
      </c>
      <c r="L12" s="394">
        <f t="shared" si="1"/>
        <v>4.4499999999999998E-2</v>
      </c>
      <c r="M12" s="394">
        <f t="shared" si="1"/>
        <v>6.6699999999999995E-2</v>
      </c>
      <c r="N12" s="394">
        <f t="shared" si="1"/>
        <v>6.6699999999999995E-2</v>
      </c>
      <c r="O12" s="394">
        <f t="shared" si="1"/>
        <v>0.11</v>
      </c>
      <c r="P12" s="394">
        <f t="shared" si="1"/>
        <v>7.0000000000000007E-2</v>
      </c>
      <c r="Q12" s="394">
        <f t="shared" si="1"/>
        <v>7.0000000000000007E-2</v>
      </c>
      <c r="R12" s="394">
        <f t="shared" si="1"/>
        <v>7.0599999999999996E-2</v>
      </c>
      <c r="S12" s="394"/>
      <c r="T12" s="394"/>
      <c r="W12" s="389"/>
      <c r="Z12" s="392">
        <f>1-SUM(C12:X12)</f>
        <v>0</v>
      </c>
    </row>
    <row r="13" spans="1:26" ht="16.2">
      <c r="A13" s="382" t="str">
        <f>'ASSUM 2'!A13</f>
        <v>Duties on Equipment</v>
      </c>
      <c r="B13" s="395">
        <f>'ASSUM 2'!E13</f>
        <v>0</v>
      </c>
      <c r="C13" s="393">
        <f t="shared" ref="C13:R13" si="2">C9</f>
        <v>0.08</v>
      </c>
      <c r="D13" s="394">
        <f t="shared" si="2"/>
        <v>0.05</v>
      </c>
      <c r="E13" s="394">
        <f t="shared" si="2"/>
        <v>0.05</v>
      </c>
      <c r="F13" s="394">
        <f t="shared" si="2"/>
        <v>0.05</v>
      </c>
      <c r="G13" s="394">
        <f t="shared" si="2"/>
        <v>0.05</v>
      </c>
      <c r="H13" s="394">
        <f t="shared" si="2"/>
        <v>9.4E-2</v>
      </c>
      <c r="I13" s="394">
        <f t="shared" si="2"/>
        <v>4.4499999999999998E-2</v>
      </c>
      <c r="J13" s="394">
        <f t="shared" si="2"/>
        <v>3.85E-2</v>
      </c>
      <c r="K13" s="394">
        <f t="shared" si="2"/>
        <v>4.4499999999999998E-2</v>
      </c>
      <c r="L13" s="394">
        <f t="shared" si="2"/>
        <v>4.4499999999999998E-2</v>
      </c>
      <c r="M13" s="394">
        <f t="shared" si="2"/>
        <v>6.6699999999999995E-2</v>
      </c>
      <c r="N13" s="394">
        <f t="shared" si="2"/>
        <v>6.6699999999999995E-2</v>
      </c>
      <c r="O13" s="394">
        <f t="shared" si="2"/>
        <v>0.11</v>
      </c>
      <c r="P13" s="394">
        <f t="shared" si="2"/>
        <v>7.0000000000000007E-2</v>
      </c>
      <c r="Q13" s="394">
        <f t="shared" si="2"/>
        <v>7.0000000000000007E-2</v>
      </c>
      <c r="R13" s="394">
        <f t="shared" si="2"/>
        <v>7.0599999999999996E-2</v>
      </c>
      <c r="S13" s="394"/>
      <c r="T13" s="394"/>
      <c r="W13" s="389"/>
      <c r="Z13" s="392">
        <f>1-SUM(C13:X13)</f>
        <v>0</v>
      </c>
    </row>
    <row r="14" spans="1:26" ht="16.2">
      <c r="A14" s="382" t="str">
        <f>'ASSUM 2'!A14</f>
        <v xml:space="preserve">   Total Major Equipment</v>
      </c>
      <c r="B14" s="367">
        <f>SUM(B9:B13)</f>
        <v>136.95739383485716</v>
      </c>
      <c r="C14" s="393"/>
      <c r="D14" s="394"/>
      <c r="E14" s="394"/>
      <c r="F14" s="394"/>
      <c r="G14" s="394"/>
      <c r="H14" s="394"/>
      <c r="I14" s="394"/>
      <c r="J14" s="394"/>
      <c r="K14" s="394"/>
      <c r="L14" s="394"/>
      <c r="M14" s="394"/>
      <c r="N14" s="394"/>
      <c r="O14" s="394"/>
      <c r="P14" s="394"/>
      <c r="Q14" s="394"/>
      <c r="R14" s="394"/>
      <c r="S14" s="394"/>
      <c r="T14" s="394"/>
      <c r="W14" s="389"/>
      <c r="Z14" s="392"/>
    </row>
    <row r="15" spans="1:26" ht="16.2">
      <c r="A15" s="382"/>
      <c r="B15" s="367"/>
      <c r="C15" s="396"/>
      <c r="D15" s="397"/>
      <c r="E15" s="368"/>
      <c r="F15" s="394"/>
      <c r="G15" s="394"/>
      <c r="H15" s="394"/>
      <c r="I15" s="394"/>
      <c r="J15" s="394"/>
      <c r="K15" s="394"/>
      <c r="L15" s="394"/>
      <c r="M15" s="394"/>
      <c r="N15" s="394"/>
      <c r="O15" s="394"/>
      <c r="P15" s="394"/>
      <c r="Q15" s="394"/>
      <c r="R15" s="394"/>
      <c r="S15" s="394"/>
      <c r="T15" s="394"/>
      <c r="W15" s="389"/>
      <c r="Z15" s="392"/>
    </row>
    <row r="16" spans="1:26" ht="16.2">
      <c r="A16" s="382" t="str">
        <f>'ASSUM 2'!A16</f>
        <v>Engineering / Construction</v>
      </c>
      <c r="B16" s="383"/>
      <c r="C16" s="396"/>
      <c r="D16" s="397"/>
      <c r="E16" s="368"/>
      <c r="F16" s="394"/>
      <c r="G16" s="394"/>
      <c r="H16" s="394"/>
      <c r="I16" s="394"/>
      <c r="J16" s="394"/>
      <c r="K16" s="394"/>
      <c r="L16" s="394"/>
      <c r="M16" s="394"/>
      <c r="N16" s="394"/>
      <c r="O16" s="394"/>
      <c r="P16" s="394"/>
      <c r="Q16" s="394"/>
      <c r="R16" s="394"/>
      <c r="S16" s="394"/>
      <c r="T16" s="394"/>
      <c r="W16" s="389"/>
      <c r="Z16" s="392"/>
    </row>
    <row r="17" spans="1:26" ht="16.2">
      <c r="A17" s="382" t="str">
        <f>'ASSUM 2'!A17</f>
        <v>Other</v>
      </c>
      <c r="B17" s="367">
        <f>'ASSUM 2'!E17</f>
        <v>0</v>
      </c>
      <c r="C17" s="393">
        <f t="shared" ref="C17:R17" si="3">C13</f>
        <v>0.08</v>
      </c>
      <c r="D17" s="394">
        <f t="shared" si="3"/>
        <v>0.05</v>
      </c>
      <c r="E17" s="394">
        <f t="shared" si="3"/>
        <v>0.05</v>
      </c>
      <c r="F17" s="394">
        <f t="shared" si="3"/>
        <v>0.05</v>
      </c>
      <c r="G17" s="394">
        <f t="shared" si="3"/>
        <v>0.05</v>
      </c>
      <c r="H17" s="394">
        <f t="shared" si="3"/>
        <v>9.4E-2</v>
      </c>
      <c r="I17" s="394">
        <f t="shared" si="3"/>
        <v>4.4499999999999998E-2</v>
      </c>
      <c r="J17" s="394">
        <f t="shared" si="3"/>
        <v>3.85E-2</v>
      </c>
      <c r="K17" s="394">
        <f t="shared" si="3"/>
        <v>4.4499999999999998E-2</v>
      </c>
      <c r="L17" s="394">
        <f t="shared" si="3"/>
        <v>4.4499999999999998E-2</v>
      </c>
      <c r="M17" s="394">
        <f t="shared" si="3"/>
        <v>6.6699999999999995E-2</v>
      </c>
      <c r="N17" s="394">
        <f t="shared" si="3"/>
        <v>6.6699999999999995E-2</v>
      </c>
      <c r="O17" s="394">
        <f t="shared" si="3"/>
        <v>0.11</v>
      </c>
      <c r="P17" s="394">
        <f t="shared" si="3"/>
        <v>7.0000000000000007E-2</v>
      </c>
      <c r="Q17" s="394">
        <f t="shared" si="3"/>
        <v>7.0000000000000007E-2</v>
      </c>
      <c r="R17" s="394">
        <f t="shared" si="3"/>
        <v>7.0599999999999996E-2</v>
      </c>
      <c r="S17" s="394"/>
      <c r="T17" s="394"/>
      <c r="W17" s="389"/>
      <c r="Z17" s="392">
        <f t="shared" ref="Z17:Z22" si="4">1-SUM(C17:X17)</f>
        <v>0</v>
      </c>
    </row>
    <row r="18" spans="1:26" ht="16.2">
      <c r="A18" s="382" t="str">
        <f>'ASSUM 2'!A18</f>
        <v>Other</v>
      </c>
      <c r="B18" s="367">
        <f>'ASSUM 2'!E18</f>
        <v>0</v>
      </c>
      <c r="C18" s="393">
        <f t="shared" ref="C18:R22" si="5">C17</f>
        <v>0.08</v>
      </c>
      <c r="D18" s="394">
        <f t="shared" si="5"/>
        <v>0.05</v>
      </c>
      <c r="E18" s="394">
        <f t="shared" si="5"/>
        <v>0.05</v>
      </c>
      <c r="F18" s="394">
        <f t="shared" si="5"/>
        <v>0.05</v>
      </c>
      <c r="G18" s="394">
        <f t="shared" si="5"/>
        <v>0.05</v>
      </c>
      <c r="H18" s="394">
        <f t="shared" si="5"/>
        <v>9.4E-2</v>
      </c>
      <c r="I18" s="394">
        <f t="shared" si="5"/>
        <v>4.4499999999999998E-2</v>
      </c>
      <c r="J18" s="394">
        <f t="shared" si="5"/>
        <v>3.85E-2</v>
      </c>
      <c r="K18" s="394">
        <f t="shared" si="5"/>
        <v>4.4499999999999998E-2</v>
      </c>
      <c r="L18" s="394">
        <f t="shared" si="5"/>
        <v>4.4499999999999998E-2</v>
      </c>
      <c r="M18" s="394">
        <f t="shared" si="5"/>
        <v>6.6699999999999995E-2</v>
      </c>
      <c r="N18" s="394">
        <f t="shared" si="5"/>
        <v>6.6699999999999995E-2</v>
      </c>
      <c r="O18" s="394">
        <f t="shared" si="5"/>
        <v>0.11</v>
      </c>
      <c r="P18" s="394">
        <f t="shared" si="5"/>
        <v>7.0000000000000007E-2</v>
      </c>
      <c r="Q18" s="394">
        <f t="shared" si="5"/>
        <v>7.0000000000000007E-2</v>
      </c>
      <c r="R18" s="394">
        <f t="shared" si="5"/>
        <v>7.0599999999999996E-2</v>
      </c>
      <c r="S18" s="394"/>
      <c r="T18" s="394"/>
      <c r="W18" s="389"/>
      <c r="Z18" s="392">
        <f t="shared" si="4"/>
        <v>0</v>
      </c>
    </row>
    <row r="19" spans="1:26" ht="16.2">
      <c r="A19" s="382" t="str">
        <f>'ASSUM 2'!A19</f>
        <v>Other</v>
      </c>
      <c r="B19" s="367">
        <f>'ASSUM 2'!E19</f>
        <v>0</v>
      </c>
      <c r="C19" s="393">
        <f t="shared" si="5"/>
        <v>0.08</v>
      </c>
      <c r="D19" s="394">
        <f t="shared" si="5"/>
        <v>0.05</v>
      </c>
      <c r="E19" s="394">
        <f t="shared" si="5"/>
        <v>0.05</v>
      </c>
      <c r="F19" s="394">
        <f t="shared" si="5"/>
        <v>0.05</v>
      </c>
      <c r="G19" s="394">
        <f t="shared" si="5"/>
        <v>0.05</v>
      </c>
      <c r="H19" s="394">
        <f t="shared" si="5"/>
        <v>9.4E-2</v>
      </c>
      <c r="I19" s="394">
        <f t="shared" si="5"/>
        <v>4.4499999999999998E-2</v>
      </c>
      <c r="J19" s="394">
        <f t="shared" si="5"/>
        <v>3.85E-2</v>
      </c>
      <c r="K19" s="394">
        <f t="shared" si="5"/>
        <v>4.4499999999999998E-2</v>
      </c>
      <c r="L19" s="394">
        <f t="shared" si="5"/>
        <v>4.4499999999999998E-2</v>
      </c>
      <c r="M19" s="394">
        <f t="shared" si="5"/>
        <v>6.6699999999999995E-2</v>
      </c>
      <c r="N19" s="394">
        <f t="shared" si="5"/>
        <v>6.6699999999999995E-2</v>
      </c>
      <c r="O19" s="394">
        <f t="shared" si="5"/>
        <v>0.11</v>
      </c>
      <c r="P19" s="394">
        <f t="shared" si="5"/>
        <v>7.0000000000000007E-2</v>
      </c>
      <c r="Q19" s="394">
        <f t="shared" si="5"/>
        <v>7.0000000000000007E-2</v>
      </c>
      <c r="R19" s="394">
        <f t="shared" si="5"/>
        <v>7.0599999999999996E-2</v>
      </c>
      <c r="S19" s="394"/>
      <c r="T19" s="394"/>
      <c r="W19" s="389"/>
      <c r="Z19" s="392">
        <f t="shared" si="4"/>
        <v>0</v>
      </c>
    </row>
    <row r="20" spans="1:26" ht="16.2">
      <c r="A20" s="382" t="str">
        <f>'ASSUM 2'!A20</f>
        <v>Other</v>
      </c>
      <c r="B20" s="367">
        <f>'ASSUM 2'!E20</f>
        <v>0</v>
      </c>
      <c r="C20" s="393">
        <f t="shared" si="5"/>
        <v>0.08</v>
      </c>
      <c r="D20" s="394">
        <f t="shared" si="5"/>
        <v>0.05</v>
      </c>
      <c r="E20" s="394">
        <f t="shared" si="5"/>
        <v>0.05</v>
      </c>
      <c r="F20" s="394">
        <f t="shared" si="5"/>
        <v>0.05</v>
      </c>
      <c r="G20" s="394">
        <f t="shared" si="5"/>
        <v>0.05</v>
      </c>
      <c r="H20" s="394">
        <f t="shared" si="5"/>
        <v>9.4E-2</v>
      </c>
      <c r="I20" s="394">
        <f t="shared" si="5"/>
        <v>4.4499999999999998E-2</v>
      </c>
      <c r="J20" s="394">
        <f t="shared" si="5"/>
        <v>3.85E-2</v>
      </c>
      <c r="K20" s="394">
        <f t="shared" si="5"/>
        <v>4.4499999999999998E-2</v>
      </c>
      <c r="L20" s="394">
        <f t="shared" si="5"/>
        <v>4.4499999999999998E-2</v>
      </c>
      <c r="M20" s="394">
        <f t="shared" si="5"/>
        <v>6.6699999999999995E-2</v>
      </c>
      <c r="N20" s="394">
        <f t="shared" si="5"/>
        <v>6.6699999999999995E-2</v>
      </c>
      <c r="O20" s="394">
        <f t="shared" si="5"/>
        <v>0.11</v>
      </c>
      <c r="P20" s="394">
        <f t="shared" si="5"/>
        <v>7.0000000000000007E-2</v>
      </c>
      <c r="Q20" s="394">
        <f t="shared" si="5"/>
        <v>7.0000000000000007E-2</v>
      </c>
      <c r="R20" s="394">
        <f t="shared" si="5"/>
        <v>7.0599999999999996E-2</v>
      </c>
      <c r="S20" s="394"/>
      <c r="T20" s="394"/>
      <c r="W20" s="389"/>
      <c r="Z20" s="392">
        <f t="shared" si="4"/>
        <v>0</v>
      </c>
    </row>
    <row r="21" spans="1:26" ht="16.2">
      <c r="A21" s="382" t="str">
        <f>'ASSUM 2'!A21</f>
        <v>Other</v>
      </c>
      <c r="B21" s="367">
        <f>'ASSUM 2'!E21</f>
        <v>0</v>
      </c>
      <c r="C21" s="393">
        <f t="shared" si="5"/>
        <v>0.08</v>
      </c>
      <c r="D21" s="394">
        <f t="shared" si="5"/>
        <v>0.05</v>
      </c>
      <c r="E21" s="394">
        <f t="shared" si="5"/>
        <v>0.05</v>
      </c>
      <c r="F21" s="394">
        <f t="shared" si="5"/>
        <v>0.05</v>
      </c>
      <c r="G21" s="394">
        <f t="shared" si="5"/>
        <v>0.05</v>
      </c>
      <c r="H21" s="394">
        <f t="shared" si="5"/>
        <v>9.4E-2</v>
      </c>
      <c r="I21" s="394">
        <f t="shared" si="5"/>
        <v>4.4499999999999998E-2</v>
      </c>
      <c r="J21" s="394">
        <f t="shared" si="5"/>
        <v>3.85E-2</v>
      </c>
      <c r="K21" s="394">
        <f t="shared" si="5"/>
        <v>4.4499999999999998E-2</v>
      </c>
      <c r="L21" s="394">
        <f t="shared" si="5"/>
        <v>4.4499999999999998E-2</v>
      </c>
      <c r="M21" s="394">
        <f t="shared" si="5"/>
        <v>6.6699999999999995E-2</v>
      </c>
      <c r="N21" s="394">
        <f t="shared" si="5"/>
        <v>6.6699999999999995E-2</v>
      </c>
      <c r="O21" s="394">
        <f t="shared" si="5"/>
        <v>0.11</v>
      </c>
      <c r="P21" s="394">
        <f t="shared" si="5"/>
        <v>7.0000000000000007E-2</v>
      </c>
      <c r="Q21" s="394">
        <f t="shared" si="5"/>
        <v>7.0000000000000007E-2</v>
      </c>
      <c r="R21" s="394">
        <f t="shared" si="5"/>
        <v>7.0599999999999996E-2</v>
      </c>
      <c r="S21" s="394"/>
      <c r="T21" s="394"/>
      <c r="W21" s="389"/>
      <c r="Z21" s="392">
        <f t="shared" si="4"/>
        <v>0</v>
      </c>
    </row>
    <row r="22" spans="1:26" ht="16.2">
      <c r="A22" s="382" t="str">
        <f>'ASSUM 2'!A22</f>
        <v>Other</v>
      </c>
      <c r="B22" s="395">
        <f>'ASSUM 2'!E22</f>
        <v>0</v>
      </c>
      <c r="C22" s="393">
        <f t="shared" si="5"/>
        <v>0.08</v>
      </c>
      <c r="D22" s="394">
        <f t="shared" si="5"/>
        <v>0.05</v>
      </c>
      <c r="E22" s="394">
        <f t="shared" si="5"/>
        <v>0.05</v>
      </c>
      <c r="F22" s="394">
        <f t="shared" si="5"/>
        <v>0.05</v>
      </c>
      <c r="G22" s="394">
        <f t="shared" si="5"/>
        <v>0.05</v>
      </c>
      <c r="H22" s="394">
        <f t="shared" si="5"/>
        <v>9.4E-2</v>
      </c>
      <c r="I22" s="394">
        <f t="shared" si="5"/>
        <v>4.4499999999999998E-2</v>
      </c>
      <c r="J22" s="394">
        <f t="shared" si="5"/>
        <v>3.85E-2</v>
      </c>
      <c r="K22" s="394">
        <f t="shared" si="5"/>
        <v>4.4499999999999998E-2</v>
      </c>
      <c r="L22" s="394">
        <f t="shared" si="5"/>
        <v>4.4499999999999998E-2</v>
      </c>
      <c r="M22" s="394">
        <f t="shared" si="5"/>
        <v>6.6699999999999995E-2</v>
      </c>
      <c r="N22" s="394">
        <f t="shared" si="5"/>
        <v>6.6699999999999995E-2</v>
      </c>
      <c r="O22" s="394">
        <f t="shared" si="5"/>
        <v>0.11</v>
      </c>
      <c r="P22" s="394">
        <f t="shared" si="5"/>
        <v>7.0000000000000007E-2</v>
      </c>
      <c r="Q22" s="394">
        <f t="shared" si="5"/>
        <v>7.0000000000000007E-2</v>
      </c>
      <c r="R22" s="394">
        <f t="shared" si="5"/>
        <v>7.0599999999999996E-2</v>
      </c>
      <c r="S22" s="394"/>
      <c r="T22" s="394"/>
      <c r="W22" s="389"/>
      <c r="Z22" s="392">
        <f t="shared" si="4"/>
        <v>0</v>
      </c>
    </row>
    <row r="23" spans="1:26" ht="16.2">
      <c r="A23" s="382" t="str">
        <f>'ASSUM 2'!A23</f>
        <v xml:space="preserve">   Total Engineering / Construction</v>
      </c>
      <c r="B23" s="367">
        <f>SUM(B17:B22)</f>
        <v>0</v>
      </c>
      <c r="C23" s="396"/>
      <c r="D23" s="397"/>
      <c r="E23" s="36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  <c r="Q23" s="398"/>
      <c r="R23" s="398"/>
      <c r="S23" s="398"/>
      <c r="T23" s="398"/>
      <c r="W23" s="389"/>
      <c r="Z23" s="392"/>
    </row>
    <row r="24" spans="1:26" ht="16.2">
      <c r="A24" s="382"/>
      <c r="B24" s="367"/>
      <c r="C24" s="396"/>
      <c r="D24" s="397"/>
      <c r="E24" s="368"/>
      <c r="F24" s="398"/>
      <c r="G24" s="398"/>
      <c r="H24" s="398"/>
      <c r="I24" s="398"/>
      <c r="J24" s="398"/>
      <c r="K24" s="398"/>
      <c r="L24" s="398"/>
      <c r="M24" s="398"/>
      <c r="N24" s="398"/>
      <c r="O24" s="398"/>
      <c r="P24" s="398"/>
      <c r="Q24" s="398"/>
      <c r="R24" s="398"/>
      <c r="S24" s="398"/>
      <c r="T24" s="398"/>
      <c r="W24" s="389"/>
      <c r="Z24" s="392"/>
    </row>
    <row r="25" spans="1:26" ht="16.2">
      <c r="A25" s="382" t="str">
        <f>'ASSUM 2'!A25</f>
        <v>Other</v>
      </c>
      <c r="B25" s="383"/>
      <c r="C25" s="396"/>
      <c r="D25" s="397"/>
      <c r="E25" s="368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W25" s="389"/>
      <c r="Z25" s="392"/>
    </row>
    <row r="26" spans="1:26" ht="16.2">
      <c r="A26" s="382" t="str">
        <f>'ASSUM 2'!A26</f>
        <v>Land</v>
      </c>
      <c r="B26" s="367">
        <f>'ASSUM 2'!E26</f>
        <v>0.25</v>
      </c>
      <c r="C26" s="390">
        <v>1</v>
      </c>
      <c r="D26" s="394">
        <v>0</v>
      </c>
      <c r="E26" s="394">
        <v>0</v>
      </c>
      <c r="F26" s="394">
        <v>0</v>
      </c>
      <c r="G26" s="394">
        <v>0</v>
      </c>
      <c r="H26" s="394">
        <v>0</v>
      </c>
      <c r="I26" s="394">
        <v>0</v>
      </c>
      <c r="J26" s="394">
        <v>0</v>
      </c>
      <c r="K26" s="394">
        <v>0</v>
      </c>
      <c r="L26" s="394">
        <v>0</v>
      </c>
      <c r="M26" s="394">
        <v>0</v>
      </c>
      <c r="N26" s="394">
        <v>0</v>
      </c>
      <c r="O26" s="394">
        <v>0</v>
      </c>
      <c r="P26" s="394">
        <v>0</v>
      </c>
      <c r="Q26" s="394">
        <v>0</v>
      </c>
      <c r="R26" s="394">
        <v>0</v>
      </c>
      <c r="S26" s="394"/>
      <c r="T26" s="394"/>
      <c r="W26" s="389"/>
      <c r="Z26" s="392">
        <f>1-SUM(C26:X26)</f>
        <v>0</v>
      </c>
    </row>
    <row r="27" spans="1:26" ht="16.2">
      <c r="A27" s="382" t="str">
        <f>'ASSUM 2'!A27</f>
        <v>Transmission Costs</v>
      </c>
      <c r="B27" s="367">
        <f>'ASSUM 2'!E27</f>
        <v>1.9</v>
      </c>
      <c r="C27" s="393">
        <f t="shared" ref="C27:R27" si="6">C17</f>
        <v>0.08</v>
      </c>
      <c r="D27" s="394">
        <f t="shared" si="6"/>
        <v>0.05</v>
      </c>
      <c r="E27" s="394">
        <f t="shared" si="6"/>
        <v>0.05</v>
      </c>
      <c r="F27" s="394">
        <f t="shared" si="6"/>
        <v>0.05</v>
      </c>
      <c r="G27" s="394">
        <f t="shared" si="6"/>
        <v>0.05</v>
      </c>
      <c r="H27" s="394">
        <f t="shared" si="6"/>
        <v>9.4E-2</v>
      </c>
      <c r="I27" s="394">
        <f t="shared" si="6"/>
        <v>4.4499999999999998E-2</v>
      </c>
      <c r="J27" s="394">
        <f t="shared" si="6"/>
        <v>3.85E-2</v>
      </c>
      <c r="K27" s="394">
        <f t="shared" si="6"/>
        <v>4.4499999999999998E-2</v>
      </c>
      <c r="L27" s="394">
        <f t="shared" si="6"/>
        <v>4.4499999999999998E-2</v>
      </c>
      <c r="M27" s="394">
        <f t="shared" si="6"/>
        <v>6.6699999999999995E-2</v>
      </c>
      <c r="N27" s="394">
        <f t="shared" si="6"/>
        <v>6.6699999999999995E-2</v>
      </c>
      <c r="O27" s="394">
        <f t="shared" si="6"/>
        <v>0.11</v>
      </c>
      <c r="P27" s="394">
        <f t="shared" si="6"/>
        <v>7.0000000000000007E-2</v>
      </c>
      <c r="Q27" s="394">
        <f t="shared" si="6"/>
        <v>7.0000000000000007E-2</v>
      </c>
      <c r="R27" s="394">
        <f t="shared" si="6"/>
        <v>7.0599999999999996E-2</v>
      </c>
      <c r="S27" s="394"/>
      <c r="T27" s="394"/>
      <c r="W27" s="389"/>
      <c r="Z27" s="392">
        <f>1-SUM(C27:X27)</f>
        <v>0</v>
      </c>
    </row>
    <row r="28" spans="1:26" ht="16.2">
      <c r="A28" s="382" t="str">
        <f>'ASSUM 2'!A28</f>
        <v>AES Development Cost Reimbursement</v>
      </c>
      <c r="B28" s="367">
        <f>'ASSUM 2'!E28</f>
        <v>1.2170000000000001</v>
      </c>
      <c r="C28" s="390">
        <v>0</v>
      </c>
      <c r="D28" s="391">
        <v>0</v>
      </c>
      <c r="E28" s="391">
        <v>0</v>
      </c>
      <c r="F28" s="391">
        <v>0</v>
      </c>
      <c r="G28" s="391">
        <v>1</v>
      </c>
      <c r="H28" s="391">
        <v>0</v>
      </c>
      <c r="I28" s="391">
        <v>0</v>
      </c>
      <c r="J28" s="391">
        <v>0</v>
      </c>
      <c r="K28" s="391">
        <v>0</v>
      </c>
      <c r="L28" s="391">
        <v>0</v>
      </c>
      <c r="M28" s="391">
        <v>0</v>
      </c>
      <c r="N28" s="391">
        <v>0</v>
      </c>
      <c r="O28" s="391">
        <v>0</v>
      </c>
      <c r="P28" s="391">
        <v>0</v>
      </c>
      <c r="Q28" s="391">
        <v>0</v>
      </c>
      <c r="R28" s="391">
        <v>0</v>
      </c>
      <c r="S28" s="391"/>
      <c r="T28" s="391"/>
      <c r="W28" s="389"/>
      <c r="Z28" s="392">
        <f>1-SUM(C28:X28)</f>
        <v>0</v>
      </c>
    </row>
    <row r="29" spans="1:26" ht="16.2">
      <c r="A29" s="382" t="str">
        <f>'ASSUM 2'!A29</f>
        <v>Six Ring Bus</v>
      </c>
      <c r="B29" s="395">
        <f>'ASSUM 2'!E29</f>
        <v>3.1280000000000001</v>
      </c>
      <c r="C29" s="393">
        <f t="shared" ref="C29:R29" si="7">C17</f>
        <v>0.08</v>
      </c>
      <c r="D29" s="394">
        <f t="shared" si="7"/>
        <v>0.05</v>
      </c>
      <c r="E29" s="394">
        <f t="shared" si="7"/>
        <v>0.05</v>
      </c>
      <c r="F29" s="394">
        <f t="shared" si="7"/>
        <v>0.05</v>
      </c>
      <c r="G29" s="394">
        <f t="shared" si="7"/>
        <v>0.05</v>
      </c>
      <c r="H29" s="394">
        <f t="shared" si="7"/>
        <v>9.4E-2</v>
      </c>
      <c r="I29" s="394">
        <f t="shared" si="7"/>
        <v>4.4499999999999998E-2</v>
      </c>
      <c r="J29" s="394">
        <f t="shared" si="7"/>
        <v>3.85E-2</v>
      </c>
      <c r="K29" s="394">
        <f t="shared" si="7"/>
        <v>4.4499999999999998E-2</v>
      </c>
      <c r="L29" s="394">
        <f t="shared" si="7"/>
        <v>4.4499999999999998E-2</v>
      </c>
      <c r="M29" s="394">
        <f t="shared" si="7"/>
        <v>6.6699999999999995E-2</v>
      </c>
      <c r="N29" s="394">
        <f t="shared" si="7"/>
        <v>6.6699999999999995E-2</v>
      </c>
      <c r="O29" s="394">
        <f t="shared" si="7"/>
        <v>0.11</v>
      </c>
      <c r="P29" s="394">
        <f t="shared" si="7"/>
        <v>7.0000000000000007E-2</v>
      </c>
      <c r="Q29" s="394">
        <f t="shared" si="7"/>
        <v>7.0000000000000007E-2</v>
      </c>
      <c r="R29" s="394">
        <f t="shared" si="7"/>
        <v>7.0599999999999996E-2</v>
      </c>
      <c r="S29" s="394"/>
      <c r="W29" s="389"/>
      <c r="Z29" s="392">
        <f>1-SUM(C29:X29)</f>
        <v>0</v>
      </c>
    </row>
    <row r="30" spans="1:26" ht="16.2">
      <c r="A30" s="382" t="str">
        <f>'ASSUM 2'!A30</f>
        <v xml:space="preserve">   Total Other</v>
      </c>
      <c r="B30" s="367">
        <f>SUM(B26:B29)</f>
        <v>6.4950000000000001</v>
      </c>
      <c r="C30" s="393"/>
      <c r="D30" s="394"/>
      <c r="E30" s="368"/>
      <c r="F30" s="398"/>
      <c r="G30" s="398"/>
      <c r="H30" s="398"/>
      <c r="I30" s="398"/>
      <c r="M30" s="394"/>
      <c r="N30" s="394"/>
      <c r="O30" s="368"/>
      <c r="P30" s="398"/>
      <c r="Q30" s="398"/>
      <c r="R30" s="398"/>
      <c r="S30" s="398"/>
      <c r="W30" s="389"/>
      <c r="Z30" s="392"/>
    </row>
    <row r="31" spans="1:26" ht="16.2">
      <c r="A31" s="382"/>
      <c r="B31" s="367"/>
      <c r="C31" s="396"/>
      <c r="D31" s="397"/>
      <c r="E31" s="368"/>
      <c r="F31" s="398"/>
      <c r="G31" s="398"/>
      <c r="H31" s="398"/>
      <c r="I31" s="398"/>
      <c r="M31" s="368"/>
      <c r="N31" s="397"/>
      <c r="O31" s="368"/>
      <c r="P31" s="398"/>
      <c r="Q31" s="398"/>
      <c r="R31" s="398"/>
      <c r="S31" s="398"/>
      <c r="W31" s="389"/>
      <c r="Z31" s="392"/>
    </row>
    <row r="32" spans="1:26" ht="16.2">
      <c r="A32" s="382" t="str">
        <f>'ASSUM 2'!A32</f>
        <v>Soft Costs</v>
      </c>
      <c r="B32" s="383"/>
      <c r="C32" s="396"/>
      <c r="D32" s="397"/>
      <c r="E32" s="368"/>
      <c r="F32" s="398"/>
      <c r="G32" s="398"/>
      <c r="H32" s="398"/>
      <c r="I32" s="398"/>
      <c r="M32" s="368"/>
      <c r="N32" s="397"/>
      <c r="O32" s="368"/>
      <c r="P32" s="398"/>
      <c r="Q32" s="398"/>
      <c r="R32" s="398"/>
      <c r="S32" s="398"/>
      <c r="W32" s="389"/>
      <c r="Z32" s="392"/>
    </row>
    <row r="33" spans="1:26" ht="16.2">
      <c r="A33" s="382" t="str">
        <f>'ASSUM 2'!A33</f>
        <v>Development Cost Budget</v>
      </c>
      <c r="B33" s="367">
        <f>'ASSUM 2'!E33</f>
        <v>2.2999999999999998</v>
      </c>
      <c r="C33" s="390">
        <v>0.4</v>
      </c>
      <c r="D33" s="391">
        <f>(1-+C33)/($R$5-1)</f>
        <v>0.04</v>
      </c>
      <c r="E33" s="391">
        <f t="shared" ref="E33:R33" si="8">D33</f>
        <v>0.04</v>
      </c>
      <c r="F33" s="391">
        <f t="shared" si="8"/>
        <v>0.04</v>
      </c>
      <c r="G33" s="391">
        <f t="shared" si="8"/>
        <v>0.04</v>
      </c>
      <c r="H33" s="391">
        <f t="shared" si="8"/>
        <v>0.04</v>
      </c>
      <c r="I33" s="391">
        <f t="shared" si="8"/>
        <v>0.04</v>
      </c>
      <c r="J33" s="391">
        <f t="shared" si="8"/>
        <v>0.04</v>
      </c>
      <c r="K33" s="391">
        <f t="shared" si="8"/>
        <v>0.04</v>
      </c>
      <c r="L33" s="391">
        <f t="shared" si="8"/>
        <v>0.04</v>
      </c>
      <c r="M33" s="391">
        <f t="shared" si="8"/>
        <v>0.04</v>
      </c>
      <c r="N33" s="391">
        <f t="shared" si="8"/>
        <v>0.04</v>
      </c>
      <c r="O33" s="391">
        <f t="shared" si="8"/>
        <v>0.04</v>
      </c>
      <c r="P33" s="391">
        <f t="shared" si="8"/>
        <v>0.04</v>
      </c>
      <c r="Q33" s="391">
        <f t="shared" si="8"/>
        <v>0.04</v>
      </c>
      <c r="R33" s="391">
        <f t="shared" si="8"/>
        <v>0.04</v>
      </c>
      <c r="S33" s="394"/>
      <c r="T33" s="394"/>
      <c r="W33" s="389"/>
      <c r="Z33" s="392">
        <f t="shared" ref="Z33:Z52" si="9">1-SUM(C33:X33)</f>
        <v>0</v>
      </c>
    </row>
    <row r="34" spans="1:26" ht="16.2">
      <c r="A34" s="382" t="str">
        <f>'ASSUM 2'!A34</f>
        <v>Construction Over-site budget</v>
      </c>
      <c r="B34" s="367">
        <f>'ASSUM 2'!E34</f>
        <v>1.1559999999999999</v>
      </c>
      <c r="C34" s="393">
        <f t="shared" ref="C34:R34" si="10">1/(MAX(C5:X5)-1)</f>
        <v>6.25E-2</v>
      </c>
      <c r="D34" s="394">
        <f t="shared" si="10"/>
        <v>6.25E-2</v>
      </c>
      <c r="E34" s="394">
        <f t="shared" si="10"/>
        <v>6.25E-2</v>
      </c>
      <c r="F34" s="394">
        <f t="shared" si="10"/>
        <v>6.25E-2</v>
      </c>
      <c r="G34" s="394">
        <f t="shared" si="10"/>
        <v>6.25E-2</v>
      </c>
      <c r="H34" s="394">
        <f t="shared" si="10"/>
        <v>6.25E-2</v>
      </c>
      <c r="I34" s="394">
        <f t="shared" si="10"/>
        <v>6.25E-2</v>
      </c>
      <c r="J34" s="394">
        <f t="shared" si="10"/>
        <v>6.25E-2</v>
      </c>
      <c r="K34" s="394">
        <f t="shared" si="10"/>
        <v>6.25E-2</v>
      </c>
      <c r="L34" s="394">
        <f t="shared" si="10"/>
        <v>6.25E-2</v>
      </c>
      <c r="M34" s="394">
        <f t="shared" si="10"/>
        <v>6.25E-2</v>
      </c>
      <c r="N34" s="394">
        <f t="shared" si="10"/>
        <v>6.25E-2</v>
      </c>
      <c r="O34" s="394">
        <f t="shared" si="10"/>
        <v>6.25E-2</v>
      </c>
      <c r="P34" s="394">
        <f t="shared" si="10"/>
        <v>6.25E-2</v>
      </c>
      <c r="Q34" s="394">
        <f t="shared" si="10"/>
        <v>6.25E-2</v>
      </c>
      <c r="R34" s="394">
        <f t="shared" si="10"/>
        <v>6.25E-2</v>
      </c>
      <c r="S34" s="394"/>
      <c r="T34" s="394"/>
      <c r="W34" s="389"/>
      <c r="Z34" s="392">
        <f t="shared" si="9"/>
        <v>0</v>
      </c>
    </row>
    <row r="35" spans="1:26" ht="16.2">
      <c r="A35" s="382" t="str">
        <f>'ASSUM 2'!A35</f>
        <v>Other</v>
      </c>
      <c r="B35" s="367">
        <f>'ASSUM 2'!E35</f>
        <v>0</v>
      </c>
      <c r="C35" s="393">
        <v>1</v>
      </c>
      <c r="D35" s="394">
        <v>0</v>
      </c>
      <c r="E35" s="394">
        <v>0</v>
      </c>
      <c r="F35" s="394">
        <v>0</v>
      </c>
      <c r="G35" s="394">
        <v>0</v>
      </c>
      <c r="H35" s="394">
        <v>0</v>
      </c>
      <c r="I35" s="394">
        <v>0</v>
      </c>
      <c r="J35" s="394">
        <v>0</v>
      </c>
      <c r="K35" s="394">
        <v>0</v>
      </c>
      <c r="L35" s="394">
        <v>0</v>
      </c>
      <c r="M35" s="394">
        <v>0</v>
      </c>
      <c r="N35" s="394">
        <v>0</v>
      </c>
      <c r="O35" s="394">
        <v>0</v>
      </c>
      <c r="P35" s="394">
        <v>0</v>
      </c>
      <c r="Q35" s="394">
        <v>0</v>
      </c>
      <c r="R35" s="394">
        <v>0</v>
      </c>
      <c r="S35" s="394"/>
      <c r="T35" s="394"/>
      <c r="W35" s="389"/>
      <c r="Z35" s="392">
        <f t="shared" si="9"/>
        <v>0</v>
      </c>
    </row>
    <row r="36" spans="1:26" ht="16.2">
      <c r="A36" s="382" t="str">
        <f>'ASSUM 2'!A36</f>
        <v xml:space="preserve">Other </v>
      </c>
      <c r="B36" s="367">
        <f>'ASSUM 2'!E36</f>
        <v>0</v>
      </c>
      <c r="C36" s="390">
        <v>0.35</v>
      </c>
      <c r="D36" s="391">
        <v>0.1</v>
      </c>
      <c r="E36" s="391">
        <v>0.1</v>
      </c>
      <c r="F36" s="391">
        <v>0.1</v>
      </c>
      <c r="G36" s="391">
        <v>0.1</v>
      </c>
      <c r="H36" s="391">
        <v>0.1</v>
      </c>
      <c r="I36" s="391">
        <v>0.1</v>
      </c>
      <c r="J36" s="391">
        <v>0.05</v>
      </c>
      <c r="K36" s="391">
        <v>0</v>
      </c>
      <c r="L36" s="391">
        <v>0</v>
      </c>
      <c r="M36" s="391">
        <v>0</v>
      </c>
      <c r="N36" s="391">
        <v>0</v>
      </c>
      <c r="O36" s="391">
        <v>0</v>
      </c>
      <c r="P36" s="391">
        <v>0</v>
      </c>
      <c r="Q36" s="391">
        <v>0</v>
      </c>
      <c r="R36" s="391">
        <v>0</v>
      </c>
      <c r="S36" s="394"/>
      <c r="T36" s="394"/>
      <c r="W36" s="389"/>
      <c r="Z36" s="392">
        <f t="shared" si="9"/>
        <v>0</v>
      </c>
    </row>
    <row r="37" spans="1:26" ht="16.2">
      <c r="A37" s="382" t="str">
        <f>'ASSUM 2'!A37</f>
        <v>Other</v>
      </c>
      <c r="B37" s="367">
        <f>'ASSUM 2'!E37</f>
        <v>0</v>
      </c>
      <c r="C37" s="393">
        <f t="shared" ref="C37:R37" si="11">C36</f>
        <v>0.35</v>
      </c>
      <c r="D37" s="394">
        <f t="shared" si="11"/>
        <v>0.1</v>
      </c>
      <c r="E37" s="394">
        <f t="shared" si="11"/>
        <v>0.1</v>
      </c>
      <c r="F37" s="394">
        <f t="shared" si="11"/>
        <v>0.1</v>
      </c>
      <c r="G37" s="394">
        <f t="shared" si="11"/>
        <v>0.1</v>
      </c>
      <c r="H37" s="394">
        <f t="shared" si="11"/>
        <v>0.1</v>
      </c>
      <c r="I37" s="394">
        <f t="shared" si="11"/>
        <v>0.1</v>
      </c>
      <c r="J37" s="394">
        <f t="shared" si="11"/>
        <v>0.05</v>
      </c>
      <c r="K37" s="394">
        <f t="shared" si="11"/>
        <v>0</v>
      </c>
      <c r="L37" s="394">
        <f t="shared" si="11"/>
        <v>0</v>
      </c>
      <c r="M37" s="394">
        <f t="shared" si="11"/>
        <v>0</v>
      </c>
      <c r="N37" s="394">
        <f t="shared" si="11"/>
        <v>0</v>
      </c>
      <c r="O37" s="394">
        <f t="shared" si="11"/>
        <v>0</v>
      </c>
      <c r="P37" s="394">
        <f t="shared" si="11"/>
        <v>0</v>
      </c>
      <c r="Q37" s="394">
        <f t="shared" si="11"/>
        <v>0</v>
      </c>
      <c r="R37" s="394">
        <f t="shared" si="11"/>
        <v>0</v>
      </c>
      <c r="S37" s="394"/>
      <c r="T37" s="394"/>
      <c r="W37" s="389"/>
      <c r="Z37" s="392">
        <f t="shared" si="9"/>
        <v>0</v>
      </c>
    </row>
    <row r="38" spans="1:26" ht="16.2">
      <c r="A38" s="382" t="str">
        <f>'ASSUM 2'!A38</f>
        <v>Financing Fees</v>
      </c>
      <c r="B38" s="367">
        <f>'ASSUM 2'!E38</f>
        <v>2.7</v>
      </c>
      <c r="C38" s="390">
        <v>0</v>
      </c>
      <c r="D38" s="391">
        <v>0</v>
      </c>
      <c r="E38" s="391">
        <v>0</v>
      </c>
      <c r="F38" s="391">
        <v>0</v>
      </c>
      <c r="G38" s="391">
        <v>0</v>
      </c>
      <c r="H38" s="391">
        <v>1</v>
      </c>
      <c r="I38" s="391">
        <v>0</v>
      </c>
      <c r="J38" s="391">
        <v>0</v>
      </c>
      <c r="K38" s="391">
        <v>0</v>
      </c>
      <c r="L38" s="391">
        <v>0</v>
      </c>
      <c r="M38" s="391">
        <v>0</v>
      </c>
      <c r="N38" s="391">
        <v>0</v>
      </c>
      <c r="O38" s="391">
        <v>0</v>
      </c>
      <c r="P38" s="391">
        <v>0</v>
      </c>
      <c r="Q38" s="391">
        <v>0</v>
      </c>
      <c r="R38" s="391">
        <v>0</v>
      </c>
      <c r="S38" s="394"/>
      <c r="T38" s="394"/>
      <c r="W38" s="389"/>
      <c r="Z38" s="392">
        <f t="shared" si="9"/>
        <v>0</v>
      </c>
    </row>
    <row r="39" spans="1:26" ht="16.2">
      <c r="A39" s="382" t="str">
        <f>'ASSUM 2'!A39</f>
        <v>Commitment Fees</v>
      </c>
      <c r="B39" s="367">
        <f>'ASSUM 2'!E39</f>
        <v>0</v>
      </c>
      <c r="C39" s="390">
        <v>0</v>
      </c>
      <c r="D39" s="391">
        <v>0</v>
      </c>
      <c r="E39" s="391">
        <v>0</v>
      </c>
      <c r="F39" s="391">
        <v>0</v>
      </c>
      <c r="G39" s="391">
        <v>0</v>
      </c>
      <c r="H39" s="391">
        <v>1</v>
      </c>
      <c r="I39" s="391">
        <v>0</v>
      </c>
      <c r="J39" s="391">
        <v>0</v>
      </c>
      <c r="K39" s="391">
        <v>0</v>
      </c>
      <c r="L39" s="391">
        <v>0</v>
      </c>
      <c r="M39" s="391">
        <v>0</v>
      </c>
      <c r="N39" s="391">
        <v>0</v>
      </c>
      <c r="O39" s="391">
        <v>0</v>
      </c>
      <c r="P39" s="391">
        <v>0</v>
      </c>
      <c r="Q39" s="391">
        <v>0</v>
      </c>
      <c r="R39" s="391">
        <v>0</v>
      </c>
      <c r="S39" s="394"/>
      <c r="T39" s="394"/>
      <c r="W39" s="389"/>
      <c r="Z39" s="392">
        <f t="shared" si="9"/>
        <v>0</v>
      </c>
    </row>
    <row r="40" spans="1:26" ht="16.2">
      <c r="A40" s="382" t="str">
        <f>'ASSUM 2'!A40</f>
        <v>Other</v>
      </c>
      <c r="B40" s="367">
        <f>'ASSUM 2'!E40</f>
        <v>0</v>
      </c>
      <c r="C40" s="393">
        <v>1</v>
      </c>
      <c r="D40" s="394">
        <v>0</v>
      </c>
      <c r="E40" s="394">
        <v>0</v>
      </c>
      <c r="F40" s="394">
        <v>0</v>
      </c>
      <c r="G40" s="394">
        <v>0</v>
      </c>
      <c r="H40" s="394">
        <v>0</v>
      </c>
      <c r="I40" s="394">
        <v>0</v>
      </c>
      <c r="J40" s="394">
        <v>0</v>
      </c>
      <c r="K40" s="394">
        <v>0</v>
      </c>
      <c r="L40" s="394">
        <v>0</v>
      </c>
      <c r="M40" s="394">
        <v>0</v>
      </c>
      <c r="N40" s="394">
        <v>0</v>
      </c>
      <c r="O40" s="394">
        <v>0</v>
      </c>
      <c r="P40" s="394">
        <v>0</v>
      </c>
      <c r="Q40" s="394">
        <v>0</v>
      </c>
      <c r="R40" s="394">
        <v>0</v>
      </c>
      <c r="S40" s="394"/>
      <c r="T40" s="394"/>
      <c r="W40" s="389"/>
      <c r="Z40" s="392">
        <f t="shared" si="9"/>
        <v>0</v>
      </c>
    </row>
    <row r="41" spans="1:26" ht="16.2">
      <c r="A41" s="382" t="str">
        <f>'ASSUM 2'!A41</f>
        <v>Spares and Tools</v>
      </c>
      <c r="B41" s="367">
        <f>'ASSUM 2'!E41</f>
        <v>1.5</v>
      </c>
      <c r="C41" s="390">
        <v>0</v>
      </c>
      <c r="D41" s="391">
        <v>0</v>
      </c>
      <c r="E41" s="391">
        <v>0</v>
      </c>
      <c r="F41" s="391">
        <v>0</v>
      </c>
      <c r="G41" s="391">
        <v>0</v>
      </c>
      <c r="H41" s="391">
        <v>0</v>
      </c>
      <c r="I41" s="391">
        <v>0.4</v>
      </c>
      <c r="J41" s="391">
        <v>0</v>
      </c>
      <c r="K41" s="391">
        <v>0</v>
      </c>
      <c r="L41" s="391">
        <v>0</v>
      </c>
      <c r="M41" s="391">
        <v>0</v>
      </c>
      <c r="N41" s="391">
        <v>0</v>
      </c>
      <c r="O41" s="391">
        <v>0</v>
      </c>
      <c r="P41" s="391">
        <v>0</v>
      </c>
      <c r="Q41" s="391">
        <v>0</v>
      </c>
      <c r="R41" s="391">
        <v>0.6</v>
      </c>
      <c r="S41" s="391"/>
      <c r="T41" s="391"/>
      <c r="W41" s="389"/>
      <c r="Z41" s="392">
        <f t="shared" si="9"/>
        <v>0</v>
      </c>
    </row>
    <row r="42" spans="1:26" ht="16.2">
      <c r="A42" s="382" t="str">
        <f>'ASSUM 2'!A42</f>
        <v>Builders Risk Insurance</v>
      </c>
      <c r="B42" s="367">
        <f>'ASSUM 2'!E42</f>
        <v>0.41087218150457139</v>
      </c>
      <c r="C42" s="393">
        <v>1</v>
      </c>
      <c r="D42" s="394">
        <v>0</v>
      </c>
      <c r="E42" s="394">
        <v>0</v>
      </c>
      <c r="F42" s="394">
        <v>0</v>
      </c>
      <c r="G42" s="394">
        <v>0</v>
      </c>
      <c r="H42" s="394">
        <v>0</v>
      </c>
      <c r="I42" s="394">
        <v>0</v>
      </c>
      <c r="J42" s="394">
        <v>0</v>
      </c>
      <c r="K42" s="394">
        <v>0</v>
      </c>
      <c r="L42" s="394">
        <v>0</v>
      </c>
      <c r="M42" s="394">
        <v>0</v>
      </c>
      <c r="N42" s="394">
        <v>0</v>
      </c>
      <c r="O42" s="394">
        <v>0</v>
      </c>
      <c r="P42" s="394">
        <v>0</v>
      </c>
      <c r="Q42" s="394">
        <v>0</v>
      </c>
      <c r="R42" s="394">
        <v>0</v>
      </c>
      <c r="S42" s="394"/>
      <c r="T42" s="394"/>
      <c r="W42" s="389"/>
      <c r="Z42" s="392">
        <f t="shared" si="9"/>
        <v>0</v>
      </c>
    </row>
    <row r="43" spans="1:26" ht="16.2">
      <c r="A43" s="382" t="str">
        <f>'ASSUM 2'!A43</f>
        <v>O&amp;M Mobilization</v>
      </c>
      <c r="B43" s="367">
        <f>'ASSUM 2'!E43</f>
        <v>0.8</v>
      </c>
      <c r="C43" s="393">
        <f t="shared" ref="C43:R43" si="12">C34</f>
        <v>6.25E-2</v>
      </c>
      <c r="D43" s="394">
        <f t="shared" si="12"/>
        <v>6.25E-2</v>
      </c>
      <c r="E43" s="394">
        <f t="shared" si="12"/>
        <v>6.25E-2</v>
      </c>
      <c r="F43" s="394">
        <f t="shared" si="12"/>
        <v>6.25E-2</v>
      </c>
      <c r="G43" s="394">
        <f t="shared" si="12"/>
        <v>6.25E-2</v>
      </c>
      <c r="H43" s="394">
        <f t="shared" si="12"/>
        <v>6.25E-2</v>
      </c>
      <c r="I43" s="394">
        <f t="shared" si="12"/>
        <v>6.25E-2</v>
      </c>
      <c r="J43" s="394">
        <f t="shared" si="12"/>
        <v>6.25E-2</v>
      </c>
      <c r="K43" s="394">
        <f t="shared" si="12"/>
        <v>6.25E-2</v>
      </c>
      <c r="L43" s="394">
        <f t="shared" si="12"/>
        <v>6.25E-2</v>
      </c>
      <c r="M43" s="394">
        <f t="shared" si="12"/>
        <v>6.25E-2</v>
      </c>
      <c r="N43" s="394">
        <f t="shared" si="12"/>
        <v>6.25E-2</v>
      </c>
      <c r="O43" s="394">
        <f t="shared" si="12"/>
        <v>6.25E-2</v>
      </c>
      <c r="P43" s="394">
        <f t="shared" si="12"/>
        <v>6.25E-2</v>
      </c>
      <c r="Q43" s="394">
        <f t="shared" si="12"/>
        <v>6.25E-2</v>
      </c>
      <c r="R43" s="394">
        <f t="shared" si="12"/>
        <v>6.25E-2</v>
      </c>
      <c r="S43" s="394"/>
      <c r="T43" s="394"/>
      <c r="W43" s="389"/>
      <c r="Z43" s="392">
        <f t="shared" si="9"/>
        <v>0</v>
      </c>
    </row>
    <row r="44" spans="1:26" ht="16.2">
      <c r="A44" s="382" t="str">
        <f>'ASSUM 2'!A44</f>
        <v>Lender Legal</v>
      </c>
      <c r="B44" s="367">
        <f>'ASSUM 2'!E44</f>
        <v>1</v>
      </c>
      <c r="C44" s="390">
        <v>0</v>
      </c>
      <c r="D44" s="391">
        <f>D35</f>
        <v>0</v>
      </c>
      <c r="E44" s="391">
        <f>E35</f>
        <v>0</v>
      </c>
      <c r="F44" s="391">
        <f>F35</f>
        <v>0</v>
      </c>
      <c r="G44" s="391">
        <f>G35</f>
        <v>0</v>
      </c>
      <c r="H44" s="391">
        <v>0</v>
      </c>
      <c r="I44" s="391">
        <v>1</v>
      </c>
      <c r="J44" s="391">
        <f t="shared" ref="J44:R44" si="13">J35</f>
        <v>0</v>
      </c>
      <c r="K44" s="391">
        <f t="shared" si="13"/>
        <v>0</v>
      </c>
      <c r="L44" s="391">
        <f t="shared" si="13"/>
        <v>0</v>
      </c>
      <c r="M44" s="391">
        <f t="shared" si="13"/>
        <v>0</v>
      </c>
      <c r="N44" s="391">
        <f t="shared" si="13"/>
        <v>0</v>
      </c>
      <c r="O44" s="391">
        <f t="shared" si="13"/>
        <v>0</v>
      </c>
      <c r="P44" s="391">
        <f t="shared" si="13"/>
        <v>0</v>
      </c>
      <c r="Q44" s="391">
        <f t="shared" si="13"/>
        <v>0</v>
      </c>
      <c r="R44" s="391">
        <f t="shared" si="13"/>
        <v>0</v>
      </c>
      <c r="S44" s="394"/>
      <c r="T44" s="394"/>
      <c r="W44" s="389"/>
      <c r="Z44" s="392">
        <f t="shared" si="9"/>
        <v>0</v>
      </c>
    </row>
    <row r="45" spans="1:26" ht="16.2">
      <c r="A45" s="382" t="str">
        <f>'ASSUM 2'!A45</f>
        <v>Vehicles</v>
      </c>
      <c r="B45" s="367">
        <f>'ASSUM 2'!E45</f>
        <v>0.1</v>
      </c>
      <c r="C45" s="390">
        <v>0</v>
      </c>
      <c r="D45" s="391">
        <v>0</v>
      </c>
      <c r="E45" s="391">
        <v>0</v>
      </c>
      <c r="F45" s="391">
        <v>0</v>
      </c>
      <c r="G45" s="391">
        <v>1</v>
      </c>
      <c r="H45" s="391">
        <v>0</v>
      </c>
      <c r="I45" s="391">
        <v>0</v>
      </c>
      <c r="J45" s="391">
        <v>0</v>
      </c>
      <c r="K45" s="391">
        <v>0</v>
      </c>
      <c r="L45" s="391">
        <v>0</v>
      </c>
      <c r="M45" s="391">
        <v>0</v>
      </c>
      <c r="N45" s="391">
        <v>0</v>
      </c>
      <c r="O45" s="391">
        <v>0</v>
      </c>
      <c r="P45" s="391">
        <v>0</v>
      </c>
      <c r="Q45" s="391">
        <v>0</v>
      </c>
      <c r="R45" s="391">
        <v>0</v>
      </c>
      <c r="S45" s="394"/>
      <c r="T45" s="394"/>
      <c r="W45" s="389"/>
      <c r="Z45" s="392">
        <f t="shared" si="9"/>
        <v>0</v>
      </c>
    </row>
    <row r="46" spans="1:26" ht="16.2">
      <c r="A46" s="382" t="str">
        <f>'ASSUM 2'!A46</f>
        <v>Document Recording Tax (State of VA tax)</v>
      </c>
      <c r="B46" s="367">
        <f>'ASSUM 2'!E46</f>
        <v>7.4999999999999997E-3</v>
      </c>
      <c r="C46" s="390">
        <v>0</v>
      </c>
      <c r="D46" s="391">
        <v>0</v>
      </c>
      <c r="E46" s="391">
        <v>0</v>
      </c>
      <c r="F46" s="391">
        <v>0</v>
      </c>
      <c r="G46" s="391">
        <v>0</v>
      </c>
      <c r="H46" s="391">
        <v>0</v>
      </c>
      <c r="I46" s="391">
        <v>0.5</v>
      </c>
      <c r="J46" s="391">
        <v>0</v>
      </c>
      <c r="K46" s="391">
        <v>0</v>
      </c>
      <c r="L46" s="391">
        <v>0</v>
      </c>
      <c r="M46" s="391">
        <v>0</v>
      </c>
      <c r="N46" s="391">
        <v>0</v>
      </c>
      <c r="O46" s="391">
        <v>0</v>
      </c>
      <c r="P46" s="391">
        <v>0</v>
      </c>
      <c r="Q46" s="391">
        <v>0</v>
      </c>
      <c r="R46" s="391">
        <v>0.5</v>
      </c>
      <c r="S46" s="391"/>
      <c r="T46" s="391"/>
      <c r="W46" s="389"/>
      <c r="Z46" s="392">
        <f t="shared" si="9"/>
        <v>0</v>
      </c>
    </row>
    <row r="47" spans="1:26" ht="16.2">
      <c r="A47" s="382" t="str">
        <f>'ASSUM 2'!A47</f>
        <v>Working Capital</v>
      </c>
      <c r="B47" s="367">
        <f>'ASSUM 2'!E47</f>
        <v>1.4142468281858152</v>
      </c>
      <c r="C47" s="390">
        <v>0</v>
      </c>
      <c r="D47" s="391">
        <v>0</v>
      </c>
      <c r="E47" s="391">
        <v>0</v>
      </c>
      <c r="F47" s="391">
        <v>0</v>
      </c>
      <c r="G47" s="391">
        <v>0</v>
      </c>
      <c r="H47" s="391">
        <v>0</v>
      </c>
      <c r="I47" s="391">
        <v>0.5</v>
      </c>
      <c r="J47" s="391">
        <v>0</v>
      </c>
      <c r="K47" s="391">
        <v>0</v>
      </c>
      <c r="L47" s="391">
        <v>0</v>
      </c>
      <c r="M47" s="391">
        <v>0</v>
      </c>
      <c r="N47" s="391">
        <v>0</v>
      </c>
      <c r="O47" s="391">
        <v>0</v>
      </c>
      <c r="P47" s="391">
        <v>0</v>
      </c>
      <c r="Q47" s="391">
        <v>0</v>
      </c>
      <c r="R47" s="391">
        <v>0.5</v>
      </c>
      <c r="S47" s="391"/>
      <c r="T47" s="391"/>
      <c r="W47" s="389"/>
      <c r="Z47" s="392">
        <f t="shared" si="9"/>
        <v>0</v>
      </c>
    </row>
    <row r="48" spans="1:26" ht="16.2">
      <c r="A48" s="382" t="str">
        <f>'ASSUM 2'!A48</f>
        <v>Other</v>
      </c>
      <c r="B48" s="367">
        <f>'ASSUM 2'!E48</f>
        <v>0</v>
      </c>
      <c r="C48" s="390">
        <v>0</v>
      </c>
      <c r="D48" s="391">
        <v>0</v>
      </c>
      <c r="E48" s="391">
        <v>0</v>
      </c>
      <c r="F48" s="391">
        <v>0</v>
      </c>
      <c r="G48" s="391">
        <v>0</v>
      </c>
      <c r="H48" s="391">
        <v>1</v>
      </c>
      <c r="I48" s="391">
        <v>0</v>
      </c>
      <c r="J48" s="391">
        <v>0</v>
      </c>
      <c r="K48" s="391">
        <v>0</v>
      </c>
      <c r="L48" s="391">
        <v>0</v>
      </c>
      <c r="M48" s="391">
        <v>0</v>
      </c>
      <c r="N48" s="391">
        <v>0</v>
      </c>
      <c r="O48" s="391">
        <v>0</v>
      </c>
      <c r="P48" s="391">
        <v>0</v>
      </c>
      <c r="Q48" s="391">
        <v>0</v>
      </c>
      <c r="R48" s="391">
        <v>0</v>
      </c>
      <c r="S48" s="391"/>
      <c r="T48" s="391"/>
      <c r="W48" s="389"/>
      <c r="Z48" s="392">
        <f t="shared" si="9"/>
        <v>0</v>
      </c>
    </row>
    <row r="49" spans="1:26" ht="16.2">
      <c r="A49" s="382" t="str">
        <f>'ASSUM 2'!A49</f>
        <v xml:space="preserve">Debt Reserve </v>
      </c>
      <c r="B49" s="367">
        <f ca="1">'ASSUM 2'!E49</f>
        <v>9.6072300000000013</v>
      </c>
      <c r="C49" s="390">
        <v>0</v>
      </c>
      <c r="D49" s="391">
        <v>0</v>
      </c>
      <c r="E49" s="391">
        <v>0</v>
      </c>
      <c r="F49" s="391">
        <v>0</v>
      </c>
      <c r="G49" s="391">
        <v>0</v>
      </c>
      <c r="H49" s="391">
        <v>1</v>
      </c>
      <c r="I49" s="391">
        <v>0</v>
      </c>
      <c r="J49" s="391">
        <v>0</v>
      </c>
      <c r="K49" s="391">
        <v>0</v>
      </c>
      <c r="L49" s="391">
        <v>0</v>
      </c>
      <c r="M49" s="391">
        <v>0</v>
      </c>
      <c r="N49" s="391">
        <v>0</v>
      </c>
      <c r="O49" s="391">
        <v>0</v>
      </c>
      <c r="P49" s="391">
        <v>0</v>
      </c>
      <c r="Q49" s="391">
        <v>0</v>
      </c>
      <c r="R49" s="391">
        <v>0</v>
      </c>
      <c r="S49" s="391"/>
      <c r="T49" s="391"/>
      <c r="W49" s="389"/>
      <c r="Z49" s="392">
        <f t="shared" si="9"/>
        <v>0</v>
      </c>
    </row>
    <row r="50" spans="1:26" ht="16.2">
      <c r="A50" s="382" t="str">
        <f>'ASSUM 2'!A50</f>
        <v>Other</v>
      </c>
      <c r="B50" s="367">
        <f>'ASSUM 2'!E50</f>
        <v>0</v>
      </c>
      <c r="C50" s="390">
        <v>1</v>
      </c>
      <c r="D50" s="391">
        <v>0</v>
      </c>
      <c r="E50" s="391">
        <v>0</v>
      </c>
      <c r="F50" s="391">
        <v>0</v>
      </c>
      <c r="G50" s="391">
        <v>0</v>
      </c>
      <c r="H50" s="391">
        <v>0</v>
      </c>
      <c r="I50" s="391">
        <v>0</v>
      </c>
      <c r="J50" s="391">
        <v>0</v>
      </c>
      <c r="K50" s="391">
        <v>0</v>
      </c>
      <c r="L50" s="391">
        <v>0</v>
      </c>
      <c r="M50" s="391">
        <v>0</v>
      </c>
      <c r="N50" s="391">
        <v>0</v>
      </c>
      <c r="O50" s="391">
        <v>0</v>
      </c>
      <c r="P50" s="391">
        <v>0</v>
      </c>
      <c r="Q50" s="391">
        <v>0</v>
      </c>
      <c r="R50" s="391">
        <v>0</v>
      </c>
      <c r="S50" s="391"/>
      <c r="T50" s="391"/>
      <c r="W50" s="389"/>
      <c r="Z50" s="392">
        <f t="shared" si="9"/>
        <v>0</v>
      </c>
    </row>
    <row r="51" spans="1:26" ht="16.2">
      <c r="A51" s="382" t="str">
        <f>'ASSUM 2'!A51</f>
        <v>Environmental Impact Assessment</v>
      </c>
      <c r="B51" s="367">
        <f>'ASSUM 2'!E51</f>
        <v>0.05</v>
      </c>
      <c r="C51" s="390">
        <v>1</v>
      </c>
      <c r="D51" s="391">
        <v>0</v>
      </c>
      <c r="E51" s="391">
        <v>0</v>
      </c>
      <c r="F51" s="391">
        <v>0</v>
      </c>
      <c r="G51" s="391">
        <v>0</v>
      </c>
      <c r="H51" s="391">
        <v>0</v>
      </c>
      <c r="I51" s="391">
        <v>0</v>
      </c>
      <c r="J51" s="391">
        <v>0</v>
      </c>
      <c r="K51" s="391">
        <v>0</v>
      </c>
      <c r="L51" s="391">
        <v>0</v>
      </c>
      <c r="M51" s="391">
        <v>0</v>
      </c>
      <c r="N51" s="391">
        <v>0</v>
      </c>
      <c r="O51" s="391">
        <v>0</v>
      </c>
      <c r="P51" s="391">
        <v>0</v>
      </c>
      <c r="Q51" s="391">
        <v>0</v>
      </c>
      <c r="R51" s="391">
        <v>0</v>
      </c>
      <c r="S51" s="391"/>
      <c r="T51" s="391"/>
      <c r="W51" s="389"/>
      <c r="Z51" s="392">
        <f t="shared" si="9"/>
        <v>0</v>
      </c>
    </row>
    <row r="52" spans="1:26" ht="16.2">
      <c r="A52" s="382" t="str">
        <f>'ASSUM 2'!A52</f>
        <v xml:space="preserve">Other </v>
      </c>
      <c r="B52" s="395">
        <f>'ASSUM 2'!E52</f>
        <v>0</v>
      </c>
      <c r="C52" s="393">
        <f t="shared" ref="C52:R52" si="14">C35</f>
        <v>1</v>
      </c>
      <c r="D52" s="394">
        <f t="shared" si="14"/>
        <v>0</v>
      </c>
      <c r="E52" s="394">
        <f t="shared" si="14"/>
        <v>0</v>
      </c>
      <c r="F52" s="394">
        <f t="shared" si="14"/>
        <v>0</v>
      </c>
      <c r="G52" s="394">
        <f t="shared" si="14"/>
        <v>0</v>
      </c>
      <c r="H52" s="394">
        <f t="shared" si="14"/>
        <v>0</v>
      </c>
      <c r="I52" s="394">
        <f t="shared" si="14"/>
        <v>0</v>
      </c>
      <c r="J52" s="394">
        <f t="shared" si="14"/>
        <v>0</v>
      </c>
      <c r="K52" s="394">
        <f t="shared" si="14"/>
        <v>0</v>
      </c>
      <c r="L52" s="394">
        <f t="shared" si="14"/>
        <v>0</v>
      </c>
      <c r="M52" s="394">
        <f t="shared" si="14"/>
        <v>0</v>
      </c>
      <c r="N52" s="394">
        <f t="shared" si="14"/>
        <v>0</v>
      </c>
      <c r="O52" s="394">
        <f t="shared" si="14"/>
        <v>0</v>
      </c>
      <c r="P52" s="394">
        <f t="shared" si="14"/>
        <v>0</v>
      </c>
      <c r="Q52" s="394">
        <f t="shared" si="14"/>
        <v>0</v>
      </c>
      <c r="R52" s="394">
        <f t="shared" si="14"/>
        <v>0</v>
      </c>
      <c r="S52" s="394"/>
      <c r="T52" s="394"/>
      <c r="W52" s="389"/>
      <c r="Z52" s="392">
        <f t="shared" si="9"/>
        <v>0</v>
      </c>
    </row>
    <row r="53" spans="1:26" ht="16.2">
      <c r="A53" s="382" t="str">
        <f>'ASSUM 2'!A53</f>
        <v xml:space="preserve">   Total Soft Costs</v>
      </c>
      <c r="B53" s="367">
        <f ca="1">SUM(B33:B52)</f>
        <v>21.045849009690389</v>
      </c>
      <c r="C53" s="396"/>
      <c r="D53" s="399"/>
      <c r="E53" s="368"/>
      <c r="F53" s="368"/>
      <c r="G53" s="368"/>
      <c r="H53" s="368"/>
      <c r="I53" s="368"/>
      <c r="M53" s="368"/>
      <c r="N53" s="399"/>
      <c r="O53" s="368"/>
      <c r="P53" s="368"/>
      <c r="Q53" s="368"/>
      <c r="R53" s="368"/>
      <c r="S53" s="368"/>
      <c r="W53" s="389"/>
      <c r="Z53" s="392"/>
    </row>
    <row r="54" spans="1:26" ht="16.2">
      <c r="A54" s="382"/>
      <c r="B54" s="367"/>
      <c r="C54" s="396"/>
      <c r="D54" s="399"/>
      <c r="E54" s="368"/>
      <c r="F54" s="368"/>
      <c r="G54" s="368"/>
      <c r="H54" s="368"/>
      <c r="I54" s="368"/>
      <c r="M54" s="368"/>
      <c r="N54" s="399"/>
      <c r="O54" s="368"/>
      <c r="P54" s="368"/>
      <c r="Q54" s="368"/>
      <c r="R54" s="368"/>
      <c r="S54" s="368"/>
      <c r="W54" s="389"/>
      <c r="Z54" s="392"/>
    </row>
    <row r="55" spans="1:26" ht="16.2">
      <c r="A55" s="382" t="str">
        <f>'ASSUM 2'!A55</f>
        <v>Contingency</v>
      </c>
      <c r="B55" s="383"/>
      <c r="C55" s="396"/>
      <c r="D55" s="399"/>
      <c r="E55" s="368"/>
      <c r="F55" s="368"/>
      <c r="G55" s="368"/>
      <c r="H55" s="368"/>
      <c r="I55" s="368"/>
      <c r="M55" s="368"/>
      <c r="N55" s="399"/>
      <c r="O55" s="368"/>
      <c r="P55" s="368"/>
      <c r="Q55" s="368"/>
      <c r="R55" s="368"/>
      <c r="S55" s="368"/>
      <c r="W55" s="389"/>
      <c r="Z55" s="392"/>
    </row>
    <row r="56" spans="1:26" ht="16.2">
      <c r="A56" s="382" t="str">
        <f>'ASSUM 2'!A56</f>
        <v>Major Equipment</v>
      </c>
      <c r="B56" s="367">
        <f>'ASSUM 2'!E56</f>
        <v>4.1087218150457137</v>
      </c>
      <c r="C56" s="390">
        <v>0</v>
      </c>
      <c r="D56" s="391">
        <v>0</v>
      </c>
      <c r="E56" s="391">
        <v>0</v>
      </c>
      <c r="F56" s="391">
        <v>0</v>
      </c>
      <c r="G56" s="391">
        <v>0</v>
      </c>
      <c r="H56" s="391">
        <v>0</v>
      </c>
      <c r="I56" s="391">
        <v>0</v>
      </c>
      <c r="J56" s="391">
        <v>0</v>
      </c>
      <c r="K56" s="391">
        <v>0</v>
      </c>
      <c r="L56" s="391">
        <v>0</v>
      </c>
      <c r="M56" s="391">
        <v>0</v>
      </c>
      <c r="N56" s="391">
        <v>0</v>
      </c>
      <c r="O56" s="391">
        <v>0.25</v>
      </c>
      <c r="P56" s="391">
        <v>0.25</v>
      </c>
      <c r="Q56" s="391">
        <v>0.25</v>
      </c>
      <c r="R56" s="391">
        <v>0.25</v>
      </c>
      <c r="S56" s="391"/>
      <c r="T56" s="391"/>
      <c r="W56" s="389"/>
      <c r="Z56" s="392">
        <f>1-SUM(C56:X56)</f>
        <v>0</v>
      </c>
    </row>
    <row r="57" spans="1:26" ht="16.2">
      <c r="A57" s="382" t="str">
        <f>'ASSUM 2'!A57</f>
        <v>Engineering / Construction</v>
      </c>
      <c r="B57" s="367">
        <f>'ASSUM 2'!E57</f>
        <v>0</v>
      </c>
      <c r="C57" s="390">
        <v>0</v>
      </c>
      <c r="D57" s="391">
        <v>0</v>
      </c>
      <c r="E57" s="391">
        <v>0</v>
      </c>
      <c r="F57" s="391">
        <v>0</v>
      </c>
      <c r="G57" s="391">
        <v>0</v>
      </c>
      <c r="H57" s="391">
        <v>0</v>
      </c>
      <c r="I57" s="391">
        <v>0</v>
      </c>
      <c r="J57" s="391">
        <v>0</v>
      </c>
      <c r="K57" s="391">
        <v>0</v>
      </c>
      <c r="L57" s="391">
        <v>0</v>
      </c>
      <c r="M57" s="391">
        <v>0</v>
      </c>
      <c r="N57" s="391">
        <v>0</v>
      </c>
      <c r="O57" s="391">
        <f t="shared" ref="O57:R59" si="15">O56</f>
        <v>0.25</v>
      </c>
      <c r="P57" s="391">
        <f t="shared" si="15"/>
        <v>0.25</v>
      </c>
      <c r="Q57" s="391">
        <f t="shared" si="15"/>
        <v>0.25</v>
      </c>
      <c r="R57" s="391">
        <f t="shared" si="15"/>
        <v>0.25</v>
      </c>
      <c r="S57" s="391"/>
      <c r="T57" s="391"/>
      <c r="W57" s="389"/>
      <c r="Z57" s="392">
        <f>1-SUM(C57:X57)</f>
        <v>0</v>
      </c>
    </row>
    <row r="58" spans="1:26" ht="16.2">
      <c r="A58" s="382" t="str">
        <f>'ASSUM 2'!A58</f>
        <v>Other</v>
      </c>
      <c r="B58" s="367">
        <f>'ASSUM 2'!E58</f>
        <v>0.19485</v>
      </c>
      <c r="C58" s="390">
        <v>0</v>
      </c>
      <c r="D58" s="391">
        <v>0</v>
      </c>
      <c r="E58" s="391">
        <v>0</v>
      </c>
      <c r="F58" s="391">
        <v>0</v>
      </c>
      <c r="G58" s="391">
        <v>0</v>
      </c>
      <c r="H58" s="391">
        <v>0</v>
      </c>
      <c r="I58" s="391">
        <v>0</v>
      </c>
      <c r="J58" s="391">
        <v>0</v>
      </c>
      <c r="K58" s="391">
        <v>0</v>
      </c>
      <c r="L58" s="391">
        <v>0</v>
      </c>
      <c r="M58" s="391">
        <v>0</v>
      </c>
      <c r="N58" s="391">
        <v>0</v>
      </c>
      <c r="O58" s="391">
        <f t="shared" si="15"/>
        <v>0.25</v>
      </c>
      <c r="P58" s="391">
        <f t="shared" si="15"/>
        <v>0.25</v>
      </c>
      <c r="Q58" s="391">
        <f t="shared" si="15"/>
        <v>0.25</v>
      </c>
      <c r="R58" s="391">
        <f t="shared" si="15"/>
        <v>0.25</v>
      </c>
      <c r="S58" s="391"/>
      <c r="T58" s="391"/>
      <c r="W58" s="389"/>
      <c r="Z58" s="392">
        <f>1-SUM(C58:X58)</f>
        <v>0</v>
      </c>
    </row>
    <row r="59" spans="1:26" ht="16.2">
      <c r="A59" s="382" t="str">
        <f>'ASSUM 2'!A59</f>
        <v>Soft Costs</v>
      </c>
      <c r="B59" s="395">
        <f>'ASSUM 2'!E59</f>
        <v>0.71848413029071168</v>
      </c>
      <c r="C59" s="390">
        <v>0</v>
      </c>
      <c r="D59" s="391">
        <v>0</v>
      </c>
      <c r="E59" s="391">
        <v>0</v>
      </c>
      <c r="F59" s="391">
        <v>0</v>
      </c>
      <c r="G59" s="391">
        <v>0</v>
      </c>
      <c r="H59" s="391">
        <v>0</v>
      </c>
      <c r="I59" s="391">
        <v>0</v>
      </c>
      <c r="J59" s="391">
        <v>0</v>
      </c>
      <c r="K59" s="391">
        <v>0</v>
      </c>
      <c r="L59" s="391">
        <v>0</v>
      </c>
      <c r="M59" s="391">
        <v>0</v>
      </c>
      <c r="N59" s="391">
        <v>0</v>
      </c>
      <c r="O59" s="391">
        <f t="shared" si="15"/>
        <v>0.25</v>
      </c>
      <c r="P59" s="391">
        <f t="shared" si="15"/>
        <v>0.25</v>
      </c>
      <c r="Q59" s="391">
        <f t="shared" si="15"/>
        <v>0.25</v>
      </c>
      <c r="R59" s="391">
        <f t="shared" si="15"/>
        <v>0.25</v>
      </c>
      <c r="S59" s="391"/>
      <c r="T59" s="391"/>
      <c r="W59" s="389"/>
      <c r="Z59" s="392">
        <f>1-SUM(C59:X59)</f>
        <v>0</v>
      </c>
    </row>
    <row r="60" spans="1:26" ht="16.2">
      <c r="A60" s="382" t="str">
        <f>'ASSUM 2'!A60</f>
        <v xml:space="preserve">   Total Contingency</v>
      </c>
      <c r="B60" s="367">
        <f>SUM(B56:B59)</f>
        <v>5.0220559453364251</v>
      </c>
      <c r="C60" s="388"/>
      <c r="D60" s="388"/>
      <c r="E60" s="388"/>
      <c r="F60" s="388"/>
      <c r="G60" s="388"/>
      <c r="H60" s="388"/>
      <c r="I60" s="388"/>
      <c r="J60" s="388"/>
      <c r="K60" s="388"/>
      <c r="L60" s="388"/>
      <c r="M60" s="387"/>
      <c r="N60" s="400"/>
      <c r="O60" s="386"/>
      <c r="P60" s="386"/>
      <c r="Q60" s="386"/>
      <c r="R60" s="386"/>
      <c r="S60" s="386"/>
      <c r="T60" s="388"/>
      <c r="U60" s="388"/>
      <c r="V60" s="388"/>
      <c r="Z60" s="394"/>
    </row>
    <row r="61" spans="1:26">
      <c r="B61" s="367"/>
      <c r="M61" s="368"/>
      <c r="N61" s="399"/>
      <c r="O61" s="401"/>
      <c r="P61" s="376"/>
      <c r="Q61" s="376"/>
      <c r="R61" s="376"/>
      <c r="S61" s="376"/>
    </row>
    <row r="62" spans="1:26">
      <c r="A62" s="369" t="s">
        <v>27</v>
      </c>
      <c r="B62" s="367">
        <f ca="1">B60+B53+B30+B23+B14</f>
        <v>169.52029878988398</v>
      </c>
      <c r="M62" s="368"/>
      <c r="N62" s="399"/>
      <c r="O62" s="401"/>
      <c r="P62" s="376"/>
      <c r="Q62" s="376"/>
      <c r="R62" s="376"/>
      <c r="S62" s="376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22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A133"/>
  <sheetViews>
    <sheetView showOutlineSymbols="0" topLeftCell="A101" zoomScale="75" zoomScaleNormal="75" workbookViewId="0">
      <selection activeCell="D69" sqref="D69"/>
    </sheetView>
  </sheetViews>
  <sheetFormatPr defaultColWidth="9.81640625" defaultRowHeight="15.6"/>
  <cols>
    <col min="1" max="1" width="25.81640625" style="406" customWidth="1"/>
    <col min="2" max="2" width="4.81640625" style="406" customWidth="1"/>
    <col min="3" max="8" width="9.81640625" style="406" customWidth="1"/>
    <col min="9" max="9" width="11.6328125" style="406" customWidth="1"/>
    <col min="10" max="16384" width="9.81640625" style="406"/>
  </cols>
  <sheetData>
    <row r="1" spans="1:27" ht="22.2">
      <c r="A1" s="402" t="str">
        <f ca="1">'144A IDC'!A1</f>
        <v>DELMARVA, VA</v>
      </c>
      <c r="B1" s="403"/>
      <c r="C1" s="404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5"/>
      <c r="V1" s="403"/>
      <c r="W1" s="403"/>
      <c r="X1" s="403"/>
      <c r="Y1" s="403"/>
      <c r="Z1" s="403"/>
      <c r="AA1" s="403"/>
    </row>
    <row r="2" spans="1:27">
      <c r="A2" s="407" t="s">
        <v>332</v>
      </c>
      <c r="B2" s="408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9"/>
      <c r="V2" s="403"/>
      <c r="W2" s="403"/>
      <c r="X2" s="403"/>
      <c r="Y2" s="403"/>
      <c r="Z2" s="403"/>
      <c r="AA2" s="403"/>
    </row>
    <row r="3" spans="1:27" ht="7.5" customHeight="1">
      <c r="A3" s="410"/>
      <c r="B3" s="410"/>
      <c r="C3" s="410"/>
      <c r="D3" s="410"/>
      <c r="E3" s="410"/>
      <c r="F3" s="411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2"/>
      <c r="V3" s="412"/>
      <c r="W3" s="412"/>
      <c r="X3" s="412"/>
      <c r="Y3" s="412"/>
      <c r="Z3" s="403"/>
      <c r="AA3" s="403"/>
    </row>
    <row r="4" spans="1:27">
      <c r="A4" s="403"/>
      <c r="B4" s="403"/>
      <c r="C4" s="403"/>
      <c r="D4" s="403"/>
      <c r="E4" s="403"/>
      <c r="F4" s="41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14"/>
      <c r="V4" s="403"/>
      <c r="W4" s="403"/>
      <c r="X4" s="403"/>
      <c r="Y4" s="403"/>
      <c r="Z4" s="403"/>
      <c r="AA4" s="403"/>
    </row>
    <row r="5" spans="1:27">
      <c r="A5" s="415" t="s">
        <v>333</v>
      </c>
      <c r="B5" s="416"/>
      <c r="C5" s="417">
        <f>'ASSUM 1'!Q7</f>
        <v>17</v>
      </c>
      <c r="D5" s="408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3"/>
      <c r="S5" s="403"/>
      <c r="T5" s="403"/>
      <c r="U5" s="403"/>
      <c r="V5" s="403"/>
      <c r="W5" s="403"/>
      <c r="X5" s="403"/>
      <c r="Y5" s="403"/>
      <c r="Z5" s="403"/>
      <c r="AA5" s="403"/>
    </row>
    <row r="6" spans="1:27">
      <c r="A6" s="416"/>
      <c r="B6" s="416"/>
      <c r="C6" s="417"/>
      <c r="D6" s="403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</row>
    <row r="7" spans="1:27">
      <c r="A7" s="578" t="str">
        <f>+'144A Draw'!A5</f>
        <v>Month of Construction</v>
      </c>
      <c r="B7" s="403"/>
      <c r="C7" s="404"/>
      <c r="D7" s="419">
        <f>'144A Draw'!C5</f>
        <v>1</v>
      </c>
      <c r="E7" s="419">
        <f>'144A Draw'!D5</f>
        <v>2</v>
      </c>
      <c r="F7" s="419">
        <f>'144A Draw'!E5</f>
        <v>3</v>
      </c>
      <c r="G7" s="419">
        <f>'144A Draw'!F5</f>
        <v>4</v>
      </c>
      <c r="H7" s="419">
        <f>'144A Draw'!G5</f>
        <v>5</v>
      </c>
      <c r="I7" s="419">
        <f>'144A Draw'!H5</f>
        <v>6</v>
      </c>
      <c r="J7" s="419">
        <f>'144A Draw'!I5</f>
        <v>7</v>
      </c>
      <c r="K7" s="419">
        <f>'144A Draw'!J5</f>
        <v>8</v>
      </c>
      <c r="L7" s="419">
        <f>'144A Draw'!K5</f>
        <v>9</v>
      </c>
      <c r="M7" s="419">
        <f>'144A Draw'!L5</f>
        <v>10</v>
      </c>
      <c r="N7" s="419">
        <f>'144A Draw'!M5</f>
        <v>11</v>
      </c>
      <c r="O7" s="419">
        <f>'144A Draw'!N5</f>
        <v>12</v>
      </c>
      <c r="P7" s="419">
        <f>'144A Draw'!O5</f>
        <v>13</v>
      </c>
      <c r="Q7" s="419">
        <f>'144A Draw'!P5</f>
        <v>14</v>
      </c>
      <c r="R7" s="419">
        <f>'144A Draw'!Q5</f>
        <v>15</v>
      </c>
      <c r="S7" s="419">
        <f>'144A Draw'!R5</f>
        <v>16</v>
      </c>
      <c r="T7" s="419">
        <f>'144A Draw'!S5</f>
        <v>17</v>
      </c>
      <c r="U7" s="419">
        <f>'144A Draw'!T5</f>
        <v>0</v>
      </c>
      <c r="V7" s="419">
        <f>'144A Draw'!U5</f>
        <v>0</v>
      </c>
      <c r="W7" s="419">
        <f>'144A Draw'!V5</f>
        <v>0</v>
      </c>
      <c r="X7" s="419">
        <f>'144A Draw'!W5</f>
        <v>0</v>
      </c>
      <c r="Y7" s="419">
        <f>'144A Draw'!X5</f>
        <v>0</v>
      </c>
      <c r="Z7" s="420"/>
      <c r="AA7" s="404" t="s">
        <v>330</v>
      </c>
    </row>
    <row r="8" spans="1:27">
      <c r="A8" s="403" t="s">
        <v>331</v>
      </c>
      <c r="B8" s="403"/>
      <c r="C8" s="404"/>
      <c r="D8" s="420">
        <f>'144A Draw'!C6</f>
        <v>36474</v>
      </c>
      <c r="E8" s="420">
        <f>'144A Draw'!D6</f>
        <v>36504.4375</v>
      </c>
      <c r="F8" s="420">
        <f>'144A Draw'!E6</f>
        <v>36534.875</v>
      </c>
      <c r="G8" s="420">
        <f>'144A Draw'!F6</f>
        <v>36565.3125</v>
      </c>
      <c r="H8" s="420">
        <f>'144A Draw'!G6</f>
        <v>36595.75</v>
      </c>
      <c r="I8" s="420">
        <f>'144A Draw'!H6</f>
        <v>36626.1875</v>
      </c>
      <c r="J8" s="420">
        <f>'144A Draw'!I6</f>
        <v>36656.625</v>
      </c>
      <c r="K8" s="420">
        <f>'144A Draw'!J6</f>
        <v>36687.0625</v>
      </c>
      <c r="L8" s="420">
        <f>'144A Draw'!K6</f>
        <v>36717.5</v>
      </c>
      <c r="M8" s="420">
        <f>'144A Draw'!L6</f>
        <v>36747.9375</v>
      </c>
      <c r="N8" s="420">
        <f>'144A Draw'!M6</f>
        <v>36778.375</v>
      </c>
      <c r="O8" s="420">
        <f>'144A Draw'!N6</f>
        <v>36808.8125</v>
      </c>
      <c r="P8" s="420">
        <f>'144A Draw'!O6</f>
        <v>36839.25</v>
      </c>
      <c r="Q8" s="420">
        <f>'144A Draw'!P6</f>
        <v>36869.6875</v>
      </c>
      <c r="R8" s="420">
        <f>'144A Draw'!Q6</f>
        <v>36900.125</v>
      </c>
      <c r="S8" s="420">
        <f>'144A Draw'!R6</f>
        <v>36930.5625</v>
      </c>
      <c r="T8" s="420">
        <f>'144A Draw'!S6</f>
        <v>36961</v>
      </c>
      <c r="U8" s="420">
        <f>'144A Draw'!T6</f>
        <v>36991.4375</v>
      </c>
      <c r="V8" s="420">
        <f>'144A Draw'!U6</f>
        <v>37021.875</v>
      </c>
      <c r="W8" s="420">
        <f>'144A Draw'!V6</f>
        <v>37052.3125</v>
      </c>
      <c r="X8" s="420">
        <f>'144A Draw'!W6</f>
        <v>37082.75</v>
      </c>
      <c r="Y8" s="420">
        <f>'144A Draw'!X6</f>
        <v>37113.1875</v>
      </c>
      <c r="Z8" s="421"/>
      <c r="AA8" s="404"/>
    </row>
    <row r="9" spans="1:27">
      <c r="A9" s="403" t="s">
        <v>334</v>
      </c>
      <c r="B9" s="403"/>
      <c r="C9" s="404"/>
      <c r="D9" s="419">
        <f t="shared" ref="D9:Y9" si="0">IF(C9&gt;0,C9+1,IF(D77&lt;=0,0,1))</f>
        <v>0</v>
      </c>
      <c r="E9" s="419">
        <f t="shared" si="0"/>
        <v>0</v>
      </c>
      <c r="F9" s="419">
        <f t="shared" si="0"/>
        <v>0</v>
      </c>
      <c r="G9" s="419">
        <f t="shared" si="0"/>
        <v>0</v>
      </c>
      <c r="H9" s="419">
        <f t="shared" si="0"/>
        <v>0</v>
      </c>
      <c r="I9" s="419">
        <f t="shared" ca="1" si="0"/>
        <v>1</v>
      </c>
      <c r="J9" s="419">
        <f t="shared" ca="1" si="0"/>
        <v>2</v>
      </c>
      <c r="K9" s="419">
        <f t="shared" ca="1" si="0"/>
        <v>3</v>
      </c>
      <c r="L9" s="419">
        <f t="shared" ca="1" si="0"/>
        <v>4</v>
      </c>
      <c r="M9" s="419">
        <f t="shared" ca="1" si="0"/>
        <v>5</v>
      </c>
      <c r="N9" s="419">
        <f t="shared" ca="1" si="0"/>
        <v>6</v>
      </c>
      <c r="O9" s="419">
        <f t="shared" ca="1" si="0"/>
        <v>7</v>
      </c>
      <c r="P9" s="419">
        <f t="shared" ca="1" si="0"/>
        <v>8</v>
      </c>
      <c r="Q9" s="419">
        <f t="shared" ca="1" si="0"/>
        <v>9</v>
      </c>
      <c r="R9" s="419">
        <f t="shared" ca="1" si="0"/>
        <v>10</v>
      </c>
      <c r="S9" s="419">
        <f t="shared" ca="1" si="0"/>
        <v>11</v>
      </c>
      <c r="T9" s="419">
        <f t="shared" ca="1" si="0"/>
        <v>12</v>
      </c>
      <c r="U9" s="419">
        <f t="shared" ca="1" si="0"/>
        <v>13</v>
      </c>
      <c r="V9" s="419">
        <f t="shared" ca="1" si="0"/>
        <v>14</v>
      </c>
      <c r="W9" s="419">
        <f t="shared" ca="1" si="0"/>
        <v>15</v>
      </c>
      <c r="X9" s="419">
        <f t="shared" ca="1" si="0"/>
        <v>16</v>
      </c>
      <c r="Y9" s="419">
        <f t="shared" ca="1" si="0"/>
        <v>17</v>
      </c>
      <c r="Z9" s="421"/>
      <c r="AA9" s="404"/>
    </row>
    <row r="10" spans="1:27">
      <c r="A10" s="403"/>
      <c r="B10" s="403"/>
      <c r="C10" s="404"/>
      <c r="D10" s="403"/>
      <c r="E10" s="403"/>
      <c r="F10" s="403"/>
      <c r="G10" s="403"/>
      <c r="H10" s="403"/>
      <c r="I10" s="403"/>
      <c r="J10" s="403"/>
      <c r="K10" s="403"/>
      <c r="L10" s="403"/>
      <c r="M10" s="403"/>
      <c r="N10" s="403"/>
      <c r="O10" s="403"/>
      <c r="P10" s="403"/>
      <c r="Q10" s="403"/>
      <c r="R10" s="403"/>
      <c r="S10" s="403"/>
      <c r="T10" s="403"/>
      <c r="U10" s="403"/>
      <c r="V10" s="403"/>
      <c r="W10" s="403"/>
      <c r="X10" s="403"/>
      <c r="Y10" s="403"/>
      <c r="Z10" s="403"/>
      <c r="AA10" s="404"/>
    </row>
    <row r="11" spans="1:27" ht="16.2">
      <c r="A11" s="422" t="str">
        <f>'144A Draw'!A8</f>
        <v>Major Equipment</v>
      </c>
      <c r="B11" s="403"/>
      <c r="C11" s="423" t="s">
        <v>27</v>
      </c>
      <c r="D11" s="424"/>
      <c r="E11" s="403"/>
      <c r="F11" s="403"/>
      <c r="G11" s="403"/>
      <c r="H11" s="403"/>
      <c r="I11" s="403"/>
      <c r="J11" s="403"/>
      <c r="K11" s="403"/>
      <c r="L11" s="403"/>
      <c r="M11" s="403"/>
      <c r="N11" s="403"/>
      <c r="O11" s="403"/>
      <c r="P11" s="403"/>
      <c r="Q11" s="403"/>
      <c r="R11" s="403"/>
      <c r="S11" s="403"/>
      <c r="T11" s="403"/>
      <c r="U11" s="403"/>
      <c r="V11" s="403"/>
      <c r="W11" s="403"/>
      <c r="X11" s="403"/>
      <c r="Y11" s="403"/>
      <c r="Z11" s="403"/>
      <c r="AA11" s="404"/>
    </row>
    <row r="12" spans="1:27">
      <c r="A12" s="578" t="str">
        <f>'144A Draw'!A9</f>
        <v>Equipment Costs</v>
      </c>
      <c r="B12" s="403"/>
      <c r="C12" s="425">
        <f>'144A Draw'!B9</f>
        <v>124.665655348</v>
      </c>
      <c r="D12" s="426">
        <f>'144A Draw'!C9*$C12*1000</f>
        <v>9973.2524278399997</v>
      </c>
      <c r="E12" s="427">
        <f>'144A Draw'!D9*$C12*1000</f>
        <v>6233.2827674</v>
      </c>
      <c r="F12" s="427">
        <f>'144A Draw'!E9*$C12*1000</f>
        <v>6233.2827674</v>
      </c>
      <c r="G12" s="427">
        <f>'144A Draw'!F9*$C12*1000</f>
        <v>6233.2827674</v>
      </c>
      <c r="H12" s="427">
        <f>'144A Draw'!G9*$C12*1000</f>
        <v>6233.2827674</v>
      </c>
      <c r="I12" s="427">
        <f>'144A Draw'!H9*$C12*1000</f>
        <v>11718.571602712</v>
      </c>
      <c r="J12" s="427">
        <f>'144A Draw'!I9*$C12*1000</f>
        <v>5547.621662986</v>
      </c>
      <c r="K12" s="427">
        <f>'144A Draw'!J9*$C12*1000</f>
        <v>4799.6277308979998</v>
      </c>
      <c r="L12" s="427">
        <f>'144A Draw'!K9*$C12*1000</f>
        <v>5547.621662986</v>
      </c>
      <c r="M12" s="427">
        <f>'144A Draw'!L9*$C12*1000</f>
        <v>5547.621662986</v>
      </c>
      <c r="N12" s="427">
        <f>'144A Draw'!M9*$C12*1000</f>
        <v>8315.1992117115988</v>
      </c>
      <c r="O12" s="427">
        <f>'144A Draw'!N9*$C12*1000</f>
        <v>8315.1992117115988</v>
      </c>
      <c r="P12" s="427">
        <f>'144A Draw'!O9*$C12*1000</f>
        <v>13713.222088280001</v>
      </c>
      <c r="Q12" s="427">
        <f>'144A Draw'!P9*$C12*1000</f>
        <v>8726.5958743600004</v>
      </c>
      <c r="R12" s="427">
        <f>'144A Draw'!Q9*$C12*1000</f>
        <v>8726.5958743600004</v>
      </c>
      <c r="S12" s="427">
        <f>'144A Draw'!R9*$C12*1000</f>
        <v>8801.3952675687997</v>
      </c>
      <c r="T12" s="427">
        <f>'144A Draw'!S9*$C12*1000</f>
        <v>0</v>
      </c>
      <c r="U12" s="427">
        <f>'144A Draw'!T9*$C12*1000</f>
        <v>0</v>
      </c>
      <c r="V12" s="427">
        <f>'144A Draw'!U9*$C12*1000</f>
        <v>0</v>
      </c>
      <c r="W12" s="427">
        <f>'144A Draw'!V9*$C12*1000</f>
        <v>0</v>
      </c>
      <c r="X12" s="427">
        <f>'144A Draw'!W9*$C12*1000</f>
        <v>0</v>
      </c>
      <c r="Y12" s="427">
        <f>'144A Draw'!X9*$C12*1000</f>
        <v>0</v>
      </c>
      <c r="Z12" s="427"/>
      <c r="AA12" s="428">
        <f>C12*1000-SUM(D12:Y12)</f>
        <v>0</v>
      </c>
    </row>
    <row r="13" spans="1:27">
      <c r="A13" s="578" t="str">
        <f>'144A Draw'!A10</f>
        <v>Balance of EPC</v>
      </c>
      <c r="B13" s="403"/>
      <c r="C13" s="425">
        <f>'144A Draw'!B10</f>
        <v>12.291738486857142</v>
      </c>
      <c r="D13" s="426">
        <f>'144A Draw'!C10*$C13*1000</f>
        <v>983.33907894857134</v>
      </c>
      <c r="E13" s="427">
        <f>'144A Draw'!D10*$C13*1000</f>
        <v>614.58692434285706</v>
      </c>
      <c r="F13" s="427">
        <f>'144A Draw'!E10*$C13*1000</f>
        <v>614.58692434285706</v>
      </c>
      <c r="G13" s="427">
        <f>'144A Draw'!F10*$C13*1000</f>
        <v>614.58692434285706</v>
      </c>
      <c r="H13" s="427">
        <f>'144A Draw'!G10*$C13*1000</f>
        <v>614.58692434285706</v>
      </c>
      <c r="I13" s="427">
        <f>'144A Draw'!H10*$C13*1000</f>
        <v>1155.4234177645712</v>
      </c>
      <c r="J13" s="427">
        <f>'144A Draw'!I10*$C13*1000</f>
        <v>546.98236266514277</v>
      </c>
      <c r="K13" s="427">
        <f>'144A Draw'!J10*$C13*1000</f>
        <v>473.23193174399995</v>
      </c>
      <c r="L13" s="427">
        <f>'144A Draw'!K10*$C13*1000</f>
        <v>546.98236266514277</v>
      </c>
      <c r="M13" s="427">
        <f>'144A Draw'!L10*$C13*1000</f>
        <v>546.98236266514277</v>
      </c>
      <c r="N13" s="427">
        <f>'144A Draw'!M10*$C13*1000</f>
        <v>819.85895707337136</v>
      </c>
      <c r="O13" s="427">
        <f>'144A Draw'!N10*$C13*1000</f>
        <v>819.85895707337136</v>
      </c>
      <c r="P13" s="427">
        <f>'144A Draw'!O10*$C13*1000</f>
        <v>1352.0912335542855</v>
      </c>
      <c r="Q13" s="427">
        <f>'144A Draw'!P10*$C13*1000</f>
        <v>860.42169408000007</v>
      </c>
      <c r="R13" s="427">
        <f>'144A Draw'!Q10*$C13*1000</f>
        <v>860.42169408000007</v>
      </c>
      <c r="S13" s="427">
        <f>'144A Draw'!R10*$C13*1000</f>
        <v>867.79673717211415</v>
      </c>
      <c r="T13" s="427">
        <f>'144A Draw'!S10*$C13*1000</f>
        <v>0</v>
      </c>
      <c r="U13" s="427">
        <f>'144A Draw'!T10*$C13*1000</f>
        <v>0</v>
      </c>
      <c r="V13" s="427">
        <f>'144A Draw'!U10*$C13*1000</f>
        <v>0</v>
      </c>
      <c r="W13" s="427">
        <f>'144A Draw'!V10*$C13*1000</f>
        <v>0</v>
      </c>
      <c r="X13" s="427">
        <f>'144A Draw'!W10*$C13*1000</f>
        <v>0</v>
      </c>
      <c r="Y13" s="427">
        <f>'144A Draw'!X10*$C13*1000</f>
        <v>0</v>
      </c>
      <c r="Z13" s="427"/>
      <c r="AA13" s="428">
        <f>C13*1000-SUM(D13:Y13)</f>
        <v>0</v>
      </c>
    </row>
    <row r="14" spans="1:27">
      <c r="A14" s="578" t="str">
        <f>'144A Draw'!A11</f>
        <v>Other</v>
      </c>
      <c r="B14" s="403"/>
      <c r="C14" s="425">
        <f>'144A Draw'!B11</f>
        <v>0</v>
      </c>
      <c r="D14" s="426">
        <f>'144A Draw'!C11*$C14*1000</f>
        <v>0</v>
      </c>
      <c r="E14" s="427">
        <f>'144A Draw'!D11*$C14*1000</f>
        <v>0</v>
      </c>
      <c r="F14" s="427">
        <f>'144A Draw'!E11*$C14*1000</f>
        <v>0</v>
      </c>
      <c r="G14" s="427">
        <f>'144A Draw'!F11*$C14*1000</f>
        <v>0</v>
      </c>
      <c r="H14" s="427">
        <f>'144A Draw'!G11*$C14*1000</f>
        <v>0</v>
      </c>
      <c r="I14" s="427">
        <f>'144A Draw'!H11*$C14*1000</f>
        <v>0</v>
      </c>
      <c r="J14" s="427">
        <f>'144A Draw'!I11*$C14*1000</f>
        <v>0</v>
      </c>
      <c r="K14" s="427">
        <f>'144A Draw'!J11*$C14*1000</f>
        <v>0</v>
      </c>
      <c r="L14" s="427">
        <f>'144A Draw'!K11*$C14*1000</f>
        <v>0</v>
      </c>
      <c r="M14" s="427">
        <f>'144A Draw'!L11*$C14*1000</f>
        <v>0</v>
      </c>
      <c r="N14" s="427">
        <f>'144A Draw'!M11*$C14*1000</f>
        <v>0</v>
      </c>
      <c r="O14" s="427">
        <f>'144A Draw'!N11*$C14*1000</f>
        <v>0</v>
      </c>
      <c r="P14" s="427">
        <f>'144A Draw'!O11*$C14*1000</f>
        <v>0</v>
      </c>
      <c r="Q14" s="427">
        <f>'144A Draw'!P11*$C14*1000</f>
        <v>0</v>
      </c>
      <c r="R14" s="427">
        <f>'144A Draw'!Q11*$C14*1000</f>
        <v>0</v>
      </c>
      <c r="S14" s="427">
        <f>'144A Draw'!R11*$C14*1000</f>
        <v>0</v>
      </c>
      <c r="T14" s="427">
        <f>'144A Draw'!S11*$C14*1000</f>
        <v>0</v>
      </c>
      <c r="U14" s="427">
        <f>'144A Draw'!T11*$C14*1000</f>
        <v>0</v>
      </c>
      <c r="V14" s="427">
        <f>'144A Draw'!U11*$C14*1000</f>
        <v>0</v>
      </c>
      <c r="W14" s="427">
        <f>'144A Draw'!V11*$C14*1000</f>
        <v>0</v>
      </c>
      <c r="X14" s="427">
        <f>'144A Draw'!W11*$C14*1000</f>
        <v>0</v>
      </c>
      <c r="Y14" s="427">
        <f>'144A Draw'!X11*$C14*1000</f>
        <v>0</v>
      </c>
      <c r="Z14" s="427"/>
      <c r="AA14" s="428">
        <f>C14*1000-SUM(D14:Y14)</f>
        <v>0</v>
      </c>
    </row>
    <row r="15" spans="1:27">
      <c r="A15" s="578" t="str">
        <f>'144A Draw'!A12</f>
        <v>Other</v>
      </c>
      <c r="B15" s="403"/>
      <c r="C15" s="425">
        <f>'144A Draw'!B12</f>
        <v>0</v>
      </c>
      <c r="D15" s="426">
        <f>'144A Draw'!C12*$C15*1000</f>
        <v>0</v>
      </c>
      <c r="E15" s="427">
        <f>'144A Draw'!D12*$C15*1000</f>
        <v>0</v>
      </c>
      <c r="F15" s="427">
        <f>'144A Draw'!E12*$C15*1000</f>
        <v>0</v>
      </c>
      <c r="G15" s="427">
        <f>'144A Draw'!F12*$C15*1000</f>
        <v>0</v>
      </c>
      <c r="H15" s="427">
        <f>'144A Draw'!G12*$C15*1000</f>
        <v>0</v>
      </c>
      <c r="I15" s="427">
        <f>'144A Draw'!H12*$C15*1000</f>
        <v>0</v>
      </c>
      <c r="J15" s="427">
        <f>'144A Draw'!I12*$C15*1000</f>
        <v>0</v>
      </c>
      <c r="K15" s="427">
        <f>'144A Draw'!J12*$C15*1000</f>
        <v>0</v>
      </c>
      <c r="L15" s="427">
        <f>'144A Draw'!K12*$C15*1000</f>
        <v>0</v>
      </c>
      <c r="M15" s="427">
        <f>'144A Draw'!L12*$C15*1000</f>
        <v>0</v>
      </c>
      <c r="N15" s="427">
        <f>'144A Draw'!M12*$C15*1000</f>
        <v>0</v>
      </c>
      <c r="O15" s="427">
        <f>'144A Draw'!N12*$C15*1000</f>
        <v>0</v>
      </c>
      <c r="P15" s="427">
        <f>'144A Draw'!O12*$C15*1000</f>
        <v>0</v>
      </c>
      <c r="Q15" s="427">
        <f>'144A Draw'!P12*$C15*1000</f>
        <v>0</v>
      </c>
      <c r="R15" s="427">
        <f>'144A Draw'!Q12*$C15*1000</f>
        <v>0</v>
      </c>
      <c r="S15" s="427">
        <f>'144A Draw'!R12*$C15*1000</f>
        <v>0</v>
      </c>
      <c r="T15" s="427">
        <f>'144A Draw'!S12*$C15*1000</f>
        <v>0</v>
      </c>
      <c r="U15" s="427">
        <f>'144A Draw'!T12*$C15*1000</f>
        <v>0</v>
      </c>
      <c r="V15" s="427">
        <f>'144A Draw'!U12*$C15*1000</f>
        <v>0</v>
      </c>
      <c r="W15" s="427">
        <f>'144A Draw'!V12*$C15*1000</f>
        <v>0</v>
      </c>
      <c r="X15" s="427">
        <f>'144A Draw'!W12*$C15*1000</f>
        <v>0</v>
      </c>
      <c r="Y15" s="427">
        <f>'144A Draw'!X12*$C15*1000</f>
        <v>0</v>
      </c>
      <c r="Z15" s="427"/>
      <c r="AA15" s="428">
        <f>C15*1000-SUM(D15:Y15)</f>
        <v>0</v>
      </c>
    </row>
    <row r="16" spans="1:27">
      <c r="A16" s="578" t="str">
        <f>'144A Draw'!A13</f>
        <v>Duties on Equipment</v>
      </c>
      <c r="B16" s="403"/>
      <c r="C16" s="429">
        <f>'144A Draw'!B13</f>
        <v>0</v>
      </c>
      <c r="D16" s="426">
        <f>'144A Draw'!C13*$C16*1000</f>
        <v>0</v>
      </c>
      <c r="E16" s="427">
        <f>'144A Draw'!D13*$C16*1000</f>
        <v>0</v>
      </c>
      <c r="F16" s="427">
        <f>'144A Draw'!E13*$C16*1000</f>
        <v>0</v>
      </c>
      <c r="G16" s="427">
        <f>'144A Draw'!F13*$C16*1000</f>
        <v>0</v>
      </c>
      <c r="H16" s="427">
        <f>'144A Draw'!G13*$C16*1000</f>
        <v>0</v>
      </c>
      <c r="I16" s="427">
        <f>'144A Draw'!H13*$C16*1000</f>
        <v>0</v>
      </c>
      <c r="J16" s="427">
        <f>'144A Draw'!I13*$C16*1000</f>
        <v>0</v>
      </c>
      <c r="K16" s="427">
        <f>'144A Draw'!J13*$C16*1000</f>
        <v>0</v>
      </c>
      <c r="L16" s="427">
        <f>'144A Draw'!K13*$C16*1000</f>
        <v>0</v>
      </c>
      <c r="M16" s="427">
        <f>'144A Draw'!L13*$C16*1000</f>
        <v>0</v>
      </c>
      <c r="N16" s="427">
        <f>'144A Draw'!M13*$C16*1000</f>
        <v>0</v>
      </c>
      <c r="O16" s="427">
        <f>'144A Draw'!N13*$C16*1000</f>
        <v>0</v>
      </c>
      <c r="P16" s="427">
        <f>'144A Draw'!O13*$C16*1000</f>
        <v>0</v>
      </c>
      <c r="Q16" s="427">
        <f>'144A Draw'!P13*$C16*1000</f>
        <v>0</v>
      </c>
      <c r="R16" s="427">
        <f>'144A Draw'!Q13*$C16*1000</f>
        <v>0</v>
      </c>
      <c r="S16" s="427">
        <f>'144A Draw'!R13*$C16*1000</f>
        <v>0</v>
      </c>
      <c r="T16" s="427">
        <f>'144A Draw'!S13*$C16*1000</f>
        <v>0</v>
      </c>
      <c r="U16" s="427">
        <f>'144A Draw'!T13*$C16*1000</f>
        <v>0</v>
      </c>
      <c r="V16" s="427">
        <f>'144A Draw'!U13*$C16*1000</f>
        <v>0</v>
      </c>
      <c r="W16" s="427">
        <f>'144A Draw'!V13*$C16*1000</f>
        <v>0</v>
      </c>
      <c r="X16" s="427">
        <f>'144A Draw'!W13*$C16*1000</f>
        <v>0</v>
      </c>
      <c r="Y16" s="427">
        <f>'144A Draw'!X13*$C16*1000</f>
        <v>0</v>
      </c>
      <c r="Z16" s="427"/>
      <c r="AA16" s="428">
        <f>C16*1000-SUM(D16:Y16)</f>
        <v>0</v>
      </c>
    </row>
    <row r="17" spans="1:27">
      <c r="A17" s="578" t="str">
        <f>'144A Draw'!A14</f>
        <v xml:space="preserve">   Total Major Equipment</v>
      </c>
      <c r="B17" s="403"/>
      <c r="C17" s="425">
        <f>SUM(C12:C16)</f>
        <v>136.95739383485716</v>
      </c>
      <c r="D17" s="426"/>
      <c r="E17" s="427"/>
      <c r="F17" s="427"/>
      <c r="G17" s="427"/>
      <c r="H17" s="427"/>
      <c r="I17" s="427"/>
      <c r="J17" s="427"/>
      <c r="K17" s="427"/>
      <c r="L17" s="427"/>
      <c r="M17" s="427"/>
      <c r="N17" s="427"/>
      <c r="O17" s="427"/>
      <c r="P17" s="427"/>
      <c r="Q17" s="427"/>
      <c r="R17" s="427"/>
      <c r="S17" s="427"/>
      <c r="T17" s="427"/>
      <c r="U17" s="427"/>
      <c r="V17" s="427"/>
      <c r="W17" s="427"/>
      <c r="X17" s="427"/>
      <c r="Y17" s="427"/>
      <c r="Z17" s="427"/>
      <c r="AA17" s="403"/>
    </row>
    <row r="18" spans="1:27">
      <c r="A18" s="578"/>
      <c r="B18" s="403"/>
      <c r="C18" s="425"/>
      <c r="D18" s="426"/>
      <c r="E18" s="427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427"/>
      <c r="Q18" s="427"/>
      <c r="R18" s="427"/>
      <c r="S18" s="427"/>
      <c r="T18" s="427"/>
      <c r="U18" s="427"/>
      <c r="V18" s="427"/>
      <c r="W18" s="427"/>
      <c r="X18" s="427"/>
      <c r="Y18" s="427"/>
      <c r="Z18" s="427"/>
      <c r="AA18" s="403"/>
    </row>
    <row r="19" spans="1:27" ht="16.2">
      <c r="A19" s="578" t="str">
        <f>'144A Draw'!A16</f>
        <v>Engineering / Construction</v>
      </c>
      <c r="B19" s="403"/>
      <c r="C19" s="430"/>
      <c r="D19" s="426"/>
      <c r="E19" s="427"/>
      <c r="F19" s="427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27"/>
      <c r="Z19" s="427"/>
      <c r="AA19" s="403"/>
    </row>
    <row r="20" spans="1:27">
      <c r="A20" s="578" t="str">
        <f>'144A Draw'!A17</f>
        <v>Other</v>
      </c>
      <c r="B20" s="403"/>
      <c r="C20" s="425">
        <f>'144A Draw'!B17</f>
        <v>0</v>
      </c>
      <c r="D20" s="426">
        <f>'144A Draw'!C17*$C20*1000</f>
        <v>0</v>
      </c>
      <c r="E20" s="427">
        <f>'144A Draw'!D17*$C20*1000</f>
        <v>0</v>
      </c>
      <c r="F20" s="427">
        <f>'144A Draw'!E17*$C20*1000</f>
        <v>0</v>
      </c>
      <c r="G20" s="427">
        <f>'144A Draw'!F17*$C20*1000</f>
        <v>0</v>
      </c>
      <c r="H20" s="427">
        <f>'144A Draw'!G17*$C20*1000</f>
        <v>0</v>
      </c>
      <c r="I20" s="427">
        <f>'144A Draw'!H17*$C20*1000</f>
        <v>0</v>
      </c>
      <c r="J20" s="427">
        <f>'144A Draw'!I17*$C20*1000</f>
        <v>0</v>
      </c>
      <c r="K20" s="427">
        <f>'144A Draw'!J17*$C20*1000</f>
        <v>0</v>
      </c>
      <c r="L20" s="427">
        <f>'144A Draw'!K17*$C20*1000</f>
        <v>0</v>
      </c>
      <c r="M20" s="427">
        <f>'144A Draw'!L17*$C20*1000</f>
        <v>0</v>
      </c>
      <c r="N20" s="427">
        <f>'144A Draw'!M17*$C20*1000</f>
        <v>0</v>
      </c>
      <c r="O20" s="427">
        <f>'144A Draw'!N17*$C20*1000</f>
        <v>0</v>
      </c>
      <c r="P20" s="427">
        <f>'144A Draw'!O17*$C20*1000</f>
        <v>0</v>
      </c>
      <c r="Q20" s="427">
        <f>'144A Draw'!P17*$C20*1000</f>
        <v>0</v>
      </c>
      <c r="R20" s="427">
        <f>'144A Draw'!Q17*$C20*1000</f>
        <v>0</v>
      </c>
      <c r="S20" s="427">
        <f>'144A Draw'!R17*$C20*1000</f>
        <v>0</v>
      </c>
      <c r="T20" s="427">
        <f>'144A Draw'!S17*$C20*1000</f>
        <v>0</v>
      </c>
      <c r="U20" s="427">
        <f>'144A Draw'!T17*$C20*1000</f>
        <v>0</v>
      </c>
      <c r="V20" s="427">
        <f>'144A Draw'!U17*$C20*1000</f>
        <v>0</v>
      </c>
      <c r="W20" s="427">
        <f>'144A Draw'!V17*$C20*1000</f>
        <v>0</v>
      </c>
      <c r="X20" s="427">
        <f>'144A Draw'!W17*$C20*1000</f>
        <v>0</v>
      </c>
      <c r="Y20" s="427">
        <f>'144A Draw'!X17*$C20*1000</f>
        <v>0</v>
      </c>
      <c r="Z20" s="427"/>
      <c r="AA20" s="428">
        <f t="shared" ref="AA20:AA25" si="1">C20*1000-SUM(D20:Y20)</f>
        <v>0</v>
      </c>
    </row>
    <row r="21" spans="1:27">
      <c r="A21" s="578" t="str">
        <f>'144A Draw'!A18</f>
        <v>Other</v>
      </c>
      <c r="B21" s="403"/>
      <c r="C21" s="425">
        <f>'144A Draw'!B18</f>
        <v>0</v>
      </c>
      <c r="D21" s="426">
        <f>'144A Draw'!C18*$C21*1000</f>
        <v>0</v>
      </c>
      <c r="E21" s="427">
        <f>'144A Draw'!D18*$C21*1000</f>
        <v>0</v>
      </c>
      <c r="F21" s="427">
        <f>'144A Draw'!E18*$C21*1000</f>
        <v>0</v>
      </c>
      <c r="G21" s="427">
        <f>'144A Draw'!F18*$C21*1000</f>
        <v>0</v>
      </c>
      <c r="H21" s="427">
        <f>'144A Draw'!G18*$C21*1000</f>
        <v>0</v>
      </c>
      <c r="I21" s="427">
        <f>'144A Draw'!H18*$C21*1000</f>
        <v>0</v>
      </c>
      <c r="J21" s="427">
        <f>'144A Draw'!I18*$C21*1000</f>
        <v>0</v>
      </c>
      <c r="K21" s="427">
        <f>'144A Draw'!J18*$C21*1000</f>
        <v>0</v>
      </c>
      <c r="L21" s="427">
        <f>'144A Draw'!K18*$C21*1000</f>
        <v>0</v>
      </c>
      <c r="M21" s="427">
        <f>'144A Draw'!L18*$C21*1000</f>
        <v>0</v>
      </c>
      <c r="N21" s="427">
        <f>'144A Draw'!M18*$C21*1000</f>
        <v>0</v>
      </c>
      <c r="O21" s="427">
        <f>'144A Draw'!N18*$C21*1000</f>
        <v>0</v>
      </c>
      <c r="P21" s="427">
        <f>'144A Draw'!O18*$C21*1000</f>
        <v>0</v>
      </c>
      <c r="Q21" s="427">
        <f>'144A Draw'!P18*$C21*1000</f>
        <v>0</v>
      </c>
      <c r="R21" s="427">
        <f>'144A Draw'!Q18*$C21*1000</f>
        <v>0</v>
      </c>
      <c r="S21" s="427">
        <f>'144A Draw'!R18*$C21*1000</f>
        <v>0</v>
      </c>
      <c r="T21" s="427">
        <f>'144A Draw'!S18*$C21*1000</f>
        <v>0</v>
      </c>
      <c r="U21" s="427">
        <f>'144A Draw'!T18*$C21*1000</f>
        <v>0</v>
      </c>
      <c r="V21" s="427">
        <f>'144A Draw'!U18*$C21*1000</f>
        <v>0</v>
      </c>
      <c r="W21" s="427">
        <f>'144A Draw'!V18*$C21*1000</f>
        <v>0</v>
      </c>
      <c r="X21" s="427">
        <f>'144A Draw'!W18*$C21*1000</f>
        <v>0</v>
      </c>
      <c r="Y21" s="427">
        <f>'144A Draw'!X18*$C21*1000</f>
        <v>0</v>
      </c>
      <c r="Z21" s="427"/>
      <c r="AA21" s="428">
        <f t="shared" si="1"/>
        <v>0</v>
      </c>
    </row>
    <row r="22" spans="1:27">
      <c r="A22" s="578" t="str">
        <f>'144A Draw'!A19</f>
        <v>Other</v>
      </c>
      <c r="B22" s="403"/>
      <c r="C22" s="425">
        <f>'144A Draw'!B19</f>
        <v>0</v>
      </c>
      <c r="D22" s="426">
        <f>'144A Draw'!C19*$C22*1000</f>
        <v>0</v>
      </c>
      <c r="E22" s="427">
        <f>'144A Draw'!D19*$C22*1000</f>
        <v>0</v>
      </c>
      <c r="F22" s="427">
        <f>'144A Draw'!E19*$C22*1000</f>
        <v>0</v>
      </c>
      <c r="G22" s="427">
        <f>'144A Draw'!F19*$C22*1000</f>
        <v>0</v>
      </c>
      <c r="H22" s="427">
        <f>'144A Draw'!G19*$C22*1000</f>
        <v>0</v>
      </c>
      <c r="I22" s="427">
        <f>'144A Draw'!H19*$C22*1000</f>
        <v>0</v>
      </c>
      <c r="J22" s="427">
        <f>'144A Draw'!I19*$C22*1000</f>
        <v>0</v>
      </c>
      <c r="K22" s="427">
        <f>'144A Draw'!J19*$C22*1000</f>
        <v>0</v>
      </c>
      <c r="L22" s="427">
        <f>'144A Draw'!K19*$C22*1000</f>
        <v>0</v>
      </c>
      <c r="M22" s="427">
        <f>'144A Draw'!L19*$C22*1000</f>
        <v>0</v>
      </c>
      <c r="N22" s="427">
        <f>'144A Draw'!M19*$C22*1000</f>
        <v>0</v>
      </c>
      <c r="O22" s="427">
        <f>'144A Draw'!N19*$C22*1000</f>
        <v>0</v>
      </c>
      <c r="P22" s="427">
        <f>'144A Draw'!O19*$C22*1000</f>
        <v>0</v>
      </c>
      <c r="Q22" s="427">
        <f>'144A Draw'!P19*$C22*1000</f>
        <v>0</v>
      </c>
      <c r="R22" s="427">
        <f>'144A Draw'!Q19*$C22*1000</f>
        <v>0</v>
      </c>
      <c r="S22" s="427">
        <f>'144A Draw'!R19*$C22*1000</f>
        <v>0</v>
      </c>
      <c r="T22" s="427">
        <f>'144A Draw'!S19*$C22*1000</f>
        <v>0</v>
      </c>
      <c r="U22" s="427">
        <f>'144A Draw'!T19*$C22*1000</f>
        <v>0</v>
      </c>
      <c r="V22" s="427">
        <f>'144A Draw'!U19*$C22*1000</f>
        <v>0</v>
      </c>
      <c r="W22" s="427">
        <f>'144A Draw'!V19*$C22*1000</f>
        <v>0</v>
      </c>
      <c r="X22" s="427">
        <f>'144A Draw'!W19*$C22*1000</f>
        <v>0</v>
      </c>
      <c r="Y22" s="427">
        <f>'144A Draw'!X19*$C22*1000</f>
        <v>0</v>
      </c>
      <c r="Z22" s="427"/>
      <c r="AA22" s="428">
        <f t="shared" si="1"/>
        <v>0</v>
      </c>
    </row>
    <row r="23" spans="1:27">
      <c r="A23" s="578" t="str">
        <f>'144A Draw'!A20</f>
        <v>Other</v>
      </c>
      <c r="B23" s="403"/>
      <c r="C23" s="425">
        <f>'144A Draw'!B20</f>
        <v>0</v>
      </c>
      <c r="D23" s="426">
        <f>'144A Draw'!C20*$C23*1000</f>
        <v>0</v>
      </c>
      <c r="E23" s="427">
        <f>'144A Draw'!D20*$C23*1000</f>
        <v>0</v>
      </c>
      <c r="F23" s="427">
        <f>'144A Draw'!E20*$C23*1000</f>
        <v>0</v>
      </c>
      <c r="G23" s="427">
        <f>'144A Draw'!F20*$C23*1000</f>
        <v>0</v>
      </c>
      <c r="H23" s="427">
        <f>'144A Draw'!G20*$C23*1000</f>
        <v>0</v>
      </c>
      <c r="I23" s="427">
        <f>'144A Draw'!H20*$C23*1000</f>
        <v>0</v>
      </c>
      <c r="J23" s="427">
        <f>'144A Draw'!I20*$C23*1000</f>
        <v>0</v>
      </c>
      <c r="K23" s="427">
        <f>'144A Draw'!J20*$C23*1000</f>
        <v>0</v>
      </c>
      <c r="L23" s="427">
        <f>'144A Draw'!K20*$C23*1000</f>
        <v>0</v>
      </c>
      <c r="M23" s="427">
        <f>'144A Draw'!L20*$C23*1000</f>
        <v>0</v>
      </c>
      <c r="N23" s="427">
        <f>'144A Draw'!M20*$C23*1000</f>
        <v>0</v>
      </c>
      <c r="O23" s="427">
        <f>'144A Draw'!N20*$C23*1000</f>
        <v>0</v>
      </c>
      <c r="P23" s="427">
        <f>'144A Draw'!O20*$C23*1000</f>
        <v>0</v>
      </c>
      <c r="Q23" s="427">
        <f>'144A Draw'!P20*$C23*1000</f>
        <v>0</v>
      </c>
      <c r="R23" s="427">
        <f>'144A Draw'!Q20*$C23*1000</f>
        <v>0</v>
      </c>
      <c r="S23" s="427">
        <f>'144A Draw'!R20*$C23*1000</f>
        <v>0</v>
      </c>
      <c r="T23" s="427">
        <f>'144A Draw'!S20*$C23*1000</f>
        <v>0</v>
      </c>
      <c r="U23" s="427">
        <f>'144A Draw'!T20*$C23*1000</f>
        <v>0</v>
      </c>
      <c r="V23" s="427">
        <f>'144A Draw'!U20*$C23*1000</f>
        <v>0</v>
      </c>
      <c r="W23" s="427">
        <f>'144A Draw'!V20*$C23*1000</f>
        <v>0</v>
      </c>
      <c r="X23" s="427">
        <f>'144A Draw'!W20*$C23*1000</f>
        <v>0</v>
      </c>
      <c r="Y23" s="427">
        <f>'144A Draw'!X20*$C23*1000</f>
        <v>0</v>
      </c>
      <c r="Z23" s="427"/>
      <c r="AA23" s="428">
        <f t="shared" si="1"/>
        <v>0</v>
      </c>
    </row>
    <row r="24" spans="1:27">
      <c r="A24" s="578" t="str">
        <f>'144A Draw'!A21</f>
        <v>Other</v>
      </c>
      <c r="B24" s="403"/>
      <c r="C24" s="425">
        <f>'144A Draw'!B21</f>
        <v>0</v>
      </c>
      <c r="D24" s="426">
        <f>'144A Draw'!C21*$C24*1000</f>
        <v>0</v>
      </c>
      <c r="E24" s="427">
        <f>'144A Draw'!D21*$C24*1000</f>
        <v>0</v>
      </c>
      <c r="F24" s="427">
        <f>'144A Draw'!E21*$C24*1000</f>
        <v>0</v>
      </c>
      <c r="G24" s="427">
        <f>'144A Draw'!F21*$C24*1000</f>
        <v>0</v>
      </c>
      <c r="H24" s="427">
        <f>'144A Draw'!G21*$C24*1000</f>
        <v>0</v>
      </c>
      <c r="I24" s="427">
        <f>'144A Draw'!H21*$C24*1000</f>
        <v>0</v>
      </c>
      <c r="J24" s="427">
        <f>'144A Draw'!I21*$C24*1000</f>
        <v>0</v>
      </c>
      <c r="K24" s="427">
        <f>'144A Draw'!J21*$C24*1000</f>
        <v>0</v>
      </c>
      <c r="L24" s="427">
        <f>'144A Draw'!K21*$C24*1000</f>
        <v>0</v>
      </c>
      <c r="M24" s="427">
        <f>'144A Draw'!L21*$C24*1000</f>
        <v>0</v>
      </c>
      <c r="N24" s="427">
        <f>'144A Draw'!M21*$C24*1000</f>
        <v>0</v>
      </c>
      <c r="O24" s="427">
        <f>'144A Draw'!N21*$C24*1000</f>
        <v>0</v>
      </c>
      <c r="P24" s="427">
        <f>'144A Draw'!O21*$C24*1000</f>
        <v>0</v>
      </c>
      <c r="Q24" s="427">
        <f>'144A Draw'!P21*$C24*1000</f>
        <v>0</v>
      </c>
      <c r="R24" s="427">
        <f>'144A Draw'!Q21*$C24*1000</f>
        <v>0</v>
      </c>
      <c r="S24" s="427">
        <f>'144A Draw'!R21*$C24*1000</f>
        <v>0</v>
      </c>
      <c r="T24" s="427">
        <f>'144A Draw'!S21*$C24*1000</f>
        <v>0</v>
      </c>
      <c r="U24" s="427">
        <f>'144A Draw'!T21*$C24*1000</f>
        <v>0</v>
      </c>
      <c r="V24" s="427">
        <f>'144A Draw'!U21*$C24*1000</f>
        <v>0</v>
      </c>
      <c r="W24" s="427">
        <f>'144A Draw'!V21*$C24*1000</f>
        <v>0</v>
      </c>
      <c r="X24" s="427">
        <f>'144A Draw'!W21*$C24*1000</f>
        <v>0</v>
      </c>
      <c r="Y24" s="427">
        <f>'144A Draw'!X21*$C24*1000</f>
        <v>0</v>
      </c>
      <c r="Z24" s="427"/>
      <c r="AA24" s="428">
        <f t="shared" si="1"/>
        <v>0</v>
      </c>
    </row>
    <row r="25" spans="1:27">
      <c r="A25" s="578" t="str">
        <f>'144A Draw'!A22</f>
        <v>Other</v>
      </c>
      <c r="B25" s="403"/>
      <c r="C25" s="429">
        <f>'144A Draw'!B22</f>
        <v>0</v>
      </c>
      <c r="D25" s="426">
        <f>'144A Draw'!C22*$C25*1000</f>
        <v>0</v>
      </c>
      <c r="E25" s="427">
        <f>'144A Draw'!D22*$C25*1000</f>
        <v>0</v>
      </c>
      <c r="F25" s="427">
        <f>'144A Draw'!E22*$C25*1000</f>
        <v>0</v>
      </c>
      <c r="G25" s="427">
        <f>'144A Draw'!F22*$C25*1000</f>
        <v>0</v>
      </c>
      <c r="H25" s="427">
        <f>'144A Draw'!G22*$C25*1000</f>
        <v>0</v>
      </c>
      <c r="I25" s="427">
        <f>'144A Draw'!H22*$C25*1000</f>
        <v>0</v>
      </c>
      <c r="J25" s="427">
        <f>'144A Draw'!I22*$C25*1000</f>
        <v>0</v>
      </c>
      <c r="K25" s="427">
        <f>'144A Draw'!J22*$C25*1000</f>
        <v>0</v>
      </c>
      <c r="L25" s="427">
        <f>'144A Draw'!K22*$C25*1000</f>
        <v>0</v>
      </c>
      <c r="M25" s="427">
        <f>'144A Draw'!L22*$C25*1000</f>
        <v>0</v>
      </c>
      <c r="N25" s="427">
        <f>'144A Draw'!M22*$C25*1000</f>
        <v>0</v>
      </c>
      <c r="O25" s="427">
        <f>'144A Draw'!N22*$C25*1000</f>
        <v>0</v>
      </c>
      <c r="P25" s="427">
        <f>'144A Draw'!O22*$C25*1000</f>
        <v>0</v>
      </c>
      <c r="Q25" s="427">
        <f>'144A Draw'!P22*$C25*1000</f>
        <v>0</v>
      </c>
      <c r="R25" s="427">
        <f>'144A Draw'!Q22*$C25*1000</f>
        <v>0</v>
      </c>
      <c r="S25" s="427">
        <f>'144A Draw'!R22*$C25*1000</f>
        <v>0</v>
      </c>
      <c r="T25" s="427">
        <f>'144A Draw'!S22*$C25*1000</f>
        <v>0</v>
      </c>
      <c r="U25" s="427">
        <f>'144A Draw'!T22*$C25*1000</f>
        <v>0</v>
      </c>
      <c r="V25" s="427">
        <f>'144A Draw'!U22*$C25*1000</f>
        <v>0</v>
      </c>
      <c r="W25" s="427">
        <f>'144A Draw'!V22*$C25*1000</f>
        <v>0</v>
      </c>
      <c r="X25" s="427">
        <f>'144A Draw'!W22*$C25*1000</f>
        <v>0</v>
      </c>
      <c r="Y25" s="427">
        <f>'144A Draw'!X22*$C25*1000</f>
        <v>0</v>
      </c>
      <c r="Z25" s="427"/>
      <c r="AA25" s="428">
        <f t="shared" si="1"/>
        <v>0</v>
      </c>
    </row>
    <row r="26" spans="1:27">
      <c r="A26" s="578" t="str">
        <f>'144A Draw'!A23</f>
        <v xml:space="preserve">   Total Engineering / Construction</v>
      </c>
      <c r="B26" s="403"/>
      <c r="C26" s="425">
        <f>SUM(C20:C25)</f>
        <v>0</v>
      </c>
      <c r="D26" s="426"/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  <c r="V26" s="427"/>
      <c r="W26" s="427"/>
      <c r="X26" s="427"/>
      <c r="Y26" s="427"/>
      <c r="Z26" s="427"/>
      <c r="AA26" s="403"/>
    </row>
    <row r="27" spans="1:27">
      <c r="A27" s="578"/>
      <c r="B27" s="403"/>
      <c r="C27" s="425"/>
      <c r="D27" s="426"/>
      <c r="E27" s="427"/>
      <c r="F27" s="427"/>
      <c r="G27" s="427"/>
      <c r="H27" s="427"/>
      <c r="I27" s="427"/>
      <c r="J27" s="427"/>
      <c r="K27" s="427"/>
      <c r="L27" s="427"/>
      <c r="M27" s="427"/>
      <c r="N27" s="427"/>
      <c r="O27" s="427"/>
      <c r="P27" s="427"/>
      <c r="Q27" s="427"/>
      <c r="R27" s="427"/>
      <c r="S27" s="427"/>
      <c r="T27" s="427"/>
      <c r="U27" s="427"/>
      <c r="V27" s="427"/>
      <c r="W27" s="427"/>
      <c r="X27" s="427"/>
      <c r="Y27" s="427"/>
      <c r="Z27" s="427"/>
      <c r="AA27" s="403"/>
    </row>
    <row r="28" spans="1:27" ht="16.2">
      <c r="A28" s="578" t="str">
        <f>'144A Draw'!A25</f>
        <v>Other</v>
      </c>
      <c r="B28" s="403"/>
      <c r="C28" s="430"/>
      <c r="D28" s="426"/>
      <c r="E28" s="427"/>
      <c r="F28" s="427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  <c r="V28" s="427"/>
      <c r="W28" s="427"/>
      <c r="X28" s="427"/>
      <c r="Y28" s="427"/>
      <c r="Z28" s="427"/>
      <c r="AA28" s="403"/>
    </row>
    <row r="29" spans="1:27">
      <c r="A29" s="578" t="str">
        <f>'144A Draw'!A26</f>
        <v>Land</v>
      </c>
      <c r="B29" s="403"/>
      <c r="C29" s="425">
        <f>'144A Draw'!B26</f>
        <v>0.25</v>
      </c>
      <c r="D29" s="426">
        <f>'144A Draw'!C26*$C29*1000</f>
        <v>250</v>
      </c>
      <c r="E29" s="427">
        <f>'144A Draw'!D26*$C29*1000</f>
        <v>0</v>
      </c>
      <c r="F29" s="427">
        <f>'144A Draw'!E26*$C29*1000</f>
        <v>0</v>
      </c>
      <c r="G29" s="427">
        <f>'144A Draw'!F26*$C29*1000</f>
        <v>0</v>
      </c>
      <c r="H29" s="427">
        <f>'144A Draw'!G26*$C29*1000</f>
        <v>0</v>
      </c>
      <c r="I29" s="427">
        <f>'144A Draw'!H26*$C29*1000</f>
        <v>0</v>
      </c>
      <c r="J29" s="427">
        <f>'144A Draw'!I26*$C29*1000</f>
        <v>0</v>
      </c>
      <c r="K29" s="427">
        <f>'144A Draw'!J26*$C29*1000</f>
        <v>0</v>
      </c>
      <c r="L29" s="427">
        <f>'144A Draw'!K26*$C29*1000</f>
        <v>0</v>
      </c>
      <c r="M29" s="427">
        <f>'144A Draw'!L26*$C29*1000</f>
        <v>0</v>
      </c>
      <c r="N29" s="427">
        <f>'144A Draw'!M26*$C29*1000</f>
        <v>0</v>
      </c>
      <c r="O29" s="427">
        <f>'144A Draw'!N26*$C29*1000</f>
        <v>0</v>
      </c>
      <c r="P29" s="427">
        <f>'144A Draw'!O26*$C29*1000</f>
        <v>0</v>
      </c>
      <c r="Q29" s="427">
        <f>'144A Draw'!P26*$C29*1000</f>
        <v>0</v>
      </c>
      <c r="R29" s="427">
        <f>'144A Draw'!Q26*$C29*1000</f>
        <v>0</v>
      </c>
      <c r="S29" s="427">
        <f>'144A Draw'!R26*$C29*1000</f>
        <v>0</v>
      </c>
      <c r="T29" s="427">
        <f>'144A Draw'!S26*$C29*1000</f>
        <v>0</v>
      </c>
      <c r="U29" s="427">
        <f>'144A Draw'!T26*$C29*1000</f>
        <v>0</v>
      </c>
      <c r="V29" s="427">
        <f>'144A Draw'!U26*$C29*1000</f>
        <v>0</v>
      </c>
      <c r="W29" s="427">
        <f>'144A Draw'!V26*$C29*1000</f>
        <v>0</v>
      </c>
      <c r="X29" s="427">
        <f>'144A Draw'!W26*$C29*1000</f>
        <v>0</v>
      </c>
      <c r="Y29" s="427">
        <f>'144A Draw'!X26*$C29*1000</f>
        <v>0</v>
      </c>
      <c r="Z29" s="427"/>
      <c r="AA29" s="428">
        <f>C29*1000-SUM(D29:Y29)</f>
        <v>0</v>
      </c>
    </row>
    <row r="30" spans="1:27">
      <c r="A30" s="578" t="str">
        <f>'144A Draw'!A27</f>
        <v>Transmission Costs</v>
      </c>
      <c r="B30" s="403"/>
      <c r="C30" s="425">
        <f>'144A Draw'!B27</f>
        <v>1.9</v>
      </c>
      <c r="D30" s="426">
        <f>'144A Draw'!C27*$C30*1000</f>
        <v>152</v>
      </c>
      <c r="E30" s="427">
        <f>'144A Draw'!D27*$C30*1000</f>
        <v>95</v>
      </c>
      <c r="F30" s="427">
        <f>'144A Draw'!E27*$C30*1000</f>
        <v>95</v>
      </c>
      <c r="G30" s="427">
        <f>'144A Draw'!F27*$C30*1000</f>
        <v>95</v>
      </c>
      <c r="H30" s="427">
        <f>'144A Draw'!G27*$C30*1000</f>
        <v>95</v>
      </c>
      <c r="I30" s="427">
        <f>'144A Draw'!H27*$C30*1000</f>
        <v>178.6</v>
      </c>
      <c r="J30" s="427">
        <f>'144A Draw'!I27*$C30*1000</f>
        <v>84.549999999999983</v>
      </c>
      <c r="K30" s="427">
        <f>'144A Draw'!J27*$C30*1000</f>
        <v>73.149999999999991</v>
      </c>
      <c r="L30" s="427">
        <f>'144A Draw'!K27*$C30*1000</f>
        <v>84.549999999999983</v>
      </c>
      <c r="M30" s="427">
        <f>'144A Draw'!L27*$C30*1000</f>
        <v>84.549999999999983</v>
      </c>
      <c r="N30" s="427">
        <f>'144A Draw'!M27*$C30*1000</f>
        <v>126.72999999999998</v>
      </c>
      <c r="O30" s="427">
        <f>'144A Draw'!N27*$C30*1000</f>
        <v>126.72999999999998</v>
      </c>
      <c r="P30" s="427">
        <f>'144A Draw'!O27*$C30*1000</f>
        <v>209</v>
      </c>
      <c r="Q30" s="427">
        <f>'144A Draw'!P27*$C30*1000</f>
        <v>133</v>
      </c>
      <c r="R30" s="427">
        <f>'144A Draw'!Q27*$C30*1000</f>
        <v>133</v>
      </c>
      <c r="S30" s="427">
        <f>'144A Draw'!R27*$C30*1000</f>
        <v>134.13999999999999</v>
      </c>
      <c r="T30" s="427">
        <f>'144A Draw'!S27*$C30*1000</f>
        <v>0</v>
      </c>
      <c r="U30" s="427">
        <f>'144A Draw'!T27*$C30*1000</f>
        <v>0</v>
      </c>
      <c r="V30" s="427">
        <f>'144A Draw'!U27*$C30*1000</f>
        <v>0</v>
      </c>
      <c r="W30" s="427">
        <f>'144A Draw'!V27*$C30*1000</f>
        <v>0</v>
      </c>
      <c r="X30" s="427">
        <f>'144A Draw'!W27*$C30*1000</f>
        <v>0</v>
      </c>
      <c r="Y30" s="427">
        <f>'144A Draw'!X27*$C30*1000</f>
        <v>0</v>
      </c>
      <c r="Z30" s="427"/>
      <c r="AA30" s="428">
        <f>C30*1000-SUM(D30:Y30)</f>
        <v>0</v>
      </c>
    </row>
    <row r="31" spans="1:27">
      <c r="A31" s="578" t="str">
        <f>'144A Draw'!A28</f>
        <v>AES Development Cost Reimbursement</v>
      </c>
      <c r="B31" s="403"/>
      <c r="C31" s="425">
        <f>'144A Draw'!B28</f>
        <v>1.2170000000000001</v>
      </c>
      <c r="D31" s="426">
        <f>'144A Draw'!C28*$C31*1000</f>
        <v>0</v>
      </c>
      <c r="E31" s="427">
        <f>'144A Draw'!D28*$C31*1000</f>
        <v>0</v>
      </c>
      <c r="F31" s="427">
        <f>'144A Draw'!E28*$C31*1000</f>
        <v>0</v>
      </c>
      <c r="G31" s="427">
        <f>'144A Draw'!F28*$C31*1000</f>
        <v>0</v>
      </c>
      <c r="H31" s="427">
        <f>'144A Draw'!G28*$C31*1000</f>
        <v>1217</v>
      </c>
      <c r="I31" s="427">
        <f>'144A Draw'!H28*$C31*1000</f>
        <v>0</v>
      </c>
      <c r="J31" s="427">
        <f>'144A Draw'!I28*$C31*1000</f>
        <v>0</v>
      </c>
      <c r="K31" s="427">
        <f>'144A Draw'!J28*$C31*1000</f>
        <v>0</v>
      </c>
      <c r="L31" s="427">
        <f>'144A Draw'!K28*$C31*1000</f>
        <v>0</v>
      </c>
      <c r="M31" s="427">
        <f>'144A Draw'!L28*$C31*1000</f>
        <v>0</v>
      </c>
      <c r="N31" s="427">
        <f>'144A Draw'!M28*$C31*1000</f>
        <v>0</v>
      </c>
      <c r="O31" s="427">
        <f>'144A Draw'!N28*$C31*1000</f>
        <v>0</v>
      </c>
      <c r="P31" s="427">
        <f>'144A Draw'!O28*$C31*1000</f>
        <v>0</v>
      </c>
      <c r="Q31" s="427">
        <f>'144A Draw'!P28*$C31*1000</f>
        <v>0</v>
      </c>
      <c r="R31" s="427">
        <f>'144A Draw'!Q28*$C31*1000</f>
        <v>0</v>
      </c>
      <c r="S31" s="427">
        <f>'144A Draw'!R28*$C31*1000</f>
        <v>0</v>
      </c>
      <c r="T31" s="427">
        <f>'144A Draw'!S28*$C31*1000</f>
        <v>0</v>
      </c>
      <c r="U31" s="427">
        <f>'144A Draw'!T28*$C31*1000</f>
        <v>0</v>
      </c>
      <c r="V31" s="427">
        <f>'144A Draw'!U28*$C31*1000</f>
        <v>0</v>
      </c>
      <c r="W31" s="427">
        <f>'144A Draw'!V28*$C31*1000</f>
        <v>0</v>
      </c>
      <c r="X31" s="427">
        <f>'144A Draw'!W28*$C31*1000</f>
        <v>0</v>
      </c>
      <c r="Y31" s="427">
        <f>'144A Draw'!X28*$C31*1000</f>
        <v>0</v>
      </c>
      <c r="Z31" s="427"/>
      <c r="AA31" s="428">
        <f>C31*1000-SUM(D31:Y31)</f>
        <v>0</v>
      </c>
    </row>
    <row r="32" spans="1:27">
      <c r="A32" s="578" t="str">
        <f>'144A Draw'!A29</f>
        <v>Six Ring Bus</v>
      </c>
      <c r="B32" s="403"/>
      <c r="C32" s="429">
        <f>'144A Draw'!B29</f>
        <v>3.1280000000000001</v>
      </c>
      <c r="D32" s="426">
        <f>'144A Draw'!C29*$C32*1000</f>
        <v>250.24</v>
      </c>
      <c r="E32" s="427">
        <f>'144A Draw'!D29*$C32*1000</f>
        <v>156.4</v>
      </c>
      <c r="F32" s="427">
        <f>'144A Draw'!E29*$C32*1000</f>
        <v>156.4</v>
      </c>
      <c r="G32" s="427">
        <f>'144A Draw'!F29*$C32*1000</f>
        <v>156.4</v>
      </c>
      <c r="H32" s="427">
        <f>'144A Draw'!G29*$C32*1000</f>
        <v>156.4</v>
      </c>
      <c r="I32" s="427">
        <f>'144A Draw'!H29*$C32*1000</f>
        <v>294.03200000000004</v>
      </c>
      <c r="J32" s="427">
        <f>'144A Draw'!I29*$C32*1000</f>
        <v>139.196</v>
      </c>
      <c r="K32" s="427">
        <f>'144A Draw'!J29*$C32*1000</f>
        <v>120.42800000000001</v>
      </c>
      <c r="L32" s="427">
        <f>'144A Draw'!K29*$C32*1000</f>
        <v>139.196</v>
      </c>
      <c r="M32" s="427">
        <f>'144A Draw'!L29*$C32*1000</f>
        <v>139.196</v>
      </c>
      <c r="N32" s="427">
        <f>'144A Draw'!M29*$C32*1000</f>
        <v>208.63760000000002</v>
      </c>
      <c r="O32" s="427">
        <f>'144A Draw'!N29*$C32*1000</f>
        <v>208.63760000000002</v>
      </c>
      <c r="P32" s="427">
        <f>'144A Draw'!O29*$C32*1000</f>
        <v>344.08</v>
      </c>
      <c r="Q32" s="427">
        <f>'144A Draw'!P29*$C32*1000</f>
        <v>218.96</v>
      </c>
      <c r="R32" s="427">
        <f>'144A Draw'!Q29*$C32*1000</f>
        <v>218.96</v>
      </c>
      <c r="S32" s="427">
        <f>'144A Draw'!R29*$C32*1000</f>
        <v>220.83680000000001</v>
      </c>
      <c r="T32" s="427">
        <f>'144A Draw'!S29*$C32*1000</f>
        <v>0</v>
      </c>
      <c r="U32" s="427">
        <f>'144A Draw'!T29*$C32*1000</f>
        <v>0</v>
      </c>
      <c r="V32" s="427">
        <f>'144A Draw'!U29*$C32*1000</f>
        <v>0</v>
      </c>
      <c r="W32" s="427">
        <f>'144A Draw'!V29*$C32*1000</f>
        <v>0</v>
      </c>
      <c r="X32" s="427">
        <f>'144A Draw'!W29*$C32*1000</f>
        <v>0</v>
      </c>
      <c r="Y32" s="427">
        <f>'144A Draw'!X29*$C32*1000</f>
        <v>0</v>
      </c>
      <c r="Z32" s="427"/>
      <c r="AA32" s="428">
        <f>C32*1000-SUM(D32:Y32)</f>
        <v>0</v>
      </c>
    </row>
    <row r="33" spans="1:27">
      <c r="A33" s="578" t="str">
        <f>'144A Draw'!A30</f>
        <v xml:space="preserve">   Total Other</v>
      </c>
      <c r="B33" s="403"/>
      <c r="C33" s="425">
        <f>SUM(C29:C32)</f>
        <v>6.4950000000000001</v>
      </c>
      <c r="D33" s="426"/>
      <c r="E33" s="427"/>
      <c r="F33" s="427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27"/>
      <c r="R33" s="427"/>
      <c r="S33" s="427"/>
      <c r="T33" s="427"/>
      <c r="U33" s="427"/>
      <c r="V33" s="427"/>
      <c r="W33" s="427"/>
      <c r="X33" s="427"/>
      <c r="Y33" s="427"/>
      <c r="Z33" s="427"/>
      <c r="AA33" s="403"/>
    </row>
    <row r="34" spans="1:27">
      <c r="A34" s="578"/>
      <c r="B34" s="403"/>
      <c r="C34" s="425"/>
      <c r="D34" s="426"/>
      <c r="E34" s="427"/>
      <c r="F34" s="427"/>
      <c r="G34" s="427"/>
      <c r="H34" s="427"/>
      <c r="I34" s="427"/>
      <c r="J34" s="427"/>
      <c r="K34" s="427"/>
      <c r="L34" s="427"/>
      <c r="M34" s="427"/>
      <c r="N34" s="427"/>
      <c r="O34" s="427"/>
      <c r="P34" s="427"/>
      <c r="Q34" s="427"/>
      <c r="R34" s="427"/>
      <c r="S34" s="427"/>
      <c r="T34" s="427"/>
      <c r="U34" s="427"/>
      <c r="V34" s="427"/>
      <c r="W34" s="427"/>
      <c r="X34" s="427"/>
      <c r="Y34" s="427"/>
      <c r="Z34" s="427"/>
      <c r="AA34" s="403"/>
    </row>
    <row r="35" spans="1:27" ht="16.2">
      <c r="A35" s="578" t="str">
        <f>'144A Draw'!A32</f>
        <v>Soft Costs</v>
      </c>
      <c r="B35" s="403"/>
      <c r="C35" s="430"/>
      <c r="D35" s="426"/>
      <c r="E35" s="427"/>
      <c r="F35" s="427"/>
      <c r="G35" s="427"/>
      <c r="H35" s="427"/>
      <c r="I35" s="427"/>
      <c r="J35" s="427"/>
      <c r="K35" s="427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  <c r="X35" s="427"/>
      <c r="Y35" s="427"/>
      <c r="Z35" s="427"/>
      <c r="AA35" s="403"/>
    </row>
    <row r="36" spans="1:27">
      <c r="A36" s="578" t="str">
        <f>'144A Draw'!A33</f>
        <v>Development Cost Budget</v>
      </c>
      <c r="B36" s="403"/>
      <c r="C36" s="425">
        <f>'144A Draw'!B33</f>
        <v>2.2999999999999998</v>
      </c>
      <c r="D36" s="426">
        <f>'144A Draw'!C33*$C36*1000</f>
        <v>919.99999999999989</v>
      </c>
      <c r="E36" s="427">
        <f>'144A Draw'!D33*$C36*1000</f>
        <v>92</v>
      </c>
      <c r="F36" s="427">
        <f>'144A Draw'!E33*$C36*1000</f>
        <v>92</v>
      </c>
      <c r="G36" s="427">
        <f>'144A Draw'!F33*$C36*1000</f>
        <v>92</v>
      </c>
      <c r="H36" s="427">
        <f>'144A Draw'!G33*$C36*1000</f>
        <v>92</v>
      </c>
      <c r="I36" s="427">
        <f>'144A Draw'!H33*$C36*1000</f>
        <v>92</v>
      </c>
      <c r="J36" s="427">
        <f>'144A Draw'!I33*$C36*1000</f>
        <v>92</v>
      </c>
      <c r="K36" s="427">
        <f>'144A Draw'!J33*$C36*1000</f>
        <v>92</v>
      </c>
      <c r="L36" s="427">
        <f>'144A Draw'!K33*$C36*1000</f>
        <v>92</v>
      </c>
      <c r="M36" s="427">
        <f>'144A Draw'!L33*$C36*1000</f>
        <v>92</v>
      </c>
      <c r="N36" s="427">
        <f>'144A Draw'!M33*$C36*1000</f>
        <v>92</v>
      </c>
      <c r="O36" s="427">
        <f>'144A Draw'!N33*$C36*1000</f>
        <v>92</v>
      </c>
      <c r="P36" s="427">
        <f>'144A Draw'!O33*$C36*1000</f>
        <v>92</v>
      </c>
      <c r="Q36" s="427">
        <f>'144A Draw'!P33*$C36*1000</f>
        <v>92</v>
      </c>
      <c r="R36" s="427">
        <f>'144A Draw'!Q33*$C36*1000</f>
        <v>92</v>
      </c>
      <c r="S36" s="427">
        <f>'144A Draw'!R33*$C36*1000</f>
        <v>92</v>
      </c>
      <c r="T36" s="427">
        <f>'144A Draw'!S33*$C36*1000</f>
        <v>0</v>
      </c>
      <c r="U36" s="427">
        <f>'144A Draw'!T33*$C36*1000</f>
        <v>0</v>
      </c>
      <c r="V36" s="427">
        <f>'144A Draw'!U33*$C36*1000</f>
        <v>0</v>
      </c>
      <c r="W36" s="427">
        <f>'144A Draw'!V33*$C36*1000</f>
        <v>0</v>
      </c>
      <c r="X36" s="427">
        <f>'144A Draw'!W33*$C36*1000</f>
        <v>0</v>
      </c>
      <c r="Y36" s="427">
        <f>'144A Draw'!X33*$C36*1000</f>
        <v>0</v>
      </c>
      <c r="Z36" s="427"/>
      <c r="AA36" s="428">
        <f t="shared" ref="AA36:AA55" si="2">C36*1000-SUM(D36:Y36)</f>
        <v>0</v>
      </c>
    </row>
    <row r="37" spans="1:27">
      <c r="A37" s="578" t="str">
        <f>'144A Draw'!A34</f>
        <v>Construction Over-site budget</v>
      </c>
      <c r="B37" s="403"/>
      <c r="C37" s="425">
        <f>'144A Draw'!B34</f>
        <v>1.1559999999999999</v>
      </c>
      <c r="D37" s="426">
        <f>'144A Draw'!C34*$C37*1000</f>
        <v>72.25</v>
      </c>
      <c r="E37" s="427">
        <f>'144A Draw'!D34*$C37*1000</f>
        <v>72.25</v>
      </c>
      <c r="F37" s="427">
        <f>'144A Draw'!E34*$C37*1000</f>
        <v>72.25</v>
      </c>
      <c r="G37" s="427">
        <f>'144A Draw'!F34*$C37*1000</f>
        <v>72.25</v>
      </c>
      <c r="H37" s="427">
        <f>'144A Draw'!G34*$C37*1000</f>
        <v>72.25</v>
      </c>
      <c r="I37" s="427">
        <f>'144A Draw'!H34*$C37*1000</f>
        <v>72.25</v>
      </c>
      <c r="J37" s="427">
        <f>'144A Draw'!I34*$C37*1000</f>
        <v>72.25</v>
      </c>
      <c r="K37" s="427">
        <f>'144A Draw'!J34*$C37*1000</f>
        <v>72.25</v>
      </c>
      <c r="L37" s="427">
        <f>'144A Draw'!K34*$C37*1000</f>
        <v>72.25</v>
      </c>
      <c r="M37" s="427">
        <f>'144A Draw'!L34*$C37*1000</f>
        <v>72.25</v>
      </c>
      <c r="N37" s="427">
        <f>'144A Draw'!M34*$C37*1000</f>
        <v>72.25</v>
      </c>
      <c r="O37" s="427">
        <f>'144A Draw'!N34*$C37*1000</f>
        <v>72.25</v>
      </c>
      <c r="P37" s="427">
        <f>'144A Draw'!O34*$C37*1000</f>
        <v>72.25</v>
      </c>
      <c r="Q37" s="427">
        <f>'144A Draw'!P34*$C37*1000</f>
        <v>72.25</v>
      </c>
      <c r="R37" s="427">
        <f>'144A Draw'!Q34*$C37*1000</f>
        <v>72.25</v>
      </c>
      <c r="S37" s="427">
        <f>'144A Draw'!R34*$C37*1000</f>
        <v>72.25</v>
      </c>
      <c r="T37" s="427">
        <f>'144A Draw'!S34*$C37*1000</f>
        <v>0</v>
      </c>
      <c r="U37" s="427">
        <f>'144A Draw'!T34*$C37*1000</f>
        <v>0</v>
      </c>
      <c r="V37" s="427">
        <f>'144A Draw'!U34*$C37*1000</f>
        <v>0</v>
      </c>
      <c r="W37" s="427">
        <f>'144A Draw'!V34*$C37*1000</f>
        <v>0</v>
      </c>
      <c r="X37" s="427">
        <f>'144A Draw'!W34*$C37*1000</f>
        <v>0</v>
      </c>
      <c r="Y37" s="427">
        <f>'144A Draw'!X34*$C37*1000</f>
        <v>0</v>
      </c>
      <c r="Z37" s="427"/>
      <c r="AA37" s="428">
        <f t="shared" si="2"/>
        <v>0</v>
      </c>
    </row>
    <row r="38" spans="1:27">
      <c r="A38" s="578" t="str">
        <f>'144A Draw'!A35</f>
        <v>Other</v>
      </c>
      <c r="B38" s="403"/>
      <c r="C38" s="425">
        <f>'144A Draw'!B35</f>
        <v>0</v>
      </c>
      <c r="D38" s="426">
        <f>'144A Draw'!C35*$C38*1000</f>
        <v>0</v>
      </c>
      <c r="E38" s="427">
        <f>'144A Draw'!D35*$C38*1000</f>
        <v>0</v>
      </c>
      <c r="F38" s="427">
        <f>'144A Draw'!E35*$C38*1000</f>
        <v>0</v>
      </c>
      <c r="G38" s="427">
        <f>'144A Draw'!F35*$C38*1000</f>
        <v>0</v>
      </c>
      <c r="H38" s="427">
        <f>'144A Draw'!G35*$C38*1000</f>
        <v>0</v>
      </c>
      <c r="I38" s="427">
        <f>'144A Draw'!H35*$C38*1000</f>
        <v>0</v>
      </c>
      <c r="J38" s="427">
        <f>'144A Draw'!I35*$C38*1000</f>
        <v>0</v>
      </c>
      <c r="K38" s="427">
        <f>'144A Draw'!J35*$C38*1000</f>
        <v>0</v>
      </c>
      <c r="L38" s="427">
        <f>'144A Draw'!K35*$C38*1000</f>
        <v>0</v>
      </c>
      <c r="M38" s="427">
        <f>'144A Draw'!L35*$C38*1000</f>
        <v>0</v>
      </c>
      <c r="N38" s="427">
        <f>'144A Draw'!M35*$C38*1000</f>
        <v>0</v>
      </c>
      <c r="O38" s="427">
        <f>'144A Draw'!N35*$C38*1000</f>
        <v>0</v>
      </c>
      <c r="P38" s="427">
        <f>'144A Draw'!O35*$C38*1000</f>
        <v>0</v>
      </c>
      <c r="Q38" s="427">
        <f>'144A Draw'!P35*$C38*1000</f>
        <v>0</v>
      </c>
      <c r="R38" s="427">
        <f>'144A Draw'!Q35*$C38*1000</f>
        <v>0</v>
      </c>
      <c r="S38" s="427">
        <f>'144A Draw'!R35*$C38*1000</f>
        <v>0</v>
      </c>
      <c r="T38" s="427">
        <f>'144A Draw'!S35*$C38*1000</f>
        <v>0</v>
      </c>
      <c r="U38" s="427">
        <f>'144A Draw'!T35*$C38*1000</f>
        <v>0</v>
      </c>
      <c r="V38" s="427">
        <f>'144A Draw'!U35*$C38*1000</f>
        <v>0</v>
      </c>
      <c r="W38" s="427">
        <f>'144A Draw'!V35*$C38*1000</f>
        <v>0</v>
      </c>
      <c r="X38" s="427">
        <f>'144A Draw'!W35*$C38*1000</f>
        <v>0</v>
      </c>
      <c r="Y38" s="427">
        <f>'144A Draw'!X35*$C38*1000</f>
        <v>0</v>
      </c>
      <c r="Z38" s="427"/>
      <c r="AA38" s="428">
        <f t="shared" si="2"/>
        <v>0</v>
      </c>
    </row>
    <row r="39" spans="1:27">
      <c r="A39" s="578" t="str">
        <f>'144A Draw'!A36</f>
        <v xml:space="preserve">Other </v>
      </c>
      <c r="B39" s="403"/>
      <c r="C39" s="425">
        <f>'144A Draw'!B36</f>
        <v>0</v>
      </c>
      <c r="D39" s="426">
        <f>'144A Draw'!C36*$C39*1000</f>
        <v>0</v>
      </c>
      <c r="E39" s="427">
        <f>'144A Draw'!D36*$C39*1000</f>
        <v>0</v>
      </c>
      <c r="F39" s="427">
        <f>'144A Draw'!E36*$C39*1000</f>
        <v>0</v>
      </c>
      <c r="G39" s="427">
        <f>'144A Draw'!F36*$C39*1000</f>
        <v>0</v>
      </c>
      <c r="H39" s="427">
        <f>'144A Draw'!G36*$C39*1000</f>
        <v>0</v>
      </c>
      <c r="I39" s="427">
        <f>'144A Draw'!H36*$C39*1000</f>
        <v>0</v>
      </c>
      <c r="J39" s="427">
        <f>'144A Draw'!I36*$C39*1000</f>
        <v>0</v>
      </c>
      <c r="K39" s="427">
        <f>'144A Draw'!J36*$C39*1000</f>
        <v>0</v>
      </c>
      <c r="L39" s="427">
        <f>'144A Draw'!K36*$C39*1000</f>
        <v>0</v>
      </c>
      <c r="M39" s="427">
        <f>'144A Draw'!L36*$C39*1000</f>
        <v>0</v>
      </c>
      <c r="N39" s="427">
        <f>'144A Draw'!M36*$C39*1000</f>
        <v>0</v>
      </c>
      <c r="O39" s="427">
        <f>'144A Draw'!N36*$C39*1000</f>
        <v>0</v>
      </c>
      <c r="P39" s="427">
        <f>'144A Draw'!O36*$C39*1000</f>
        <v>0</v>
      </c>
      <c r="Q39" s="427">
        <f>'144A Draw'!P36*$C39*1000</f>
        <v>0</v>
      </c>
      <c r="R39" s="427">
        <f>'144A Draw'!Q36*$C39*1000</f>
        <v>0</v>
      </c>
      <c r="S39" s="427">
        <f>'144A Draw'!R36*$C39*1000</f>
        <v>0</v>
      </c>
      <c r="T39" s="427">
        <f>'144A Draw'!S36*$C39*1000</f>
        <v>0</v>
      </c>
      <c r="U39" s="427">
        <f>'144A Draw'!T36*$C39*1000</f>
        <v>0</v>
      </c>
      <c r="V39" s="427">
        <f>'144A Draw'!U36*$C39*1000</f>
        <v>0</v>
      </c>
      <c r="W39" s="427">
        <f>'144A Draw'!V36*$C39*1000</f>
        <v>0</v>
      </c>
      <c r="X39" s="427">
        <f>'144A Draw'!W36*$C39*1000</f>
        <v>0</v>
      </c>
      <c r="Y39" s="427">
        <f>'144A Draw'!X36*$C39*1000</f>
        <v>0</v>
      </c>
      <c r="Z39" s="427"/>
      <c r="AA39" s="428">
        <f t="shared" si="2"/>
        <v>0</v>
      </c>
    </row>
    <row r="40" spans="1:27">
      <c r="A40" s="578" t="str">
        <f>'144A Draw'!A37</f>
        <v>Other</v>
      </c>
      <c r="B40" s="403"/>
      <c r="C40" s="425">
        <f>'144A Draw'!B37</f>
        <v>0</v>
      </c>
      <c r="D40" s="426">
        <f>'144A Draw'!C37*$C40*1000</f>
        <v>0</v>
      </c>
      <c r="E40" s="427">
        <f>'144A Draw'!D37*$C40*1000</f>
        <v>0</v>
      </c>
      <c r="F40" s="427">
        <f>'144A Draw'!E37*$C40*1000</f>
        <v>0</v>
      </c>
      <c r="G40" s="427">
        <f>'144A Draw'!F37*$C40*1000</f>
        <v>0</v>
      </c>
      <c r="H40" s="427">
        <f>'144A Draw'!G37*$C40*1000</f>
        <v>0</v>
      </c>
      <c r="I40" s="427">
        <f>'144A Draw'!H37*$C40*1000</f>
        <v>0</v>
      </c>
      <c r="J40" s="427">
        <f>'144A Draw'!I37*$C40*1000</f>
        <v>0</v>
      </c>
      <c r="K40" s="427">
        <f>'144A Draw'!J37*$C40*1000</f>
        <v>0</v>
      </c>
      <c r="L40" s="427">
        <f>'144A Draw'!K37*$C40*1000</f>
        <v>0</v>
      </c>
      <c r="M40" s="427">
        <f>'144A Draw'!L37*$C40*1000</f>
        <v>0</v>
      </c>
      <c r="N40" s="427">
        <f>'144A Draw'!M37*$C40*1000</f>
        <v>0</v>
      </c>
      <c r="O40" s="427">
        <f>'144A Draw'!N37*$C40*1000</f>
        <v>0</v>
      </c>
      <c r="P40" s="427">
        <f>'144A Draw'!O37*$C40*1000</f>
        <v>0</v>
      </c>
      <c r="Q40" s="427">
        <f>'144A Draw'!P37*$C40*1000</f>
        <v>0</v>
      </c>
      <c r="R40" s="427">
        <f>'144A Draw'!Q37*$C40*1000</f>
        <v>0</v>
      </c>
      <c r="S40" s="427">
        <f>'144A Draw'!R37*$C40*1000</f>
        <v>0</v>
      </c>
      <c r="T40" s="427">
        <f>'144A Draw'!S37*$C40*1000</f>
        <v>0</v>
      </c>
      <c r="U40" s="427">
        <f>'144A Draw'!T37*$C40*1000</f>
        <v>0</v>
      </c>
      <c r="V40" s="427">
        <f>'144A Draw'!U37*$C40*1000</f>
        <v>0</v>
      </c>
      <c r="W40" s="427">
        <f>'144A Draw'!V37*$C40*1000</f>
        <v>0</v>
      </c>
      <c r="X40" s="427">
        <f>'144A Draw'!W37*$C40*1000</f>
        <v>0</v>
      </c>
      <c r="Y40" s="427">
        <f>'144A Draw'!X37*$C40*1000</f>
        <v>0</v>
      </c>
      <c r="Z40" s="427"/>
      <c r="AA40" s="428">
        <f t="shared" si="2"/>
        <v>0</v>
      </c>
    </row>
    <row r="41" spans="1:27">
      <c r="A41" s="578" t="str">
        <f>'144A Draw'!A38</f>
        <v>Financing Fees</v>
      </c>
      <c r="B41" s="403"/>
      <c r="C41" s="425">
        <f>'144A Draw'!B38</f>
        <v>2.7</v>
      </c>
      <c r="D41" s="426">
        <f>'144A Draw'!C38*$C41*1000</f>
        <v>0</v>
      </c>
      <c r="E41" s="427">
        <f>'144A Draw'!D38*$C41*1000</f>
        <v>0</v>
      </c>
      <c r="F41" s="427">
        <f>'144A Draw'!E38*$C41*1000</f>
        <v>0</v>
      </c>
      <c r="G41" s="427">
        <f>'144A Draw'!F38*$C41*1000</f>
        <v>0</v>
      </c>
      <c r="H41" s="427">
        <f>'144A Draw'!G38*$C41*1000</f>
        <v>0</v>
      </c>
      <c r="I41" s="427">
        <f>'144A Draw'!H38*$C41*1000</f>
        <v>2700</v>
      </c>
      <c r="J41" s="427">
        <f>'144A Draw'!I38*$C41*1000</f>
        <v>0</v>
      </c>
      <c r="K41" s="427">
        <f>'144A Draw'!J38*$C41*1000</f>
        <v>0</v>
      </c>
      <c r="L41" s="427">
        <f>'144A Draw'!K38*$C41*1000</f>
        <v>0</v>
      </c>
      <c r="M41" s="427">
        <f>'144A Draw'!L38*$C41*1000</f>
        <v>0</v>
      </c>
      <c r="N41" s="427">
        <f>'144A Draw'!M38*$C41*1000</f>
        <v>0</v>
      </c>
      <c r="O41" s="427">
        <f>'144A Draw'!N38*$C41*1000</f>
        <v>0</v>
      </c>
      <c r="P41" s="427">
        <f>'144A Draw'!O38*$C41*1000</f>
        <v>0</v>
      </c>
      <c r="Q41" s="427">
        <f>'144A Draw'!P38*$C41*1000</f>
        <v>0</v>
      </c>
      <c r="R41" s="427">
        <f>'144A Draw'!Q38*$C41*1000</f>
        <v>0</v>
      </c>
      <c r="S41" s="427">
        <f>'144A Draw'!R38*$C41*1000</f>
        <v>0</v>
      </c>
      <c r="T41" s="427">
        <f>'144A Draw'!S38*$C41*1000</f>
        <v>0</v>
      </c>
      <c r="U41" s="427">
        <f>'144A Draw'!T38*$C41*1000</f>
        <v>0</v>
      </c>
      <c r="V41" s="427">
        <f>'144A Draw'!U38*$C41*1000</f>
        <v>0</v>
      </c>
      <c r="W41" s="427">
        <f>'144A Draw'!V38*$C41*1000</f>
        <v>0</v>
      </c>
      <c r="X41" s="427">
        <f>'144A Draw'!W38*$C41*1000</f>
        <v>0</v>
      </c>
      <c r="Y41" s="427">
        <f>'144A Draw'!X38*$C41*1000</f>
        <v>0</v>
      </c>
      <c r="Z41" s="427"/>
      <c r="AA41" s="428">
        <f t="shared" si="2"/>
        <v>0</v>
      </c>
    </row>
    <row r="42" spans="1:27">
      <c r="A42" s="578" t="str">
        <f>'144A Draw'!A39</f>
        <v>Commitment Fees</v>
      </c>
      <c r="B42" s="403"/>
      <c r="C42" s="425">
        <f>'144A Draw'!B39</f>
        <v>0</v>
      </c>
      <c r="D42" s="426">
        <f>'144A Draw'!C39*$C42*1000</f>
        <v>0</v>
      </c>
      <c r="E42" s="427">
        <f>'144A Draw'!D39*$C42*1000</f>
        <v>0</v>
      </c>
      <c r="F42" s="427">
        <f>'144A Draw'!E39*$C42*1000</f>
        <v>0</v>
      </c>
      <c r="G42" s="427">
        <f>'144A Draw'!F39*$C42*1000</f>
        <v>0</v>
      </c>
      <c r="H42" s="427">
        <f>'144A Draw'!G39*$C42*1000</f>
        <v>0</v>
      </c>
      <c r="I42" s="427">
        <f>'144A Draw'!H39*$C42*1000</f>
        <v>0</v>
      </c>
      <c r="J42" s="427">
        <f>'144A Draw'!I39*$C42*1000</f>
        <v>0</v>
      </c>
      <c r="K42" s="427">
        <f>'144A Draw'!J39*$C42*1000</f>
        <v>0</v>
      </c>
      <c r="L42" s="427">
        <f>'144A Draw'!K39*$C42*1000</f>
        <v>0</v>
      </c>
      <c r="M42" s="427">
        <f>'144A Draw'!L39*$C42*1000</f>
        <v>0</v>
      </c>
      <c r="N42" s="427">
        <f>'144A Draw'!M39*$C42*1000</f>
        <v>0</v>
      </c>
      <c r="O42" s="427">
        <f>'144A Draw'!N39*$C42*1000</f>
        <v>0</v>
      </c>
      <c r="P42" s="427">
        <f>'144A Draw'!O39*$C42*1000</f>
        <v>0</v>
      </c>
      <c r="Q42" s="427">
        <f>'144A Draw'!P39*$C42*1000</f>
        <v>0</v>
      </c>
      <c r="R42" s="427">
        <f>'144A Draw'!Q39*$C42*1000</f>
        <v>0</v>
      </c>
      <c r="S42" s="427">
        <f>'144A Draw'!R39*$C42*1000</f>
        <v>0</v>
      </c>
      <c r="T42" s="427">
        <f>'144A Draw'!S39*$C42*1000</f>
        <v>0</v>
      </c>
      <c r="U42" s="427">
        <f>'144A Draw'!T39*$C42*1000</f>
        <v>0</v>
      </c>
      <c r="V42" s="427">
        <f>'144A Draw'!U39*$C42*1000</f>
        <v>0</v>
      </c>
      <c r="W42" s="427">
        <f>'144A Draw'!V39*$C42*1000</f>
        <v>0</v>
      </c>
      <c r="X42" s="427">
        <f>'144A Draw'!W39*$C42*1000</f>
        <v>0</v>
      </c>
      <c r="Y42" s="427">
        <f>'144A Draw'!X39*$C42*1000</f>
        <v>0</v>
      </c>
      <c r="Z42" s="427"/>
      <c r="AA42" s="428">
        <f t="shared" si="2"/>
        <v>0</v>
      </c>
    </row>
    <row r="43" spans="1:27">
      <c r="A43" s="578" t="str">
        <f>'144A Draw'!A40</f>
        <v>Other</v>
      </c>
      <c r="B43" s="403"/>
      <c r="C43" s="425">
        <f>'144A Draw'!B40</f>
        <v>0</v>
      </c>
      <c r="D43" s="426">
        <f>'144A Draw'!C40*$C43*1000</f>
        <v>0</v>
      </c>
      <c r="E43" s="427">
        <f>'144A Draw'!D40*$C43*1000</f>
        <v>0</v>
      </c>
      <c r="F43" s="427">
        <f>'144A Draw'!E40*$C43*1000</f>
        <v>0</v>
      </c>
      <c r="G43" s="427">
        <f>'144A Draw'!F40*$C43*1000</f>
        <v>0</v>
      </c>
      <c r="H43" s="427">
        <f>'144A Draw'!G40*$C43*1000</f>
        <v>0</v>
      </c>
      <c r="I43" s="427">
        <f>'144A Draw'!H40*$C43*1000</f>
        <v>0</v>
      </c>
      <c r="J43" s="427">
        <f>'144A Draw'!I40*$C43*1000</f>
        <v>0</v>
      </c>
      <c r="K43" s="427">
        <f>'144A Draw'!J40*$C43*1000</f>
        <v>0</v>
      </c>
      <c r="L43" s="427">
        <f>'144A Draw'!K40*$C43*1000</f>
        <v>0</v>
      </c>
      <c r="M43" s="427">
        <f>'144A Draw'!L40*$C43*1000</f>
        <v>0</v>
      </c>
      <c r="N43" s="427">
        <f>'144A Draw'!M40*$C43*1000</f>
        <v>0</v>
      </c>
      <c r="O43" s="427">
        <f>'144A Draw'!N40*$C43*1000</f>
        <v>0</v>
      </c>
      <c r="P43" s="427">
        <f>'144A Draw'!O40*$C43*1000</f>
        <v>0</v>
      </c>
      <c r="Q43" s="427">
        <f>'144A Draw'!P40*$C43*1000</f>
        <v>0</v>
      </c>
      <c r="R43" s="427">
        <f>'144A Draw'!Q40*$C43*1000</f>
        <v>0</v>
      </c>
      <c r="S43" s="427">
        <f>'144A Draw'!R40*$C43*1000</f>
        <v>0</v>
      </c>
      <c r="T43" s="427">
        <f>'144A Draw'!S40*$C43*1000</f>
        <v>0</v>
      </c>
      <c r="U43" s="427">
        <f>'144A Draw'!T40*$C43*1000</f>
        <v>0</v>
      </c>
      <c r="V43" s="427">
        <f>'144A Draw'!U40*$C43*1000</f>
        <v>0</v>
      </c>
      <c r="W43" s="427">
        <f>'144A Draw'!V40*$C43*1000</f>
        <v>0</v>
      </c>
      <c r="X43" s="427">
        <f>'144A Draw'!W40*$C43*1000</f>
        <v>0</v>
      </c>
      <c r="Y43" s="427">
        <f>'144A Draw'!X40*$C43*1000</f>
        <v>0</v>
      </c>
      <c r="Z43" s="427"/>
      <c r="AA43" s="428">
        <f t="shared" si="2"/>
        <v>0</v>
      </c>
    </row>
    <row r="44" spans="1:27">
      <c r="A44" s="578" t="str">
        <f>'144A Draw'!A41</f>
        <v>Spares and Tools</v>
      </c>
      <c r="B44" s="403"/>
      <c r="C44" s="425">
        <f>'144A Draw'!B41</f>
        <v>1.5</v>
      </c>
      <c r="D44" s="426">
        <f>'144A Draw'!C41*$C44*1000</f>
        <v>0</v>
      </c>
      <c r="E44" s="427">
        <f>'144A Draw'!D41*$C44*1000</f>
        <v>0</v>
      </c>
      <c r="F44" s="427">
        <f>'144A Draw'!E41*$C44*1000</f>
        <v>0</v>
      </c>
      <c r="G44" s="427">
        <f>'144A Draw'!F41*$C44*1000</f>
        <v>0</v>
      </c>
      <c r="H44" s="427">
        <f>'144A Draw'!G41*$C44*1000</f>
        <v>0</v>
      </c>
      <c r="I44" s="427">
        <f>'144A Draw'!H41*$C44*1000</f>
        <v>0</v>
      </c>
      <c r="J44" s="427">
        <f>'144A Draw'!I41*$C44*1000</f>
        <v>600.00000000000011</v>
      </c>
      <c r="K44" s="427">
        <f>'144A Draw'!J41*$C44*1000</f>
        <v>0</v>
      </c>
      <c r="L44" s="427">
        <f>'144A Draw'!K41*$C44*1000</f>
        <v>0</v>
      </c>
      <c r="M44" s="427">
        <f>'144A Draw'!L41*$C44*1000</f>
        <v>0</v>
      </c>
      <c r="N44" s="427">
        <f>'144A Draw'!M41*$C44*1000</f>
        <v>0</v>
      </c>
      <c r="O44" s="427">
        <f>'144A Draw'!N41*$C44*1000</f>
        <v>0</v>
      </c>
      <c r="P44" s="427">
        <f>'144A Draw'!O41*$C44*1000</f>
        <v>0</v>
      </c>
      <c r="Q44" s="427">
        <f>'144A Draw'!P41*$C44*1000</f>
        <v>0</v>
      </c>
      <c r="R44" s="427">
        <f>'144A Draw'!Q41*$C44*1000</f>
        <v>0</v>
      </c>
      <c r="S44" s="427">
        <f>'144A Draw'!R41*$C44*1000</f>
        <v>899.99999999999989</v>
      </c>
      <c r="T44" s="427">
        <f>'144A Draw'!S41*$C44*1000</f>
        <v>0</v>
      </c>
      <c r="U44" s="427">
        <f>'144A Draw'!T41*$C44*1000</f>
        <v>0</v>
      </c>
      <c r="V44" s="427">
        <f>'144A Draw'!U41*$C44*1000</f>
        <v>0</v>
      </c>
      <c r="W44" s="427">
        <f>'144A Draw'!V41*$C44*1000</f>
        <v>0</v>
      </c>
      <c r="X44" s="427">
        <f>'144A Draw'!W41*$C44*1000</f>
        <v>0</v>
      </c>
      <c r="Y44" s="427">
        <f>'144A Draw'!X41*$C44*1000</f>
        <v>0</v>
      </c>
      <c r="Z44" s="427"/>
      <c r="AA44" s="428">
        <f t="shared" si="2"/>
        <v>0</v>
      </c>
    </row>
    <row r="45" spans="1:27">
      <c r="A45" s="578" t="str">
        <f>'144A Draw'!A42</f>
        <v>Builders Risk Insurance</v>
      </c>
      <c r="B45" s="403"/>
      <c r="C45" s="425">
        <f>'144A Draw'!B42</f>
        <v>0.41087218150457139</v>
      </c>
      <c r="D45" s="426">
        <f>'144A Draw'!C42*$C45*1000</f>
        <v>410.87218150457142</v>
      </c>
      <c r="E45" s="427">
        <f>'144A Draw'!D42*$C45*1000</f>
        <v>0</v>
      </c>
      <c r="F45" s="427">
        <f>'144A Draw'!E42*$C45*1000</f>
        <v>0</v>
      </c>
      <c r="G45" s="427">
        <f>'144A Draw'!F42*$C45*1000</f>
        <v>0</v>
      </c>
      <c r="H45" s="427">
        <f>'144A Draw'!G42*$C45*1000</f>
        <v>0</v>
      </c>
      <c r="I45" s="427">
        <f>'144A Draw'!H42*$C45*1000</f>
        <v>0</v>
      </c>
      <c r="J45" s="427">
        <f>'144A Draw'!I42*$C45*1000</f>
        <v>0</v>
      </c>
      <c r="K45" s="427">
        <f>'144A Draw'!J42*$C45*1000</f>
        <v>0</v>
      </c>
      <c r="L45" s="427">
        <f>'144A Draw'!K42*$C45*1000</f>
        <v>0</v>
      </c>
      <c r="M45" s="427">
        <f>'144A Draw'!L42*$C45*1000</f>
        <v>0</v>
      </c>
      <c r="N45" s="427">
        <f>'144A Draw'!M42*$C45*1000</f>
        <v>0</v>
      </c>
      <c r="O45" s="427">
        <f>'144A Draw'!N42*$C45*1000</f>
        <v>0</v>
      </c>
      <c r="P45" s="427">
        <f>'144A Draw'!O42*$C45*1000</f>
        <v>0</v>
      </c>
      <c r="Q45" s="427">
        <f>'144A Draw'!P42*$C45*1000</f>
        <v>0</v>
      </c>
      <c r="R45" s="427">
        <f>'144A Draw'!Q42*$C45*1000</f>
        <v>0</v>
      </c>
      <c r="S45" s="427">
        <f>'144A Draw'!R42*$C45*1000</f>
        <v>0</v>
      </c>
      <c r="T45" s="427">
        <f>'144A Draw'!S42*$C45*1000</f>
        <v>0</v>
      </c>
      <c r="U45" s="427">
        <f>'144A Draw'!T42*$C45*1000</f>
        <v>0</v>
      </c>
      <c r="V45" s="427">
        <f>'144A Draw'!U42*$C45*1000</f>
        <v>0</v>
      </c>
      <c r="W45" s="427">
        <f>'144A Draw'!V42*$C45*1000</f>
        <v>0</v>
      </c>
      <c r="X45" s="427">
        <f>'144A Draw'!W42*$C45*1000</f>
        <v>0</v>
      </c>
      <c r="Y45" s="427">
        <f>'144A Draw'!X42*$C45*1000</f>
        <v>0</v>
      </c>
      <c r="Z45" s="427"/>
      <c r="AA45" s="428">
        <f t="shared" si="2"/>
        <v>0</v>
      </c>
    </row>
    <row r="46" spans="1:27">
      <c r="A46" s="578" t="str">
        <f>'144A Draw'!A43</f>
        <v>O&amp;M Mobilization</v>
      </c>
      <c r="B46" s="403"/>
      <c r="C46" s="425">
        <f>'144A Draw'!B43</f>
        <v>0.8</v>
      </c>
      <c r="D46" s="426">
        <f>'144A Draw'!C43*$C46*1000</f>
        <v>50</v>
      </c>
      <c r="E46" s="427">
        <f>'144A Draw'!D43*$C46*1000</f>
        <v>50</v>
      </c>
      <c r="F46" s="427">
        <f>'144A Draw'!E43*$C46*1000</f>
        <v>50</v>
      </c>
      <c r="G46" s="427">
        <f>'144A Draw'!F43*$C46*1000</f>
        <v>50</v>
      </c>
      <c r="H46" s="427">
        <f>'144A Draw'!G43*$C46*1000</f>
        <v>50</v>
      </c>
      <c r="I46" s="427">
        <f>'144A Draw'!H43*$C46*1000</f>
        <v>50</v>
      </c>
      <c r="J46" s="427">
        <f>'144A Draw'!I43*$C46*1000</f>
        <v>50</v>
      </c>
      <c r="K46" s="427">
        <f>'144A Draw'!J43*$C46*1000</f>
        <v>50</v>
      </c>
      <c r="L46" s="427">
        <f>'144A Draw'!K43*$C46*1000</f>
        <v>50</v>
      </c>
      <c r="M46" s="427">
        <f>'144A Draw'!L43*$C46*1000</f>
        <v>50</v>
      </c>
      <c r="N46" s="427">
        <f>'144A Draw'!M43*$C46*1000</f>
        <v>50</v>
      </c>
      <c r="O46" s="427">
        <f>'144A Draw'!N43*$C46*1000</f>
        <v>50</v>
      </c>
      <c r="P46" s="427">
        <f>'144A Draw'!O43*$C46*1000</f>
        <v>50</v>
      </c>
      <c r="Q46" s="427">
        <f>'144A Draw'!P43*$C46*1000</f>
        <v>50</v>
      </c>
      <c r="R46" s="427">
        <f>'144A Draw'!Q43*$C46*1000</f>
        <v>50</v>
      </c>
      <c r="S46" s="427">
        <f>'144A Draw'!R43*$C46*1000</f>
        <v>50</v>
      </c>
      <c r="T46" s="427">
        <f>'144A Draw'!S43*$C46*1000</f>
        <v>0</v>
      </c>
      <c r="U46" s="427">
        <f>'144A Draw'!T43*$C46*1000</f>
        <v>0</v>
      </c>
      <c r="V46" s="427">
        <f>'144A Draw'!U43*$C46*1000</f>
        <v>0</v>
      </c>
      <c r="W46" s="427">
        <f>'144A Draw'!V43*$C46*1000</f>
        <v>0</v>
      </c>
      <c r="X46" s="427">
        <f>'144A Draw'!W43*$C46*1000</f>
        <v>0</v>
      </c>
      <c r="Y46" s="427">
        <f>'144A Draw'!X43*$C46*1000</f>
        <v>0</v>
      </c>
      <c r="Z46" s="427"/>
      <c r="AA46" s="428">
        <f t="shared" si="2"/>
        <v>0</v>
      </c>
    </row>
    <row r="47" spans="1:27">
      <c r="A47" s="578" t="str">
        <f>'144A Draw'!A44</f>
        <v>Lender Legal</v>
      </c>
      <c r="B47" s="403"/>
      <c r="C47" s="425">
        <f>'144A Draw'!B44</f>
        <v>1</v>
      </c>
      <c r="D47" s="426">
        <f>'144A Draw'!C44*$C47*1000</f>
        <v>0</v>
      </c>
      <c r="E47" s="427">
        <f>'144A Draw'!D44*$C47*1000</f>
        <v>0</v>
      </c>
      <c r="F47" s="427">
        <f>'144A Draw'!E44*$C47*1000</f>
        <v>0</v>
      </c>
      <c r="G47" s="427">
        <f>'144A Draw'!F44*$C47*1000</f>
        <v>0</v>
      </c>
      <c r="H47" s="427">
        <f>'144A Draw'!G44*$C47*1000</f>
        <v>0</v>
      </c>
      <c r="I47" s="427">
        <f>'144A Draw'!H44*$C47*1000</f>
        <v>0</v>
      </c>
      <c r="J47" s="427">
        <f>'144A Draw'!I44*$C47*1000</f>
        <v>1000</v>
      </c>
      <c r="K47" s="427">
        <f>'144A Draw'!J44*$C47*1000</f>
        <v>0</v>
      </c>
      <c r="L47" s="427">
        <f>'144A Draw'!K44*$C47*1000</f>
        <v>0</v>
      </c>
      <c r="M47" s="427">
        <f>'144A Draw'!L44*$C47*1000</f>
        <v>0</v>
      </c>
      <c r="N47" s="427">
        <f>'144A Draw'!M44*$C47*1000</f>
        <v>0</v>
      </c>
      <c r="O47" s="427">
        <f>'144A Draw'!N44*$C47*1000</f>
        <v>0</v>
      </c>
      <c r="P47" s="427">
        <f>'144A Draw'!O44*$C47*1000</f>
        <v>0</v>
      </c>
      <c r="Q47" s="427">
        <f>'144A Draw'!P44*$C47*1000</f>
        <v>0</v>
      </c>
      <c r="R47" s="427">
        <f>'144A Draw'!Q44*$C47*1000</f>
        <v>0</v>
      </c>
      <c r="S47" s="427">
        <f>'144A Draw'!R44*$C47*1000</f>
        <v>0</v>
      </c>
      <c r="T47" s="427">
        <f>'144A Draw'!S44*$C47*1000</f>
        <v>0</v>
      </c>
      <c r="U47" s="427">
        <f>'144A Draw'!T44*$C47*1000</f>
        <v>0</v>
      </c>
      <c r="V47" s="427">
        <f>'144A Draw'!U44*$C47*1000</f>
        <v>0</v>
      </c>
      <c r="W47" s="427">
        <f>'144A Draw'!V44*$C47*1000</f>
        <v>0</v>
      </c>
      <c r="X47" s="427">
        <f>'144A Draw'!W44*$C47*1000</f>
        <v>0</v>
      </c>
      <c r="Y47" s="427">
        <f>'144A Draw'!X44*$C47*1000</f>
        <v>0</v>
      </c>
      <c r="Z47" s="427"/>
      <c r="AA47" s="428">
        <f t="shared" si="2"/>
        <v>0</v>
      </c>
    </row>
    <row r="48" spans="1:27">
      <c r="A48" s="578" t="str">
        <f>'144A Draw'!A45</f>
        <v>Vehicles</v>
      </c>
      <c r="B48" s="403"/>
      <c r="C48" s="425">
        <f>'144A Draw'!B45</f>
        <v>0.1</v>
      </c>
      <c r="D48" s="426">
        <f>'144A Draw'!C45*$C48*1000</f>
        <v>0</v>
      </c>
      <c r="E48" s="427">
        <f>'144A Draw'!D45*$C48*1000</f>
        <v>0</v>
      </c>
      <c r="F48" s="427">
        <f>'144A Draw'!E45*$C48*1000</f>
        <v>0</v>
      </c>
      <c r="G48" s="427">
        <f>'144A Draw'!F45*$C48*1000</f>
        <v>0</v>
      </c>
      <c r="H48" s="427">
        <f>'144A Draw'!G45*$C48*1000</f>
        <v>100</v>
      </c>
      <c r="I48" s="427">
        <f>'144A Draw'!H45*$C48*1000</f>
        <v>0</v>
      </c>
      <c r="J48" s="427">
        <f>'144A Draw'!I45*$C48*1000</f>
        <v>0</v>
      </c>
      <c r="K48" s="427">
        <f>'144A Draw'!J45*$C48*1000</f>
        <v>0</v>
      </c>
      <c r="L48" s="427">
        <f>'144A Draw'!K45*$C48*1000</f>
        <v>0</v>
      </c>
      <c r="M48" s="427">
        <f>'144A Draw'!L45*$C48*1000</f>
        <v>0</v>
      </c>
      <c r="N48" s="427">
        <f>'144A Draw'!M45*$C48*1000</f>
        <v>0</v>
      </c>
      <c r="O48" s="427">
        <f>'144A Draw'!N45*$C48*1000</f>
        <v>0</v>
      </c>
      <c r="P48" s="427">
        <f>'144A Draw'!O45*$C48*1000</f>
        <v>0</v>
      </c>
      <c r="Q48" s="427">
        <f>'144A Draw'!P45*$C48*1000</f>
        <v>0</v>
      </c>
      <c r="R48" s="427">
        <f>'144A Draw'!Q45*$C48*1000</f>
        <v>0</v>
      </c>
      <c r="S48" s="427">
        <f>'144A Draw'!R45*$C48*1000</f>
        <v>0</v>
      </c>
      <c r="T48" s="427">
        <f>'144A Draw'!S45*$C48*1000</f>
        <v>0</v>
      </c>
      <c r="U48" s="427">
        <f>'144A Draw'!T45*$C48*1000</f>
        <v>0</v>
      </c>
      <c r="V48" s="427">
        <f>'144A Draw'!U45*$C48*1000</f>
        <v>0</v>
      </c>
      <c r="W48" s="427">
        <f>'144A Draw'!V45*$C48*1000</f>
        <v>0</v>
      </c>
      <c r="X48" s="427">
        <f>'144A Draw'!W45*$C48*1000</f>
        <v>0</v>
      </c>
      <c r="Y48" s="427">
        <f>'144A Draw'!X45*$C48*1000</f>
        <v>0</v>
      </c>
      <c r="Z48" s="427"/>
      <c r="AA48" s="428">
        <f t="shared" si="2"/>
        <v>0</v>
      </c>
    </row>
    <row r="49" spans="1:27">
      <c r="A49" s="578" t="str">
        <f>'144A Draw'!A46</f>
        <v>Document Recording Tax (State of VA tax)</v>
      </c>
      <c r="B49" s="403"/>
      <c r="C49" s="425">
        <f>'144A Draw'!B46</f>
        <v>7.4999999999999997E-3</v>
      </c>
      <c r="D49" s="426">
        <f>'144A Draw'!C46*$C49*1000</f>
        <v>0</v>
      </c>
      <c r="E49" s="427">
        <f>'144A Draw'!D46*$C49*1000</f>
        <v>0</v>
      </c>
      <c r="F49" s="427">
        <f>'144A Draw'!E46*$C49*1000</f>
        <v>0</v>
      </c>
      <c r="G49" s="427">
        <f>'144A Draw'!F46*$C49*1000</f>
        <v>0</v>
      </c>
      <c r="H49" s="427">
        <f>'144A Draw'!G46*$C49*1000</f>
        <v>0</v>
      </c>
      <c r="I49" s="427">
        <f>'144A Draw'!H46*$C49*1000</f>
        <v>0</v>
      </c>
      <c r="J49" s="427">
        <f>'144A Draw'!I46*$C49*1000</f>
        <v>3.75</v>
      </c>
      <c r="K49" s="427">
        <f>'144A Draw'!J46*$C49*1000</f>
        <v>0</v>
      </c>
      <c r="L49" s="427">
        <f>'144A Draw'!K46*$C49*1000</f>
        <v>0</v>
      </c>
      <c r="M49" s="427">
        <f>'144A Draw'!L46*$C49*1000</f>
        <v>0</v>
      </c>
      <c r="N49" s="427">
        <f>'144A Draw'!M46*$C49*1000</f>
        <v>0</v>
      </c>
      <c r="O49" s="427">
        <f>'144A Draw'!N46*$C49*1000</f>
        <v>0</v>
      </c>
      <c r="P49" s="427">
        <f>'144A Draw'!O46*$C49*1000</f>
        <v>0</v>
      </c>
      <c r="Q49" s="427">
        <f>'144A Draw'!P46*$C49*1000</f>
        <v>0</v>
      </c>
      <c r="R49" s="427">
        <f>'144A Draw'!Q46*$C49*1000</f>
        <v>0</v>
      </c>
      <c r="S49" s="427">
        <f>'144A Draw'!R46*$C49*1000</f>
        <v>3.75</v>
      </c>
      <c r="T49" s="427">
        <f>'144A Draw'!S46*$C49*1000</f>
        <v>0</v>
      </c>
      <c r="U49" s="427">
        <f>'144A Draw'!T46*$C49*1000</f>
        <v>0</v>
      </c>
      <c r="V49" s="427">
        <f>'144A Draw'!U46*$C49*1000</f>
        <v>0</v>
      </c>
      <c r="W49" s="427">
        <f>'144A Draw'!V46*$C49*1000</f>
        <v>0</v>
      </c>
      <c r="X49" s="427">
        <f>'144A Draw'!W46*$C49*1000</f>
        <v>0</v>
      </c>
      <c r="Y49" s="427">
        <f>'144A Draw'!X46*$C49*1000</f>
        <v>0</v>
      </c>
      <c r="Z49" s="427"/>
      <c r="AA49" s="428">
        <f t="shared" si="2"/>
        <v>0</v>
      </c>
    </row>
    <row r="50" spans="1:27">
      <c r="A50" s="578" t="str">
        <f>'144A Draw'!A47</f>
        <v>Working Capital</v>
      </c>
      <c r="B50" s="403"/>
      <c r="C50" s="425">
        <f>'144A Draw'!B47</f>
        <v>1.4142468281858152</v>
      </c>
      <c r="D50" s="426">
        <f>'144A Draw'!C47*$C50*1000</f>
        <v>0</v>
      </c>
      <c r="E50" s="427">
        <f>'144A Draw'!D47*$C50*1000</f>
        <v>0</v>
      </c>
      <c r="F50" s="427">
        <f>'144A Draw'!E47*$C50*1000</f>
        <v>0</v>
      </c>
      <c r="G50" s="427">
        <f>'144A Draw'!F47*$C50*1000</f>
        <v>0</v>
      </c>
      <c r="H50" s="427">
        <f>'144A Draw'!G47*$C50*1000</f>
        <v>0</v>
      </c>
      <c r="I50" s="427">
        <f>'144A Draw'!H47*$C50*1000</f>
        <v>0</v>
      </c>
      <c r="J50" s="427">
        <f>'144A Draw'!I47*$C50*1000</f>
        <v>707.12341409290752</v>
      </c>
      <c r="K50" s="427">
        <f>'144A Draw'!J47*$C50*1000</f>
        <v>0</v>
      </c>
      <c r="L50" s="427">
        <f>'144A Draw'!K47*$C50*1000</f>
        <v>0</v>
      </c>
      <c r="M50" s="427">
        <f>'144A Draw'!L47*$C50*1000</f>
        <v>0</v>
      </c>
      <c r="N50" s="427">
        <f>'144A Draw'!M47*$C50*1000</f>
        <v>0</v>
      </c>
      <c r="O50" s="427">
        <f>'144A Draw'!N47*$C50*1000</f>
        <v>0</v>
      </c>
      <c r="P50" s="427">
        <f>'144A Draw'!O47*$C50*1000</f>
        <v>0</v>
      </c>
      <c r="Q50" s="427">
        <f>'144A Draw'!P47*$C50*1000</f>
        <v>0</v>
      </c>
      <c r="R50" s="427">
        <f>'144A Draw'!Q47*$C50*1000</f>
        <v>0</v>
      </c>
      <c r="S50" s="427">
        <f>'144A Draw'!R47*$C50*1000</f>
        <v>707.12341409290752</v>
      </c>
      <c r="T50" s="427">
        <f>'144A Draw'!S47*$C50*1000</f>
        <v>0</v>
      </c>
      <c r="U50" s="427">
        <f>'144A Draw'!T47*$C50*1000</f>
        <v>0</v>
      </c>
      <c r="V50" s="427">
        <f>'144A Draw'!U47*$C50*1000</f>
        <v>0</v>
      </c>
      <c r="W50" s="427">
        <f>'144A Draw'!V47*$C50*1000</f>
        <v>0</v>
      </c>
      <c r="X50" s="427">
        <f>'144A Draw'!W47*$C50*1000</f>
        <v>0</v>
      </c>
      <c r="Y50" s="427">
        <f>'144A Draw'!X47*$C50*1000</f>
        <v>0</v>
      </c>
      <c r="Z50" s="427"/>
      <c r="AA50" s="428">
        <f t="shared" si="2"/>
        <v>0</v>
      </c>
    </row>
    <row r="51" spans="1:27">
      <c r="A51" s="578" t="str">
        <f>'144A Draw'!A48</f>
        <v>Other</v>
      </c>
      <c r="B51" s="403"/>
      <c r="C51" s="425">
        <f>'144A Draw'!B48</f>
        <v>0</v>
      </c>
      <c r="D51" s="426">
        <f>'144A Draw'!C48*$C51*1000</f>
        <v>0</v>
      </c>
      <c r="E51" s="427">
        <f>'144A Draw'!D48*$C51*1000</f>
        <v>0</v>
      </c>
      <c r="F51" s="427">
        <f>'144A Draw'!E48*$C51*1000</f>
        <v>0</v>
      </c>
      <c r="G51" s="427">
        <f>'144A Draw'!F48*$C51*1000</f>
        <v>0</v>
      </c>
      <c r="H51" s="427">
        <f>'144A Draw'!G48*$C51*1000</f>
        <v>0</v>
      </c>
      <c r="I51" s="427">
        <f>'144A Draw'!H48*$C51*1000</f>
        <v>0</v>
      </c>
      <c r="J51" s="427">
        <f>'144A Draw'!I48*$C51*1000</f>
        <v>0</v>
      </c>
      <c r="K51" s="427">
        <f>'144A Draw'!J48*$C51*1000</f>
        <v>0</v>
      </c>
      <c r="L51" s="427">
        <f>'144A Draw'!K48*$C51*1000</f>
        <v>0</v>
      </c>
      <c r="M51" s="427">
        <f>'144A Draw'!L48*$C51*1000</f>
        <v>0</v>
      </c>
      <c r="N51" s="427">
        <f>'144A Draw'!M48*$C51*1000</f>
        <v>0</v>
      </c>
      <c r="O51" s="427">
        <f>'144A Draw'!N48*$C51*1000</f>
        <v>0</v>
      </c>
      <c r="P51" s="427">
        <f>'144A Draw'!O48*$C51*1000</f>
        <v>0</v>
      </c>
      <c r="Q51" s="427">
        <f>'144A Draw'!P48*$C51*1000</f>
        <v>0</v>
      </c>
      <c r="R51" s="427">
        <f>'144A Draw'!Q48*$C51*1000</f>
        <v>0</v>
      </c>
      <c r="S51" s="427">
        <f>'144A Draw'!R48*$C51*1000</f>
        <v>0</v>
      </c>
      <c r="T51" s="427">
        <f>'144A Draw'!S48*$C51*1000</f>
        <v>0</v>
      </c>
      <c r="U51" s="427">
        <f>'144A Draw'!T48*$C51*1000</f>
        <v>0</v>
      </c>
      <c r="V51" s="427">
        <f>'144A Draw'!U48*$C51*1000</f>
        <v>0</v>
      </c>
      <c r="W51" s="427">
        <f>'144A Draw'!V48*$C51*1000</f>
        <v>0</v>
      </c>
      <c r="X51" s="427">
        <f>'144A Draw'!W48*$C51*1000</f>
        <v>0</v>
      </c>
      <c r="Y51" s="427">
        <f>'144A Draw'!X48*$C51*1000</f>
        <v>0</v>
      </c>
      <c r="Z51" s="427"/>
      <c r="AA51" s="428">
        <f t="shared" si="2"/>
        <v>0</v>
      </c>
    </row>
    <row r="52" spans="1:27">
      <c r="A52" s="578" t="str">
        <f>'144A Draw'!A49</f>
        <v xml:space="preserve">Debt Reserve </v>
      </c>
      <c r="B52" s="403"/>
      <c r="C52" s="425">
        <f ca="1">'144A Draw'!B49</f>
        <v>9.6072300000000013</v>
      </c>
      <c r="D52" s="426">
        <f ca="1">'144A Draw'!C49*$C52*1000</f>
        <v>0</v>
      </c>
      <c r="E52" s="427">
        <f ca="1">'144A Draw'!D49*$C52*1000</f>
        <v>0</v>
      </c>
      <c r="F52" s="427">
        <f ca="1">'144A Draw'!E49*$C52*1000</f>
        <v>0</v>
      </c>
      <c r="G52" s="427">
        <f ca="1">'144A Draw'!F49*$C52*1000</f>
        <v>0</v>
      </c>
      <c r="H52" s="427">
        <f ca="1">'144A Draw'!G49*$C52*1000</f>
        <v>0</v>
      </c>
      <c r="I52" s="427">
        <f ca="1">'144A Draw'!H49*$C52*1000</f>
        <v>9607.2300000000014</v>
      </c>
      <c r="J52" s="427">
        <f ca="1">'144A Draw'!I49*$C52*1000</f>
        <v>0</v>
      </c>
      <c r="K52" s="427">
        <f ca="1">'144A Draw'!J49*$C52*1000</f>
        <v>0</v>
      </c>
      <c r="L52" s="427">
        <f ca="1">'144A Draw'!K49*$C52*1000</f>
        <v>0</v>
      </c>
      <c r="M52" s="427">
        <f ca="1">'144A Draw'!L49*$C52*1000</f>
        <v>0</v>
      </c>
      <c r="N52" s="427">
        <f ca="1">'144A Draw'!M49*$C52*1000</f>
        <v>0</v>
      </c>
      <c r="O52" s="427">
        <f ca="1">'144A Draw'!N49*$C52*1000</f>
        <v>0</v>
      </c>
      <c r="P52" s="427">
        <f ca="1">'144A Draw'!O49*$C52*1000</f>
        <v>0</v>
      </c>
      <c r="Q52" s="427">
        <f ca="1">'144A Draw'!P49*$C52*1000</f>
        <v>0</v>
      </c>
      <c r="R52" s="427">
        <f ca="1">'144A Draw'!Q49*$C52*1000</f>
        <v>0</v>
      </c>
      <c r="S52" s="427">
        <f ca="1">'144A Draw'!R49*$C52*1000</f>
        <v>0</v>
      </c>
      <c r="T52" s="427">
        <f ca="1">'144A Draw'!S49*$C52*1000</f>
        <v>0</v>
      </c>
      <c r="U52" s="427">
        <f ca="1">'144A Draw'!T49*$C52*1000</f>
        <v>0</v>
      </c>
      <c r="V52" s="427">
        <f ca="1">'144A Draw'!U49*$C52*1000</f>
        <v>0</v>
      </c>
      <c r="W52" s="427">
        <f ca="1">'144A Draw'!V49*$C52*1000</f>
        <v>0</v>
      </c>
      <c r="X52" s="427">
        <f ca="1">'144A Draw'!W49*$C52*1000</f>
        <v>0</v>
      </c>
      <c r="Y52" s="427">
        <f ca="1">'144A Draw'!X49*$C52*1000</f>
        <v>0</v>
      </c>
      <c r="Z52" s="427"/>
      <c r="AA52" s="428">
        <f t="shared" ca="1" si="2"/>
        <v>0</v>
      </c>
    </row>
    <row r="53" spans="1:27">
      <c r="A53" s="578" t="str">
        <f>'144A Draw'!A50</f>
        <v>Other</v>
      </c>
      <c r="B53" s="403"/>
      <c r="C53" s="425">
        <f>'144A Draw'!B50</f>
        <v>0</v>
      </c>
      <c r="D53" s="426">
        <f>'144A Draw'!C50*$C53*1000</f>
        <v>0</v>
      </c>
      <c r="E53" s="427">
        <f>'144A Draw'!D50*$C53*1000</f>
        <v>0</v>
      </c>
      <c r="F53" s="427">
        <f>'144A Draw'!E50*$C53*1000</f>
        <v>0</v>
      </c>
      <c r="G53" s="427">
        <f>'144A Draw'!F50*$C53*1000</f>
        <v>0</v>
      </c>
      <c r="H53" s="427">
        <f>'144A Draw'!G50*$C53*1000</f>
        <v>0</v>
      </c>
      <c r="I53" s="427">
        <f>'144A Draw'!H50*$C53*1000</f>
        <v>0</v>
      </c>
      <c r="J53" s="427">
        <f>'144A Draw'!I50*$C53*1000</f>
        <v>0</v>
      </c>
      <c r="K53" s="427">
        <f>'144A Draw'!J50*$C53*1000</f>
        <v>0</v>
      </c>
      <c r="L53" s="427">
        <f>'144A Draw'!K50*$C53*1000</f>
        <v>0</v>
      </c>
      <c r="M53" s="427">
        <f>'144A Draw'!L50*$C53*1000</f>
        <v>0</v>
      </c>
      <c r="N53" s="427">
        <f>'144A Draw'!M50*$C53*1000</f>
        <v>0</v>
      </c>
      <c r="O53" s="427">
        <f>'144A Draw'!N50*$C53*1000</f>
        <v>0</v>
      </c>
      <c r="P53" s="427">
        <f>'144A Draw'!O50*$C53*1000</f>
        <v>0</v>
      </c>
      <c r="Q53" s="427">
        <f>'144A Draw'!P50*$C53*1000</f>
        <v>0</v>
      </c>
      <c r="R53" s="427">
        <f>'144A Draw'!Q50*$C53*1000</f>
        <v>0</v>
      </c>
      <c r="S53" s="427">
        <f>'144A Draw'!R50*$C53*1000</f>
        <v>0</v>
      </c>
      <c r="T53" s="427">
        <f>'144A Draw'!S50*$C53*1000</f>
        <v>0</v>
      </c>
      <c r="U53" s="427">
        <f>'144A Draw'!T50*$C53*1000</f>
        <v>0</v>
      </c>
      <c r="V53" s="427">
        <f>'144A Draw'!U50*$C53*1000</f>
        <v>0</v>
      </c>
      <c r="W53" s="427">
        <f>'144A Draw'!V50*$C53*1000</f>
        <v>0</v>
      </c>
      <c r="X53" s="427">
        <f>'144A Draw'!W50*$C53*1000</f>
        <v>0</v>
      </c>
      <c r="Y53" s="427">
        <f>'144A Draw'!X50*$C53*1000</f>
        <v>0</v>
      </c>
      <c r="Z53" s="427"/>
      <c r="AA53" s="428">
        <f t="shared" si="2"/>
        <v>0</v>
      </c>
    </row>
    <row r="54" spans="1:27">
      <c r="A54" s="578" t="str">
        <f>'144A Draw'!A51</f>
        <v>Environmental Impact Assessment</v>
      </c>
      <c r="B54" s="403"/>
      <c r="C54" s="425">
        <f>'144A Draw'!B51</f>
        <v>0.05</v>
      </c>
      <c r="D54" s="426">
        <f>'144A Draw'!C51*$C54*1000</f>
        <v>50</v>
      </c>
      <c r="E54" s="427">
        <f>'144A Draw'!D51*$C54*1000</f>
        <v>0</v>
      </c>
      <c r="F54" s="427">
        <f>'144A Draw'!E51*$C54*1000</f>
        <v>0</v>
      </c>
      <c r="G54" s="427">
        <f>'144A Draw'!F51*$C54*1000</f>
        <v>0</v>
      </c>
      <c r="H54" s="427">
        <f>'144A Draw'!G51*$C54*1000</f>
        <v>0</v>
      </c>
      <c r="I54" s="427">
        <f>'144A Draw'!H51*$C54*1000</f>
        <v>0</v>
      </c>
      <c r="J54" s="427">
        <f>'144A Draw'!I51*$C54*1000</f>
        <v>0</v>
      </c>
      <c r="K54" s="427">
        <f>'144A Draw'!J51*$C54*1000</f>
        <v>0</v>
      </c>
      <c r="L54" s="427">
        <f>'144A Draw'!K51*$C54*1000</f>
        <v>0</v>
      </c>
      <c r="M54" s="427">
        <f>'144A Draw'!L51*$C54*1000</f>
        <v>0</v>
      </c>
      <c r="N54" s="427">
        <f>'144A Draw'!M51*$C54*1000</f>
        <v>0</v>
      </c>
      <c r="O54" s="427">
        <f>'144A Draw'!N51*$C54*1000</f>
        <v>0</v>
      </c>
      <c r="P54" s="427">
        <f>'144A Draw'!O51*$C54*1000</f>
        <v>0</v>
      </c>
      <c r="Q54" s="427">
        <f>'144A Draw'!P51*$C54*1000</f>
        <v>0</v>
      </c>
      <c r="R54" s="427">
        <f>'144A Draw'!Q51*$C54*1000</f>
        <v>0</v>
      </c>
      <c r="S54" s="427">
        <f>'144A Draw'!R51*$C54*1000</f>
        <v>0</v>
      </c>
      <c r="T54" s="427">
        <f>'144A Draw'!S51*$C54*1000</f>
        <v>0</v>
      </c>
      <c r="U54" s="427">
        <f>'144A Draw'!T51*$C54*1000</f>
        <v>0</v>
      </c>
      <c r="V54" s="427">
        <f>'144A Draw'!U51*$C54*1000</f>
        <v>0</v>
      </c>
      <c r="W54" s="427">
        <f>'144A Draw'!V51*$C54*1000</f>
        <v>0</v>
      </c>
      <c r="X54" s="427">
        <f>'144A Draw'!W51*$C54*1000</f>
        <v>0</v>
      </c>
      <c r="Y54" s="427">
        <f>'144A Draw'!X51*$C54*1000</f>
        <v>0</v>
      </c>
      <c r="Z54" s="427"/>
      <c r="AA54" s="428">
        <f t="shared" si="2"/>
        <v>0</v>
      </c>
    </row>
    <row r="55" spans="1:27">
      <c r="A55" s="578" t="str">
        <f>'144A Draw'!A52</f>
        <v xml:space="preserve">Other </v>
      </c>
      <c r="B55" s="403"/>
      <c r="C55" s="429">
        <f>'144A Draw'!B52</f>
        <v>0</v>
      </c>
      <c r="D55" s="426">
        <f>'144A Draw'!C52*$C55*1000</f>
        <v>0</v>
      </c>
      <c r="E55" s="427">
        <f>'144A Draw'!D52*$C55*1000</f>
        <v>0</v>
      </c>
      <c r="F55" s="427">
        <f>'144A Draw'!E52*$C55*1000</f>
        <v>0</v>
      </c>
      <c r="G55" s="427">
        <f>'144A Draw'!F52*$C55*1000</f>
        <v>0</v>
      </c>
      <c r="H55" s="427">
        <f>'144A Draw'!G52*$C55*1000</f>
        <v>0</v>
      </c>
      <c r="I55" s="427">
        <f>'144A Draw'!H52*$C55*1000</f>
        <v>0</v>
      </c>
      <c r="J55" s="427">
        <f>'144A Draw'!I52*$C55*1000</f>
        <v>0</v>
      </c>
      <c r="K55" s="427">
        <f>'144A Draw'!J52*$C55*1000</f>
        <v>0</v>
      </c>
      <c r="L55" s="427">
        <f>'144A Draw'!K52*$C55*1000</f>
        <v>0</v>
      </c>
      <c r="M55" s="427">
        <f>'144A Draw'!L52*$C55*1000</f>
        <v>0</v>
      </c>
      <c r="N55" s="427">
        <f>'144A Draw'!M52*$C55*1000</f>
        <v>0</v>
      </c>
      <c r="O55" s="427">
        <f>'144A Draw'!N52*$C55*1000</f>
        <v>0</v>
      </c>
      <c r="P55" s="427">
        <f>'144A Draw'!O52*$C55*1000</f>
        <v>0</v>
      </c>
      <c r="Q55" s="427">
        <f>'144A Draw'!P52*$C55*1000</f>
        <v>0</v>
      </c>
      <c r="R55" s="427">
        <f>'144A Draw'!Q52*$C55*1000</f>
        <v>0</v>
      </c>
      <c r="S55" s="427">
        <f>'144A Draw'!R52*$C55*1000</f>
        <v>0</v>
      </c>
      <c r="T55" s="427">
        <f>'144A Draw'!S52*$C55*1000</f>
        <v>0</v>
      </c>
      <c r="U55" s="427">
        <f>'144A Draw'!T52*$C55*1000</f>
        <v>0</v>
      </c>
      <c r="V55" s="427">
        <f>'144A Draw'!U52*$C55*1000</f>
        <v>0</v>
      </c>
      <c r="W55" s="427">
        <f>'144A Draw'!V52*$C55*1000</f>
        <v>0</v>
      </c>
      <c r="X55" s="427">
        <f>'144A Draw'!W52*$C55*1000</f>
        <v>0</v>
      </c>
      <c r="Y55" s="427">
        <f>'144A Draw'!X52*$C55*1000</f>
        <v>0</v>
      </c>
      <c r="Z55" s="427"/>
      <c r="AA55" s="428">
        <f t="shared" si="2"/>
        <v>0</v>
      </c>
    </row>
    <row r="56" spans="1:27">
      <c r="A56" s="578" t="str">
        <f>'144A Draw'!A53</f>
        <v xml:space="preserve">   Total Soft Costs</v>
      </c>
      <c r="B56" s="403"/>
      <c r="C56" s="425">
        <f ca="1">SUM(C36:C55)</f>
        <v>21.045849009690389</v>
      </c>
      <c r="D56" s="426"/>
      <c r="E56" s="427"/>
      <c r="F56" s="427"/>
      <c r="G56" s="427"/>
      <c r="H56" s="427"/>
      <c r="I56" s="427"/>
      <c r="J56" s="427"/>
      <c r="K56" s="427"/>
      <c r="L56" s="427"/>
      <c r="M56" s="427"/>
      <c r="N56" s="427"/>
      <c r="O56" s="427"/>
      <c r="P56" s="427"/>
      <c r="Q56" s="427"/>
      <c r="R56" s="427"/>
      <c r="S56" s="427"/>
      <c r="T56" s="427"/>
      <c r="U56" s="427"/>
      <c r="V56" s="427"/>
      <c r="W56" s="427"/>
      <c r="X56" s="427"/>
      <c r="Y56" s="427"/>
      <c r="Z56" s="427"/>
      <c r="AA56" s="403"/>
    </row>
    <row r="57" spans="1:27">
      <c r="A57" s="578"/>
      <c r="B57" s="403"/>
      <c r="C57" s="425"/>
      <c r="D57" s="426"/>
      <c r="E57" s="427"/>
      <c r="F57" s="427"/>
      <c r="G57" s="427"/>
      <c r="H57" s="427"/>
      <c r="I57" s="427"/>
      <c r="J57" s="427"/>
      <c r="K57" s="427"/>
      <c r="L57" s="427"/>
      <c r="M57" s="427"/>
      <c r="N57" s="427"/>
      <c r="O57" s="427"/>
      <c r="P57" s="427"/>
      <c r="Q57" s="427"/>
      <c r="R57" s="427"/>
      <c r="S57" s="427"/>
      <c r="T57" s="427"/>
      <c r="U57" s="427"/>
      <c r="V57" s="427"/>
      <c r="W57" s="427"/>
      <c r="X57" s="427"/>
      <c r="Y57" s="427"/>
      <c r="Z57" s="427"/>
      <c r="AA57" s="403"/>
    </row>
    <row r="58" spans="1:27" ht="16.2">
      <c r="A58" s="578" t="str">
        <f>'144A Draw'!A55</f>
        <v>Contingency</v>
      </c>
      <c r="B58" s="403"/>
      <c r="C58" s="430"/>
      <c r="D58" s="426"/>
      <c r="E58" s="427"/>
      <c r="F58" s="427"/>
      <c r="G58" s="427"/>
      <c r="H58" s="427"/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  <c r="V58" s="427"/>
      <c r="W58" s="427"/>
      <c r="X58" s="427"/>
      <c r="Y58" s="427"/>
      <c r="Z58" s="427"/>
      <c r="AA58" s="403"/>
    </row>
    <row r="59" spans="1:27">
      <c r="A59" s="578" t="str">
        <f>'144A Draw'!A56</f>
        <v>Major Equipment</v>
      </c>
      <c r="B59" s="403"/>
      <c r="C59" s="425">
        <f>'144A Draw'!B56</f>
        <v>4.1087218150457137</v>
      </c>
      <c r="D59" s="426">
        <f>'144A Draw'!C56*$C59*1000</f>
        <v>0</v>
      </c>
      <c r="E59" s="427">
        <f>'144A Draw'!D56*$C59*1000</f>
        <v>0</v>
      </c>
      <c r="F59" s="427">
        <f>'144A Draw'!E56*$C59*1000</f>
        <v>0</v>
      </c>
      <c r="G59" s="427">
        <f>'144A Draw'!F56*$C59*1000</f>
        <v>0</v>
      </c>
      <c r="H59" s="427">
        <f>'144A Draw'!G56*$C59*1000</f>
        <v>0</v>
      </c>
      <c r="I59" s="427">
        <f>'144A Draw'!H56*$C59*1000</f>
        <v>0</v>
      </c>
      <c r="J59" s="427">
        <f>'144A Draw'!I56*$C59*1000</f>
        <v>0</v>
      </c>
      <c r="K59" s="427">
        <f>'144A Draw'!J56*$C59*1000</f>
        <v>0</v>
      </c>
      <c r="L59" s="427">
        <f>'144A Draw'!K56*$C59*1000</f>
        <v>0</v>
      </c>
      <c r="M59" s="427">
        <f>'144A Draw'!L56*$C59*1000</f>
        <v>0</v>
      </c>
      <c r="N59" s="427">
        <f>'144A Draw'!M56*$C59*1000</f>
        <v>0</v>
      </c>
      <c r="O59" s="427">
        <f>'144A Draw'!N56*$C59*1000</f>
        <v>0</v>
      </c>
      <c r="P59" s="427">
        <f>'144A Draw'!O56*$C59*1000</f>
        <v>1027.1804537614285</v>
      </c>
      <c r="Q59" s="427">
        <f>'144A Draw'!P56*$C59*1000</f>
        <v>1027.1804537614285</v>
      </c>
      <c r="R59" s="427">
        <f>'144A Draw'!Q56*$C59*1000</f>
        <v>1027.1804537614285</v>
      </c>
      <c r="S59" s="427">
        <f>'144A Draw'!R56*$C59*1000</f>
        <v>1027.1804537614285</v>
      </c>
      <c r="T59" s="427">
        <f>'144A Draw'!S56*$C59*1000</f>
        <v>0</v>
      </c>
      <c r="U59" s="427">
        <f>'144A Draw'!T56*$C59*1000</f>
        <v>0</v>
      </c>
      <c r="V59" s="427">
        <f>'144A Draw'!U56*$C59*1000</f>
        <v>0</v>
      </c>
      <c r="W59" s="427">
        <f>'144A Draw'!V56*$C59*1000</f>
        <v>0</v>
      </c>
      <c r="X59" s="427">
        <f>'144A Draw'!W56*$C59*1000</f>
        <v>0</v>
      </c>
      <c r="Y59" s="427">
        <f>'144A Draw'!X56*$C59*1000</f>
        <v>0</v>
      </c>
      <c r="Z59" s="427"/>
      <c r="AA59" s="428">
        <f>C59*1000-SUM(D59:Y59)</f>
        <v>0</v>
      </c>
    </row>
    <row r="60" spans="1:27">
      <c r="A60" s="578" t="str">
        <f>'144A Draw'!A57</f>
        <v>Engineering / Construction</v>
      </c>
      <c r="B60" s="403"/>
      <c r="C60" s="425">
        <f>'144A Draw'!B57</f>
        <v>0</v>
      </c>
      <c r="D60" s="426">
        <f>'144A Draw'!C57*$C60*1000</f>
        <v>0</v>
      </c>
      <c r="E60" s="427">
        <f>'144A Draw'!D57*$C60*1000</f>
        <v>0</v>
      </c>
      <c r="F60" s="427">
        <f>'144A Draw'!E57*$C60*1000</f>
        <v>0</v>
      </c>
      <c r="G60" s="427">
        <f>'144A Draw'!F57*$C60*1000</f>
        <v>0</v>
      </c>
      <c r="H60" s="427">
        <f>'144A Draw'!G57*$C60*1000</f>
        <v>0</v>
      </c>
      <c r="I60" s="427">
        <f>'144A Draw'!H57*$C60*1000</f>
        <v>0</v>
      </c>
      <c r="J60" s="427">
        <f>'144A Draw'!I57*$C60*1000</f>
        <v>0</v>
      </c>
      <c r="K60" s="427">
        <f>'144A Draw'!J57*$C60*1000</f>
        <v>0</v>
      </c>
      <c r="L60" s="427">
        <f>'144A Draw'!K57*$C60*1000</f>
        <v>0</v>
      </c>
      <c r="M60" s="427">
        <f>'144A Draw'!L57*$C60*1000</f>
        <v>0</v>
      </c>
      <c r="N60" s="427">
        <f>'144A Draw'!M57*$C60*1000</f>
        <v>0</v>
      </c>
      <c r="O60" s="427">
        <f>'144A Draw'!N57*$C60*1000</f>
        <v>0</v>
      </c>
      <c r="P60" s="427">
        <f>'144A Draw'!O57*$C60*1000</f>
        <v>0</v>
      </c>
      <c r="Q60" s="427">
        <f>'144A Draw'!P57*$C60*1000</f>
        <v>0</v>
      </c>
      <c r="R60" s="427">
        <f>'144A Draw'!Q57*$C60*1000</f>
        <v>0</v>
      </c>
      <c r="S60" s="427">
        <f>'144A Draw'!R57*$C60*1000</f>
        <v>0</v>
      </c>
      <c r="T60" s="427">
        <f>'144A Draw'!S57*$C60*1000</f>
        <v>0</v>
      </c>
      <c r="U60" s="427">
        <f>'144A Draw'!T57*$C60*1000</f>
        <v>0</v>
      </c>
      <c r="V60" s="427">
        <f>'144A Draw'!U57*$C60*1000</f>
        <v>0</v>
      </c>
      <c r="W60" s="427">
        <f>'144A Draw'!V57*$C60*1000</f>
        <v>0</v>
      </c>
      <c r="X60" s="427">
        <f>'144A Draw'!W57*$C60*1000</f>
        <v>0</v>
      </c>
      <c r="Y60" s="427">
        <f>'144A Draw'!X57*$C60*1000</f>
        <v>0</v>
      </c>
      <c r="Z60" s="427"/>
      <c r="AA60" s="428">
        <f>C60*1000-SUM(D60:Y60)</f>
        <v>0</v>
      </c>
    </row>
    <row r="61" spans="1:27">
      <c r="A61" s="578" t="str">
        <f>'144A Draw'!A58</f>
        <v>Other</v>
      </c>
      <c r="B61" s="403"/>
      <c r="C61" s="425">
        <f>'144A Draw'!B58</f>
        <v>0.19485</v>
      </c>
      <c r="D61" s="426">
        <f>'144A Draw'!C58*$C61*1000</f>
        <v>0</v>
      </c>
      <c r="E61" s="427">
        <f>'144A Draw'!D58*$C61*1000</f>
        <v>0</v>
      </c>
      <c r="F61" s="427">
        <f>'144A Draw'!E58*$C61*1000</f>
        <v>0</v>
      </c>
      <c r="G61" s="427">
        <f>'144A Draw'!F58*$C61*1000</f>
        <v>0</v>
      </c>
      <c r="H61" s="427">
        <f>'144A Draw'!G58*$C61*1000</f>
        <v>0</v>
      </c>
      <c r="I61" s="427">
        <f>'144A Draw'!H58*$C61*1000</f>
        <v>0</v>
      </c>
      <c r="J61" s="427">
        <f>'144A Draw'!I58*$C61*1000</f>
        <v>0</v>
      </c>
      <c r="K61" s="427">
        <f>'144A Draw'!J58*$C61*1000</f>
        <v>0</v>
      </c>
      <c r="L61" s="427">
        <f>'144A Draw'!K58*$C61*1000</f>
        <v>0</v>
      </c>
      <c r="M61" s="427">
        <f>'144A Draw'!L58*$C61*1000</f>
        <v>0</v>
      </c>
      <c r="N61" s="427">
        <f>'144A Draw'!M58*$C61*1000</f>
        <v>0</v>
      </c>
      <c r="O61" s="427">
        <f>'144A Draw'!N58*$C61*1000</f>
        <v>0</v>
      </c>
      <c r="P61" s="427">
        <f>'144A Draw'!O58*$C61*1000</f>
        <v>48.712499999999999</v>
      </c>
      <c r="Q61" s="427">
        <f>'144A Draw'!P58*$C61*1000</f>
        <v>48.712499999999999</v>
      </c>
      <c r="R61" s="427">
        <f>'144A Draw'!Q58*$C61*1000</f>
        <v>48.712499999999999</v>
      </c>
      <c r="S61" s="427">
        <f>'144A Draw'!R58*$C61*1000</f>
        <v>48.712499999999999</v>
      </c>
      <c r="T61" s="427">
        <f>'144A Draw'!S58*$C61*1000</f>
        <v>0</v>
      </c>
      <c r="U61" s="427">
        <f>'144A Draw'!T58*$C61*1000</f>
        <v>0</v>
      </c>
      <c r="V61" s="427">
        <f>'144A Draw'!U58*$C61*1000</f>
        <v>0</v>
      </c>
      <c r="W61" s="427">
        <f>'144A Draw'!V58*$C61*1000</f>
        <v>0</v>
      </c>
      <c r="X61" s="427">
        <f>'144A Draw'!W58*$C61*1000</f>
        <v>0</v>
      </c>
      <c r="Y61" s="427">
        <f>'144A Draw'!X58*$C61*1000</f>
        <v>0</v>
      </c>
      <c r="Z61" s="427"/>
      <c r="AA61" s="428">
        <f>C61*1000-SUM(D61:Y61)</f>
        <v>0</v>
      </c>
    </row>
    <row r="62" spans="1:27">
      <c r="A62" s="578" t="str">
        <f>'144A Draw'!A59</f>
        <v>Soft Costs</v>
      </c>
      <c r="B62" s="403"/>
      <c r="C62" s="429">
        <f>'144A Draw'!B59</f>
        <v>0.71848413029071168</v>
      </c>
      <c r="D62" s="426">
        <f>'144A Draw'!C59*$C62*1000</f>
        <v>0</v>
      </c>
      <c r="E62" s="427">
        <f>'144A Draw'!D59*$C62*1000</f>
        <v>0</v>
      </c>
      <c r="F62" s="427">
        <f>'144A Draw'!E59*$C62*1000</f>
        <v>0</v>
      </c>
      <c r="G62" s="427">
        <f>'144A Draw'!F59*$C62*1000</f>
        <v>0</v>
      </c>
      <c r="H62" s="427">
        <f>'144A Draw'!G59*$C62*1000</f>
        <v>0</v>
      </c>
      <c r="I62" s="427">
        <f>'144A Draw'!H59*$C62*1000</f>
        <v>0</v>
      </c>
      <c r="J62" s="427">
        <f>'144A Draw'!I59*$C62*1000</f>
        <v>0</v>
      </c>
      <c r="K62" s="427">
        <f>'144A Draw'!J59*$C62*1000</f>
        <v>0</v>
      </c>
      <c r="L62" s="427">
        <f>'144A Draw'!K59*$C62*1000</f>
        <v>0</v>
      </c>
      <c r="M62" s="427">
        <f>'144A Draw'!L59*$C62*1000</f>
        <v>0</v>
      </c>
      <c r="N62" s="427">
        <f>'144A Draw'!M59*$C62*1000</f>
        <v>0</v>
      </c>
      <c r="O62" s="427">
        <f>'144A Draw'!N59*$C62*1000</f>
        <v>0</v>
      </c>
      <c r="P62" s="427">
        <f>'144A Draw'!O59*$C62*1000</f>
        <v>179.6210325726779</v>
      </c>
      <c r="Q62" s="427">
        <f>'144A Draw'!P59*$C62*1000</f>
        <v>179.6210325726779</v>
      </c>
      <c r="R62" s="427">
        <f>'144A Draw'!Q59*$C62*1000</f>
        <v>179.6210325726779</v>
      </c>
      <c r="S62" s="427">
        <f>'144A Draw'!R59*$C62*1000</f>
        <v>179.6210325726779</v>
      </c>
      <c r="T62" s="427">
        <f>'144A Draw'!S59*$C62*1000</f>
        <v>0</v>
      </c>
      <c r="U62" s="427">
        <f>'144A Draw'!T59*$C62*1000</f>
        <v>0</v>
      </c>
      <c r="V62" s="427">
        <f>'144A Draw'!U59*$C62*1000</f>
        <v>0</v>
      </c>
      <c r="W62" s="427">
        <f>'144A Draw'!V59*$C62*1000</f>
        <v>0</v>
      </c>
      <c r="X62" s="427">
        <f>'144A Draw'!W59*$C62*1000</f>
        <v>0</v>
      </c>
      <c r="Y62" s="427">
        <f>'144A Draw'!X59*$C62*1000</f>
        <v>0</v>
      </c>
      <c r="Z62" s="427"/>
      <c r="AA62" s="428">
        <f>C62*1000-SUM(D62:Y62)</f>
        <v>0</v>
      </c>
    </row>
    <row r="63" spans="1:27">
      <c r="A63" s="577" t="str">
        <f>'144A Draw'!A60</f>
        <v xml:space="preserve">   Total Contingency</v>
      </c>
      <c r="B63" s="403"/>
      <c r="C63" s="425">
        <f>SUM(C59:C62)</f>
        <v>5.0220559453364251</v>
      </c>
      <c r="D63" s="426"/>
      <c r="E63" s="427"/>
      <c r="F63" s="427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03"/>
    </row>
    <row r="64" spans="1:27">
      <c r="A64" s="403"/>
      <c r="B64" s="403"/>
      <c r="C64" s="431"/>
      <c r="D64" s="424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403"/>
      <c r="AA64" s="403"/>
    </row>
    <row r="65" spans="1:27">
      <c r="A65" s="403" t="s">
        <v>335</v>
      </c>
      <c r="B65" s="403"/>
      <c r="C65" s="431"/>
      <c r="D65" s="426">
        <f t="shared" ref="D65:Y65" si="3">D113</f>
        <v>0</v>
      </c>
      <c r="E65" s="427">
        <f t="shared" si="3"/>
        <v>0</v>
      </c>
      <c r="F65" s="427">
        <f t="shared" si="3"/>
        <v>0</v>
      </c>
      <c r="G65" s="427">
        <f t="shared" si="3"/>
        <v>0</v>
      </c>
      <c r="H65" s="427">
        <f t="shared" si="3"/>
        <v>0</v>
      </c>
      <c r="I65" s="427">
        <f t="shared" ca="1" si="3"/>
        <v>-85.203585517745282</v>
      </c>
      <c r="J65" s="427">
        <f t="shared" ca="1" si="3"/>
        <v>-48.355779518811751</v>
      </c>
      <c r="K65" s="427">
        <f t="shared" ca="1" si="3"/>
        <v>-24.686247591136759</v>
      </c>
      <c r="L65" s="427">
        <f t="shared" ca="1" si="3"/>
        <v>-8.4840391509236728</v>
      </c>
      <c r="M65" s="427">
        <f t="shared" ca="1" si="3"/>
        <v>-8.4840391509236728</v>
      </c>
      <c r="N65" s="427">
        <f t="shared" ca="1" si="3"/>
        <v>-8.4840391509236728</v>
      </c>
      <c r="O65" s="427">
        <f t="shared" ca="1" si="3"/>
        <v>3591.5159608490762</v>
      </c>
      <c r="P65" s="427">
        <f t="shared" ca="1" si="3"/>
        <v>-8.4840391509236728</v>
      </c>
      <c r="Q65" s="427">
        <f t="shared" ca="1" si="3"/>
        <v>-8.4840391509236728</v>
      </c>
      <c r="R65" s="427">
        <f t="shared" ca="1" si="3"/>
        <v>-8.4840391509236728</v>
      </c>
      <c r="S65" s="427">
        <f t="shared" ca="1" si="3"/>
        <v>-8.4840391509236728</v>
      </c>
      <c r="T65" s="427">
        <f t="shared" ca="1" si="3"/>
        <v>-8.4840391509236728</v>
      </c>
      <c r="U65" s="427">
        <f t="shared" ca="1" si="3"/>
        <v>-8.4840391509236728</v>
      </c>
      <c r="V65" s="427">
        <f t="shared" ca="1" si="3"/>
        <v>-8.4840391509236728</v>
      </c>
      <c r="W65" s="427">
        <f t="shared" ca="1" si="3"/>
        <v>-8.4840391509236728</v>
      </c>
      <c r="X65" s="427">
        <f t="shared" ca="1" si="3"/>
        <v>-8.4840391509236728</v>
      </c>
      <c r="Y65" s="427">
        <f t="shared" ca="1" si="3"/>
        <v>-8.4840391509236728</v>
      </c>
      <c r="Z65" s="403"/>
      <c r="AA65" s="403"/>
    </row>
    <row r="66" spans="1:27">
      <c r="A66" s="418"/>
      <c r="B66" s="403"/>
      <c r="C66" s="431"/>
      <c r="D66" s="432"/>
      <c r="E66" s="427"/>
      <c r="F66" s="427"/>
      <c r="G66" s="427"/>
      <c r="H66" s="427"/>
      <c r="I66" s="427"/>
      <c r="J66" s="427"/>
      <c r="K66" s="427"/>
      <c r="L66" s="427"/>
      <c r="M66" s="427"/>
      <c r="N66" s="427"/>
      <c r="O66" s="427"/>
      <c r="P66" s="427"/>
      <c r="Q66" s="427"/>
      <c r="R66" s="427"/>
      <c r="S66" s="427"/>
      <c r="T66" s="427"/>
      <c r="U66" s="427"/>
      <c r="V66" s="403"/>
      <c r="W66" s="403"/>
      <c r="X66" s="403"/>
      <c r="Y66" s="403"/>
      <c r="Z66" s="403"/>
      <c r="AA66" s="403"/>
    </row>
    <row r="67" spans="1:27">
      <c r="A67" s="418" t="s">
        <v>336</v>
      </c>
      <c r="B67" s="403"/>
      <c r="C67" s="431"/>
      <c r="D67" s="432"/>
      <c r="E67" s="427"/>
      <c r="F67" s="427"/>
      <c r="G67" s="427"/>
      <c r="H67" s="427"/>
      <c r="I67" s="427"/>
      <c r="J67" s="427"/>
      <c r="K67" s="427"/>
      <c r="L67" s="427"/>
      <c r="M67" s="427"/>
      <c r="N67" s="427"/>
      <c r="O67" s="427"/>
      <c r="P67" s="427"/>
      <c r="Q67" s="427"/>
      <c r="R67" s="427"/>
      <c r="S67" s="427"/>
      <c r="T67" s="427"/>
      <c r="U67" s="427"/>
      <c r="V67" s="403"/>
      <c r="W67" s="403"/>
      <c r="X67" s="403"/>
      <c r="Y67" s="403"/>
      <c r="Z67" s="403"/>
      <c r="AA67" s="403"/>
    </row>
    <row r="68" spans="1:27" ht="14.1" customHeight="1">
      <c r="A68" s="403" t="s">
        <v>20</v>
      </c>
      <c r="B68" s="433"/>
      <c r="C68" s="434">
        <f ca="1">SUM(D68:Z68)</f>
        <v>87963.830603778319</v>
      </c>
      <c r="D68" s="426">
        <f t="shared" ref="D68:Y68" si="4">D102</f>
        <v>0</v>
      </c>
      <c r="E68" s="427">
        <f t="shared" si="4"/>
        <v>0</v>
      </c>
      <c r="F68" s="427">
        <f t="shared" si="4"/>
        <v>0</v>
      </c>
      <c r="G68" s="427">
        <f t="shared" si="4"/>
        <v>0</v>
      </c>
      <c r="H68" s="427">
        <f t="shared" si="4"/>
        <v>0</v>
      </c>
      <c r="I68" s="427">
        <f t="shared" ca="1" si="4"/>
        <v>69551.139475741133</v>
      </c>
      <c r="J68" s="427">
        <f t="shared" ca="1" si="4"/>
        <v>8843.4734397440498</v>
      </c>
      <c r="K68" s="427">
        <f t="shared" ca="1" si="4"/>
        <v>5680.6876626419989</v>
      </c>
      <c r="L68" s="427">
        <f t="shared" ca="1" si="4"/>
        <v>3888.5300256511423</v>
      </c>
      <c r="M68" s="427">
        <f t="shared" si="4"/>
        <v>0</v>
      </c>
      <c r="N68" s="427">
        <f t="shared" si="4"/>
        <v>0</v>
      </c>
      <c r="O68" s="427">
        <f t="shared" si="4"/>
        <v>0</v>
      </c>
      <c r="P68" s="427">
        <f t="shared" si="4"/>
        <v>0</v>
      </c>
      <c r="Q68" s="427">
        <f t="shared" si="4"/>
        <v>0</v>
      </c>
      <c r="R68" s="427">
        <f t="shared" si="4"/>
        <v>0</v>
      </c>
      <c r="S68" s="427">
        <f t="shared" si="4"/>
        <v>0</v>
      </c>
      <c r="T68" s="427">
        <f t="shared" si="4"/>
        <v>0</v>
      </c>
      <c r="U68" s="427">
        <f t="shared" si="4"/>
        <v>0</v>
      </c>
      <c r="V68" s="427">
        <f t="shared" si="4"/>
        <v>0</v>
      </c>
      <c r="W68" s="427">
        <f t="shared" si="4"/>
        <v>0</v>
      </c>
      <c r="X68" s="427">
        <f t="shared" si="4"/>
        <v>0</v>
      </c>
      <c r="Y68" s="427">
        <f t="shared" si="4"/>
        <v>0</v>
      </c>
      <c r="Z68" s="403"/>
      <c r="AA68" s="403"/>
    </row>
    <row r="69" spans="1:27">
      <c r="A69" s="403" t="s">
        <v>22</v>
      </c>
      <c r="B69" s="433"/>
      <c r="C69" s="435">
        <f ca="1">SUM(D69:Y69)</f>
        <v>84879.446025365003</v>
      </c>
      <c r="D69" s="436">
        <f t="shared" ref="D69:Y69" ca="1" si="5">D127</f>
        <v>13111.953688293142</v>
      </c>
      <c r="E69" s="437">
        <f t="shared" ca="1" si="5"/>
        <v>7313.5196917428566</v>
      </c>
      <c r="F69" s="437">
        <f t="shared" ca="1" si="5"/>
        <v>7313.5196917428566</v>
      </c>
      <c r="G69" s="437">
        <f t="shared" ca="1" si="5"/>
        <v>7313.5196917428566</v>
      </c>
      <c r="H69" s="437">
        <f t="shared" ca="1" si="5"/>
        <v>8630.5196917428566</v>
      </c>
      <c r="I69" s="437">
        <f t="shared" ca="1" si="5"/>
        <v>-43768.236040782307</v>
      </c>
      <c r="J69" s="437">
        <f t="shared" ca="1" si="5"/>
        <v>-48.355779518811751</v>
      </c>
      <c r="K69" s="437">
        <f t="shared" ca="1" si="5"/>
        <v>-24.686247591136759</v>
      </c>
      <c r="L69" s="437">
        <f t="shared" ca="1" si="5"/>
        <v>2635.5859608490764</v>
      </c>
      <c r="M69" s="437">
        <f t="shared" ca="1" si="5"/>
        <v>6524.1159865002192</v>
      </c>
      <c r="N69" s="437">
        <f t="shared" ca="1" si="5"/>
        <v>9676.1917296340453</v>
      </c>
      <c r="O69" s="437">
        <f t="shared" ca="1" si="5"/>
        <v>13276.191729634045</v>
      </c>
      <c r="P69" s="437">
        <f t="shared" ca="1" si="5"/>
        <v>17079.673269017472</v>
      </c>
      <c r="Q69" s="437">
        <f t="shared" ca="1" si="5"/>
        <v>11400.25751562318</v>
      </c>
      <c r="R69" s="437">
        <f t="shared" ca="1" si="5"/>
        <v>11400.25751562318</v>
      </c>
      <c r="S69" s="437">
        <f t="shared" ca="1" si="5"/>
        <v>13096.322166017002</v>
      </c>
      <c r="T69" s="437">
        <f t="shared" ca="1" si="5"/>
        <v>-8.4840391509236728</v>
      </c>
      <c r="U69" s="437">
        <f t="shared" ca="1" si="5"/>
        <v>-8.4840391509236728</v>
      </c>
      <c r="V69" s="437">
        <f t="shared" ca="1" si="5"/>
        <v>-8.4840391509236728</v>
      </c>
      <c r="W69" s="437">
        <f t="shared" ca="1" si="5"/>
        <v>-8.4840391509236728</v>
      </c>
      <c r="X69" s="437">
        <f t="shared" ca="1" si="5"/>
        <v>-8.4840391509236728</v>
      </c>
      <c r="Y69" s="437">
        <f t="shared" ca="1" si="5"/>
        <v>-8.4840391509236728</v>
      </c>
      <c r="Z69" s="403"/>
      <c r="AA69" s="403"/>
    </row>
    <row r="70" spans="1:27" ht="16.2">
      <c r="A70" s="418" t="s">
        <v>337</v>
      </c>
      <c r="B70" s="418"/>
      <c r="C70" s="438">
        <f ca="1">C68+C69</f>
        <v>172843.27662914334</v>
      </c>
      <c r="D70" s="439">
        <f t="shared" ref="D70:Y70" ca="1" si="6">D69+D68</f>
        <v>13111.953688293142</v>
      </c>
      <c r="E70" s="440">
        <f t="shared" ca="1" si="6"/>
        <v>7313.5196917428566</v>
      </c>
      <c r="F70" s="440">
        <f t="shared" ca="1" si="6"/>
        <v>7313.5196917428566</v>
      </c>
      <c r="G70" s="440">
        <f t="shared" ca="1" si="6"/>
        <v>7313.5196917428566</v>
      </c>
      <c r="H70" s="440">
        <f t="shared" ca="1" si="6"/>
        <v>8630.5196917428566</v>
      </c>
      <c r="I70" s="440">
        <f t="shared" ca="1" si="6"/>
        <v>25782.903434958826</v>
      </c>
      <c r="J70" s="440">
        <f t="shared" ca="1" si="6"/>
        <v>8795.1176602252381</v>
      </c>
      <c r="K70" s="440">
        <f t="shared" ca="1" si="6"/>
        <v>5656.0014150508623</v>
      </c>
      <c r="L70" s="440">
        <f t="shared" ca="1" si="6"/>
        <v>6524.1159865002192</v>
      </c>
      <c r="M70" s="440">
        <f t="shared" ca="1" si="6"/>
        <v>6524.1159865002192</v>
      </c>
      <c r="N70" s="440">
        <f t="shared" ca="1" si="6"/>
        <v>9676.1917296340453</v>
      </c>
      <c r="O70" s="440">
        <f t="shared" ca="1" si="6"/>
        <v>13276.191729634045</v>
      </c>
      <c r="P70" s="440">
        <f t="shared" ca="1" si="6"/>
        <v>17079.673269017472</v>
      </c>
      <c r="Q70" s="440">
        <f t="shared" ca="1" si="6"/>
        <v>11400.25751562318</v>
      </c>
      <c r="R70" s="440">
        <f t="shared" ca="1" si="6"/>
        <v>11400.25751562318</v>
      </c>
      <c r="S70" s="440">
        <f t="shared" ca="1" si="6"/>
        <v>13096.322166017002</v>
      </c>
      <c r="T70" s="440">
        <f t="shared" ca="1" si="6"/>
        <v>-8.4840391509236728</v>
      </c>
      <c r="U70" s="440">
        <f t="shared" ca="1" si="6"/>
        <v>-8.4840391509236728</v>
      </c>
      <c r="V70" s="440">
        <f t="shared" ca="1" si="6"/>
        <v>-8.4840391509236728</v>
      </c>
      <c r="W70" s="440">
        <f t="shared" ca="1" si="6"/>
        <v>-8.4840391509236728</v>
      </c>
      <c r="X70" s="440">
        <f t="shared" ca="1" si="6"/>
        <v>-8.4840391509236728</v>
      </c>
      <c r="Y70" s="440">
        <f t="shared" ca="1" si="6"/>
        <v>-8.4840391509236728</v>
      </c>
      <c r="Z70" s="403"/>
      <c r="AA70" s="403"/>
    </row>
    <row r="71" spans="1:27">
      <c r="A71" s="418"/>
      <c r="B71" s="403"/>
      <c r="C71" s="431"/>
      <c r="D71" s="432"/>
      <c r="E71" s="427"/>
      <c r="F71" s="427"/>
      <c r="G71" s="427"/>
      <c r="H71" s="427"/>
      <c r="I71" s="427"/>
      <c r="J71" s="427"/>
      <c r="K71" s="427"/>
      <c r="L71" s="427"/>
      <c r="M71" s="427"/>
      <c r="N71" s="427"/>
      <c r="O71" s="427"/>
      <c r="P71" s="427"/>
      <c r="Q71" s="427"/>
      <c r="R71" s="427"/>
      <c r="S71" s="427"/>
      <c r="T71" s="427"/>
      <c r="U71" s="427"/>
      <c r="V71" s="403"/>
      <c r="W71" s="403"/>
      <c r="X71" s="403"/>
      <c r="Y71" s="403"/>
      <c r="Z71" s="403"/>
      <c r="AA71" s="403"/>
    </row>
    <row r="72" spans="1:27">
      <c r="A72" s="418"/>
      <c r="B72" s="403"/>
      <c r="C72" s="431"/>
      <c r="D72" s="432"/>
      <c r="E72" s="427"/>
      <c r="F72" s="427"/>
      <c r="G72" s="427"/>
      <c r="H72" s="427"/>
      <c r="I72" s="427"/>
      <c r="J72" s="427"/>
      <c r="K72" s="427"/>
      <c r="L72" s="427"/>
      <c r="M72" s="427"/>
      <c r="N72" s="427"/>
      <c r="O72" s="427"/>
      <c r="P72" s="427"/>
      <c r="Q72" s="427"/>
      <c r="R72" s="427"/>
      <c r="S72" s="427"/>
      <c r="T72" s="427"/>
      <c r="U72" s="427"/>
      <c r="V72" s="403"/>
      <c r="W72" s="403"/>
      <c r="X72" s="403"/>
      <c r="Y72" s="403"/>
      <c r="Z72" s="403"/>
      <c r="AA72" s="403"/>
    </row>
    <row r="73" spans="1:27">
      <c r="A73" s="418" t="s">
        <v>338</v>
      </c>
      <c r="B73" s="403"/>
      <c r="C73" s="431">
        <f ca="1">C63+C56+C33+C26+C17</f>
        <v>169.52029878988398</v>
      </c>
      <c r="D73" s="441">
        <f t="shared" ref="D73:Y73" ca="1" si="7">SUM(D12:D63)</f>
        <v>13111.953688293142</v>
      </c>
      <c r="E73" s="442">
        <f t="shared" ca="1" si="7"/>
        <v>7313.5196917428566</v>
      </c>
      <c r="F73" s="442">
        <f t="shared" ca="1" si="7"/>
        <v>7313.5196917428566</v>
      </c>
      <c r="G73" s="442">
        <f t="shared" ca="1" si="7"/>
        <v>7313.5196917428566</v>
      </c>
      <c r="H73" s="442">
        <f t="shared" ca="1" si="7"/>
        <v>8630.5196917428566</v>
      </c>
      <c r="I73" s="442">
        <f t="shared" ca="1" si="7"/>
        <v>25868.107020476571</v>
      </c>
      <c r="J73" s="442">
        <f t="shared" ca="1" si="7"/>
        <v>8843.4734397440498</v>
      </c>
      <c r="K73" s="442">
        <f t="shared" ca="1" si="7"/>
        <v>5680.6876626419989</v>
      </c>
      <c r="L73" s="442">
        <f t="shared" ca="1" si="7"/>
        <v>6532.6000256511425</v>
      </c>
      <c r="M73" s="442">
        <f t="shared" ca="1" si="7"/>
        <v>6532.6000256511425</v>
      </c>
      <c r="N73" s="442">
        <f t="shared" ca="1" si="7"/>
        <v>9684.6757687849695</v>
      </c>
      <c r="O73" s="442">
        <f t="shared" ca="1" si="7"/>
        <v>9684.6757687849695</v>
      </c>
      <c r="P73" s="442">
        <f t="shared" ca="1" si="7"/>
        <v>17088.157308168396</v>
      </c>
      <c r="Q73" s="442">
        <f t="shared" ca="1" si="7"/>
        <v>11408.741554774104</v>
      </c>
      <c r="R73" s="442">
        <f t="shared" ca="1" si="7"/>
        <v>11408.741554774104</v>
      </c>
      <c r="S73" s="442">
        <f t="shared" ca="1" si="7"/>
        <v>13104.806205167926</v>
      </c>
      <c r="T73" s="442">
        <f t="shared" ca="1" si="7"/>
        <v>0</v>
      </c>
      <c r="U73" s="442">
        <f t="shared" ca="1" si="7"/>
        <v>0</v>
      </c>
      <c r="V73" s="442">
        <f t="shared" ca="1" si="7"/>
        <v>0</v>
      </c>
      <c r="W73" s="442">
        <f t="shared" ca="1" si="7"/>
        <v>0</v>
      </c>
      <c r="X73" s="442">
        <f t="shared" ca="1" si="7"/>
        <v>0</v>
      </c>
      <c r="Y73" s="442">
        <f t="shared" ca="1" si="7"/>
        <v>0</v>
      </c>
      <c r="Z73" s="442"/>
      <c r="AA73" s="403"/>
    </row>
    <row r="74" spans="1:27">
      <c r="A74" s="418"/>
      <c r="B74" s="403"/>
      <c r="C74" s="431"/>
      <c r="D74" s="432"/>
      <c r="E74" s="427"/>
      <c r="F74" s="427"/>
      <c r="G74" s="427"/>
      <c r="H74" s="427"/>
      <c r="I74" s="427"/>
      <c r="J74" s="427"/>
      <c r="K74" s="427"/>
      <c r="L74" s="427"/>
      <c r="M74" s="427"/>
      <c r="N74" s="427"/>
      <c r="O74" s="427"/>
      <c r="P74" s="427"/>
      <c r="Q74" s="427"/>
      <c r="R74" s="427"/>
      <c r="S74" s="427"/>
      <c r="T74" s="427"/>
      <c r="U74" s="427"/>
      <c r="V74" s="403"/>
      <c r="W74" s="403"/>
      <c r="X74" s="403"/>
      <c r="Y74" s="403"/>
      <c r="Z74" s="403"/>
      <c r="AA74" s="403"/>
    </row>
    <row r="75" spans="1:27">
      <c r="A75" s="403"/>
      <c r="B75" s="403"/>
      <c r="C75" s="431"/>
      <c r="D75" s="424"/>
      <c r="E75" s="403"/>
      <c r="F75" s="403"/>
      <c r="G75" s="403"/>
      <c r="H75" s="403"/>
      <c r="I75" s="403"/>
      <c r="J75" s="403"/>
      <c r="K75" s="403"/>
      <c r="L75" s="403"/>
      <c r="M75" s="403"/>
      <c r="N75" s="403"/>
      <c r="O75" s="403"/>
      <c r="P75" s="403"/>
      <c r="Q75" s="403"/>
      <c r="R75" s="403"/>
      <c r="S75" s="403"/>
      <c r="T75" s="403"/>
      <c r="U75" s="403"/>
      <c r="V75" s="403"/>
      <c r="W75" s="403"/>
      <c r="X75" s="403"/>
      <c r="Y75" s="403"/>
      <c r="Z75" s="403"/>
      <c r="AA75" s="403"/>
    </row>
    <row r="76" spans="1:27">
      <c r="A76" s="418" t="s">
        <v>339</v>
      </c>
      <c r="B76" s="403"/>
      <c r="C76" s="431"/>
      <c r="D76" s="424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403"/>
      <c r="P76" s="403"/>
      <c r="Q76" s="403"/>
      <c r="R76" s="403"/>
      <c r="S76" s="403"/>
      <c r="T76" s="403"/>
      <c r="U76" s="403"/>
      <c r="V76" s="403"/>
      <c r="W76" s="403"/>
      <c r="X76" s="403"/>
      <c r="Y76" s="403"/>
      <c r="Z76" s="403"/>
      <c r="AA76" s="403"/>
    </row>
    <row r="77" spans="1:27">
      <c r="A77" s="403" t="s">
        <v>20</v>
      </c>
      <c r="B77" s="433"/>
      <c r="C77" s="434">
        <f ca="1">SUM(D77:Z77)</f>
        <v>44280.798148513757</v>
      </c>
      <c r="D77" s="439"/>
      <c r="E77" s="440">
        <f>IF(E8&gt;=$D$92,IF(SUM($D77:D77)&gt;$D$91,0,E73),0)</f>
        <v>0</v>
      </c>
      <c r="F77" s="440">
        <f>IF(F8&gt;=$D$92,IF(SUM($D77:E77)&gt;$D$91,0,F73),0)</f>
        <v>0</v>
      </c>
      <c r="G77" s="440">
        <f>IF(G8&gt;=$D$92,IF(SUM($D77:F77)&gt;$D$91,0,G73),0)</f>
        <v>0</v>
      </c>
      <c r="H77" s="440">
        <f>IF(H8&gt;=$D$92,IF(SUM($D77:G77)&gt;$D$91,0,H73),0)</f>
        <v>0</v>
      </c>
      <c r="I77" s="440">
        <f ca="1">IF(I8&gt;=$D$92,IF(SUM($D77:H77)&gt;$D$91,0,I73),0)</f>
        <v>25868.107020476571</v>
      </c>
      <c r="J77" s="440">
        <f ca="1">IF(J8&gt;=$D$92,IF(SUM($D77:I77)&gt;$D$91,0,J73),0)</f>
        <v>8843.4734397440498</v>
      </c>
      <c r="K77" s="440">
        <f ca="1">IF(K8&gt;=$D$92,IF(SUM($D77:J77)&gt;$D$91,0,K73),0)</f>
        <v>5680.6876626419989</v>
      </c>
      <c r="L77" s="443">
        <f ca="1">IF(L8&gt;=$D$92,IF(SUM($D77:K77)&gt;$D$91,0,L73),0)-2644.07</f>
        <v>3888.5300256511423</v>
      </c>
      <c r="M77" s="440"/>
      <c r="N77" s="440"/>
      <c r="O77" s="440"/>
      <c r="P77" s="440"/>
      <c r="Q77" s="440"/>
      <c r="R77" s="440"/>
      <c r="S77" s="440"/>
      <c r="T77" s="440"/>
      <c r="U77" s="443"/>
      <c r="V77" s="440"/>
      <c r="W77" s="440"/>
      <c r="X77" s="440"/>
      <c r="Y77" s="440"/>
      <c r="Z77" s="427"/>
      <c r="AA77" s="403"/>
    </row>
    <row r="78" spans="1:27">
      <c r="A78" s="403" t="s">
        <v>22</v>
      </c>
      <c r="B78" s="433"/>
      <c r="C78" s="435">
        <f ca="1">SUM(D78:Y78)-SUM(D78:G78)</f>
        <v>90186.987877848485</v>
      </c>
      <c r="D78" s="436">
        <f t="shared" ref="D78:Y78" ca="1" si="8">D73-D77</f>
        <v>13111.953688293142</v>
      </c>
      <c r="E78" s="437">
        <f t="shared" ca="1" si="8"/>
        <v>7313.5196917428566</v>
      </c>
      <c r="F78" s="437">
        <f t="shared" ca="1" si="8"/>
        <v>7313.5196917428566</v>
      </c>
      <c r="G78" s="437">
        <f t="shared" ca="1" si="8"/>
        <v>7313.5196917428566</v>
      </c>
      <c r="H78" s="437">
        <f t="shared" ca="1" si="8"/>
        <v>8630.5196917428566</v>
      </c>
      <c r="I78" s="437">
        <f t="shared" ca="1" si="8"/>
        <v>0</v>
      </c>
      <c r="J78" s="437">
        <f t="shared" ca="1" si="8"/>
        <v>0</v>
      </c>
      <c r="K78" s="437">
        <f t="shared" ca="1" si="8"/>
        <v>0</v>
      </c>
      <c r="L78" s="437">
        <f t="shared" ca="1" si="8"/>
        <v>2644.07</v>
      </c>
      <c r="M78" s="437">
        <f t="shared" ca="1" si="8"/>
        <v>6532.6000256511425</v>
      </c>
      <c r="N78" s="437">
        <f t="shared" ca="1" si="8"/>
        <v>9684.6757687849695</v>
      </c>
      <c r="O78" s="437">
        <f t="shared" ca="1" si="8"/>
        <v>9684.6757687849695</v>
      </c>
      <c r="P78" s="437">
        <f t="shared" ca="1" si="8"/>
        <v>17088.157308168396</v>
      </c>
      <c r="Q78" s="437">
        <f t="shared" ca="1" si="8"/>
        <v>11408.741554774104</v>
      </c>
      <c r="R78" s="437">
        <f t="shared" ca="1" si="8"/>
        <v>11408.741554774104</v>
      </c>
      <c r="S78" s="437">
        <f t="shared" ca="1" si="8"/>
        <v>13104.806205167926</v>
      </c>
      <c r="T78" s="437">
        <f t="shared" ca="1" si="8"/>
        <v>0</v>
      </c>
      <c r="U78" s="437">
        <f t="shared" ca="1" si="8"/>
        <v>0</v>
      </c>
      <c r="V78" s="437">
        <f t="shared" ca="1" si="8"/>
        <v>0</v>
      </c>
      <c r="W78" s="437">
        <f t="shared" ca="1" si="8"/>
        <v>0</v>
      </c>
      <c r="X78" s="437">
        <f t="shared" ca="1" si="8"/>
        <v>0</v>
      </c>
      <c r="Y78" s="437">
        <f t="shared" ca="1" si="8"/>
        <v>0</v>
      </c>
      <c r="Z78" s="437"/>
      <c r="AA78" s="403"/>
    </row>
    <row r="79" spans="1:27">
      <c r="A79" s="403" t="s">
        <v>27</v>
      </c>
      <c r="B79" s="403"/>
      <c r="C79" s="434">
        <f t="shared" ref="C79:Y79" ca="1" si="9">C77+C78</f>
        <v>134467.78602636224</v>
      </c>
      <c r="D79" s="432">
        <f t="shared" ca="1" si="9"/>
        <v>13111.953688293142</v>
      </c>
      <c r="E79" s="427">
        <f t="shared" ca="1" si="9"/>
        <v>7313.5196917428566</v>
      </c>
      <c r="F79" s="427">
        <f t="shared" ca="1" si="9"/>
        <v>7313.5196917428566</v>
      </c>
      <c r="G79" s="427">
        <f t="shared" ca="1" si="9"/>
        <v>7313.5196917428566</v>
      </c>
      <c r="H79" s="427">
        <f t="shared" ca="1" si="9"/>
        <v>8630.5196917428566</v>
      </c>
      <c r="I79" s="427">
        <f t="shared" ca="1" si="9"/>
        <v>25868.107020476571</v>
      </c>
      <c r="J79" s="427">
        <f t="shared" ca="1" si="9"/>
        <v>8843.4734397440498</v>
      </c>
      <c r="K79" s="427">
        <f t="shared" ca="1" si="9"/>
        <v>5680.6876626419989</v>
      </c>
      <c r="L79" s="427">
        <f t="shared" ca="1" si="9"/>
        <v>6532.6000256511425</v>
      </c>
      <c r="M79" s="427">
        <f t="shared" ca="1" si="9"/>
        <v>6532.6000256511425</v>
      </c>
      <c r="N79" s="427">
        <f t="shared" ca="1" si="9"/>
        <v>9684.6757687849695</v>
      </c>
      <c r="O79" s="427">
        <f t="shared" ca="1" si="9"/>
        <v>9684.6757687849695</v>
      </c>
      <c r="P79" s="427">
        <f t="shared" ca="1" si="9"/>
        <v>17088.157308168396</v>
      </c>
      <c r="Q79" s="427">
        <f t="shared" ca="1" si="9"/>
        <v>11408.741554774104</v>
      </c>
      <c r="R79" s="427">
        <f t="shared" ca="1" si="9"/>
        <v>11408.741554774104</v>
      </c>
      <c r="S79" s="427">
        <f t="shared" ca="1" si="9"/>
        <v>13104.806205167926</v>
      </c>
      <c r="T79" s="427">
        <f t="shared" ca="1" si="9"/>
        <v>0</v>
      </c>
      <c r="U79" s="427">
        <f t="shared" ca="1" si="9"/>
        <v>0</v>
      </c>
      <c r="V79" s="427">
        <f t="shared" ca="1" si="9"/>
        <v>0</v>
      </c>
      <c r="W79" s="427">
        <f t="shared" ca="1" si="9"/>
        <v>0</v>
      </c>
      <c r="X79" s="427">
        <f t="shared" ca="1" si="9"/>
        <v>0</v>
      </c>
      <c r="Y79" s="427">
        <f t="shared" ca="1" si="9"/>
        <v>0</v>
      </c>
      <c r="Z79" s="427"/>
      <c r="AA79" s="403"/>
    </row>
    <row r="80" spans="1:27">
      <c r="A80" s="444"/>
      <c r="B80" s="403"/>
      <c r="C80" s="404"/>
      <c r="D80" s="427"/>
      <c r="E80" s="427"/>
      <c r="F80" s="427"/>
      <c r="G80" s="427"/>
      <c r="H80" s="427"/>
      <c r="I80" s="427"/>
      <c r="J80" s="427"/>
      <c r="K80" s="427"/>
      <c r="L80" s="427"/>
      <c r="M80" s="427"/>
      <c r="N80" s="427"/>
      <c r="O80" s="427"/>
      <c r="P80" s="427"/>
      <c r="Q80" s="427"/>
      <c r="R80" s="427"/>
      <c r="S80" s="427"/>
      <c r="T80" s="427"/>
      <c r="U80" s="427"/>
      <c r="V80" s="427"/>
      <c r="W80" s="427"/>
      <c r="X80" s="427"/>
      <c r="Y80" s="427"/>
      <c r="Z80" s="427"/>
      <c r="AA80" s="403"/>
    </row>
    <row r="81" spans="1:27">
      <c r="A81" s="403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3"/>
      <c r="P81" s="403"/>
      <c r="Q81" s="403"/>
      <c r="R81" s="403"/>
      <c r="S81" s="403"/>
      <c r="T81" s="403"/>
      <c r="U81" s="403"/>
      <c r="V81" s="403"/>
      <c r="W81" s="403"/>
      <c r="X81" s="403"/>
      <c r="Y81" s="403"/>
      <c r="Z81" s="403"/>
      <c r="AA81" s="403"/>
    </row>
    <row r="82" spans="1:27">
      <c r="A82" s="403"/>
      <c r="B82" s="403"/>
      <c r="C82" s="404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403"/>
    </row>
    <row r="83" spans="1:27" ht="22.2">
      <c r="A83" s="402" t="str">
        <f ca="1">A1</f>
        <v>DELMARVA, VA</v>
      </c>
      <c r="B83" s="403"/>
      <c r="C83" s="404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  <c r="S83" s="403"/>
      <c r="T83" s="403"/>
      <c r="U83" s="445"/>
      <c r="V83" s="403"/>
      <c r="W83" s="403"/>
      <c r="X83" s="403"/>
      <c r="Y83" s="403"/>
      <c r="Z83" s="403"/>
      <c r="AA83" s="403"/>
    </row>
    <row r="84" spans="1:27">
      <c r="A84" s="407" t="s">
        <v>340</v>
      </c>
      <c r="B84" s="416"/>
      <c r="C84" s="417"/>
      <c r="D84" s="416"/>
      <c r="E84" s="408"/>
      <c r="F84" s="403"/>
      <c r="G84" s="403"/>
      <c r="H84" s="403"/>
      <c r="I84" s="403"/>
      <c r="J84" s="403"/>
      <c r="K84" s="403"/>
      <c r="L84" s="403"/>
      <c r="M84" s="403"/>
      <c r="N84" s="403"/>
      <c r="O84" s="403"/>
      <c r="P84" s="403"/>
      <c r="Q84" s="403"/>
      <c r="R84" s="403"/>
      <c r="S84" s="403"/>
      <c r="T84" s="403"/>
      <c r="U84" s="409"/>
      <c r="V84" s="403"/>
      <c r="W84" s="403"/>
      <c r="X84" s="403"/>
      <c r="Y84" s="403"/>
      <c r="Z84" s="403"/>
      <c r="AA84" s="403"/>
    </row>
    <row r="85" spans="1:27">
      <c r="A85" s="446"/>
      <c r="B85" s="446"/>
      <c r="C85" s="416"/>
      <c r="D85" s="416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3"/>
      <c r="P85" s="403"/>
      <c r="Q85" s="403"/>
      <c r="R85" s="403"/>
      <c r="S85" s="403"/>
      <c r="T85" s="403"/>
      <c r="U85" s="414"/>
      <c r="V85" s="403"/>
      <c r="W85" s="403"/>
      <c r="X85" s="403"/>
      <c r="Y85" s="403"/>
      <c r="Z85" s="403"/>
      <c r="AA85" s="403"/>
    </row>
    <row r="86" spans="1:27">
      <c r="A86" s="403"/>
      <c r="B86" s="403"/>
      <c r="C86" s="404"/>
      <c r="D86" s="403"/>
      <c r="E86" s="403"/>
      <c r="F86" s="403"/>
      <c r="G86" s="403"/>
      <c r="H86" s="403"/>
      <c r="I86" s="403"/>
      <c r="J86" s="403"/>
      <c r="K86" s="403"/>
      <c r="L86" s="403"/>
      <c r="M86" s="403"/>
      <c r="N86" s="403"/>
      <c r="O86" s="403"/>
      <c r="P86" s="403"/>
      <c r="Q86" s="403"/>
      <c r="R86" s="403"/>
      <c r="S86" s="403"/>
      <c r="T86" s="403"/>
      <c r="U86" s="403"/>
      <c r="V86" s="403"/>
      <c r="W86" s="403"/>
      <c r="X86" s="403"/>
      <c r="Y86" s="403"/>
      <c r="Z86" s="403"/>
      <c r="AA86" s="403"/>
    </row>
    <row r="87" spans="1:27" ht="12.75" customHeight="1">
      <c r="A87" s="410"/>
      <c r="B87" s="410"/>
      <c r="C87" s="447"/>
      <c r="D87" s="410"/>
      <c r="E87" s="410"/>
      <c r="F87" s="410"/>
      <c r="G87" s="410"/>
      <c r="H87" s="410"/>
      <c r="I87" s="410"/>
      <c r="J87" s="410"/>
      <c r="K87" s="410"/>
      <c r="L87" s="410"/>
      <c r="M87" s="410"/>
      <c r="N87" s="410"/>
      <c r="O87" s="410"/>
      <c r="P87" s="410"/>
      <c r="Q87" s="410"/>
      <c r="R87" s="410"/>
      <c r="S87" s="410"/>
      <c r="T87" s="410"/>
      <c r="U87" s="410"/>
      <c r="V87" s="403"/>
      <c r="W87" s="403"/>
      <c r="X87" s="403"/>
      <c r="Y87" s="403"/>
      <c r="Z87" s="403"/>
      <c r="AA87" s="403"/>
    </row>
    <row r="88" spans="1:27">
      <c r="A88" s="403"/>
      <c r="B88" s="403"/>
      <c r="C88" s="404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03"/>
      <c r="O88" s="403"/>
      <c r="P88" s="403"/>
      <c r="Q88" s="403"/>
      <c r="R88" s="403"/>
      <c r="S88" s="403"/>
      <c r="T88" s="403"/>
      <c r="U88" s="403"/>
      <c r="V88" s="403"/>
      <c r="W88" s="403"/>
      <c r="X88" s="403"/>
      <c r="Y88" s="403"/>
      <c r="Z88" s="403"/>
      <c r="AA88" s="403"/>
    </row>
    <row r="89" spans="1:27">
      <c r="A89" s="407" t="s">
        <v>341</v>
      </c>
      <c r="B89" s="416"/>
      <c r="C89" s="417"/>
      <c r="D89" s="416"/>
      <c r="E89" s="448"/>
      <c r="G89" s="403"/>
      <c r="H89" s="403"/>
      <c r="I89" s="403"/>
      <c r="J89" s="403"/>
      <c r="K89" s="403"/>
      <c r="L89" s="403"/>
      <c r="M89" s="403"/>
      <c r="N89" s="403"/>
      <c r="O89" s="403"/>
      <c r="P89" s="403"/>
      <c r="Q89" s="403"/>
      <c r="R89" s="403"/>
      <c r="S89" s="403"/>
      <c r="T89" s="403"/>
      <c r="U89" s="403"/>
      <c r="V89" s="403"/>
      <c r="W89" s="403"/>
      <c r="X89" s="403"/>
      <c r="Y89" s="403"/>
      <c r="Z89" s="403"/>
      <c r="AA89" s="403"/>
    </row>
    <row r="90" spans="1:27">
      <c r="A90" s="408"/>
      <c r="B90" s="403"/>
      <c r="D90" s="403"/>
      <c r="E90" s="448"/>
      <c r="G90" s="403"/>
      <c r="H90" s="403"/>
      <c r="I90" s="403"/>
      <c r="J90" s="403"/>
      <c r="K90" s="403"/>
      <c r="L90" s="403"/>
      <c r="M90" s="403"/>
      <c r="N90" s="403"/>
      <c r="O90" s="403"/>
      <c r="P90" s="403"/>
      <c r="Q90" s="403"/>
      <c r="R90" s="403"/>
      <c r="S90" s="403"/>
      <c r="T90" s="403"/>
      <c r="U90" s="403"/>
      <c r="V90" s="403"/>
      <c r="W90" s="403"/>
      <c r="X90" s="403"/>
      <c r="Y90" s="403"/>
      <c r="Z90" s="403"/>
      <c r="AA90" s="403"/>
    </row>
    <row r="91" spans="1:27">
      <c r="A91" s="408" t="s">
        <v>342</v>
      </c>
      <c r="B91" s="403"/>
      <c r="D91" s="427">
        <f>'ASSUM 1'!S12*1000</f>
        <v>90000</v>
      </c>
      <c r="E91" s="448"/>
      <c r="G91" s="403"/>
      <c r="H91" s="403"/>
      <c r="I91" s="403"/>
      <c r="J91" s="403"/>
      <c r="K91" s="403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403"/>
      <c r="AA91" s="403"/>
    </row>
    <row r="92" spans="1:27">
      <c r="A92" s="408" t="s">
        <v>40</v>
      </c>
      <c r="B92" s="403"/>
      <c r="D92" s="449">
        <f>'ASSUM 1'!S13</f>
        <v>36617</v>
      </c>
      <c r="E92" s="448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403"/>
    </row>
    <row r="93" spans="1:27">
      <c r="A93" s="450" t="s">
        <v>343</v>
      </c>
      <c r="B93" s="403"/>
      <c r="D93" s="451">
        <f>'ASSUM 1'!S16</f>
        <v>6.5000000000000002E-2</v>
      </c>
      <c r="E93" s="448"/>
      <c r="G93" s="403"/>
      <c r="H93" s="403"/>
      <c r="I93" s="403"/>
      <c r="J93" s="403"/>
      <c r="K93" s="403"/>
      <c r="L93" s="403"/>
      <c r="M93" s="403"/>
      <c r="N93" s="403"/>
      <c r="O93" s="403"/>
      <c r="P93" s="403"/>
      <c r="Q93" s="403"/>
      <c r="R93" s="403"/>
      <c r="S93" s="403"/>
      <c r="T93" s="403"/>
      <c r="U93" s="403"/>
      <c r="V93" s="403"/>
      <c r="W93" s="403"/>
      <c r="X93" s="403"/>
      <c r="Y93" s="403"/>
      <c r="Z93" s="403"/>
      <c r="AA93" s="403"/>
    </row>
    <row r="94" spans="1:27">
      <c r="A94" s="450" t="s">
        <v>344</v>
      </c>
      <c r="B94" s="403"/>
      <c r="D94" s="451">
        <f>'ASSUM 1'!S17</f>
        <v>1.4999999999999999E-2</v>
      </c>
      <c r="E94" s="448"/>
      <c r="G94" s="403"/>
      <c r="H94" s="403"/>
      <c r="I94" s="403"/>
      <c r="J94" s="403"/>
      <c r="K94" s="403"/>
      <c r="L94" s="403"/>
      <c r="M94" s="403"/>
      <c r="N94" s="403"/>
      <c r="O94" s="403"/>
      <c r="P94" s="403"/>
      <c r="Q94" s="403"/>
      <c r="R94" s="403"/>
      <c r="S94" s="403"/>
      <c r="T94" s="403"/>
      <c r="U94" s="403"/>
      <c r="V94" s="403"/>
      <c r="W94" s="403"/>
      <c r="X94" s="403"/>
      <c r="Y94" s="403"/>
      <c r="Z94" s="403"/>
      <c r="AA94" s="403"/>
    </row>
    <row r="95" spans="1:27">
      <c r="A95" s="408" t="s">
        <v>345</v>
      </c>
      <c r="B95" s="403"/>
      <c r="D95" s="451">
        <f>'ASSUM 1'!S18</f>
        <v>0</v>
      </c>
      <c r="E95" s="448"/>
      <c r="G95" s="403"/>
      <c r="H95" s="403"/>
      <c r="I95" s="403"/>
      <c r="J95" s="403"/>
      <c r="K95" s="403"/>
      <c r="L95" s="403"/>
      <c r="M95" s="403"/>
      <c r="N95" s="403"/>
      <c r="O95" s="403"/>
      <c r="P95" s="403"/>
      <c r="Q95" s="403"/>
      <c r="R95" s="403"/>
      <c r="S95" s="403"/>
      <c r="T95" s="403"/>
      <c r="U95" s="403"/>
      <c r="V95" s="403"/>
      <c r="W95" s="403"/>
      <c r="X95" s="403"/>
      <c r="Y95" s="403"/>
      <c r="Z95" s="403"/>
      <c r="AA95" s="403"/>
    </row>
    <row r="96" spans="1:27">
      <c r="A96" s="408" t="s">
        <v>346</v>
      </c>
      <c r="B96" s="403"/>
      <c r="C96" s="404"/>
      <c r="D96" s="451">
        <f>'ASSUM 1'!S22</f>
        <v>0.03</v>
      </c>
      <c r="E96" s="448"/>
      <c r="G96" s="403"/>
      <c r="H96" s="403"/>
      <c r="I96" s="403"/>
      <c r="J96" s="403"/>
      <c r="K96" s="403"/>
      <c r="L96" s="403"/>
      <c r="M96" s="403"/>
      <c r="N96" s="403"/>
      <c r="O96" s="403"/>
      <c r="P96" s="403"/>
      <c r="Q96" s="403"/>
      <c r="R96" s="403"/>
      <c r="S96" s="403"/>
      <c r="T96" s="403"/>
      <c r="U96" s="403"/>
      <c r="V96" s="403"/>
      <c r="W96" s="403"/>
      <c r="X96" s="403"/>
      <c r="Y96" s="403"/>
      <c r="Z96" s="403"/>
      <c r="AA96" s="403"/>
    </row>
    <row r="97" spans="1:27">
      <c r="A97" s="416"/>
      <c r="B97" s="416"/>
      <c r="C97" s="417"/>
      <c r="D97" s="416"/>
      <c r="E97" s="403"/>
      <c r="F97" s="403"/>
      <c r="G97" s="403"/>
      <c r="H97" s="403"/>
      <c r="I97" s="403"/>
      <c r="J97" s="403"/>
      <c r="K97" s="403"/>
      <c r="L97" s="403"/>
      <c r="M97" s="403"/>
      <c r="N97" s="403"/>
      <c r="O97" s="403"/>
      <c r="P97" s="403"/>
      <c r="Q97" s="403"/>
      <c r="R97" s="403"/>
      <c r="S97" s="403"/>
      <c r="T97" s="403"/>
      <c r="U97" s="403"/>
      <c r="V97" s="403"/>
      <c r="W97" s="403"/>
      <c r="X97" s="403"/>
      <c r="Y97" s="403"/>
      <c r="Z97" s="403"/>
      <c r="AA97" s="403"/>
    </row>
    <row r="98" spans="1:27">
      <c r="A98" s="415"/>
      <c r="B98" s="416"/>
      <c r="C98" s="417"/>
      <c r="D98" s="416"/>
      <c r="E98" s="416"/>
      <c r="F98" s="416"/>
      <c r="G98" s="416"/>
      <c r="H98" s="416"/>
      <c r="I98" s="416"/>
      <c r="J98" s="416"/>
      <c r="K98" s="416"/>
      <c r="L98" s="416"/>
      <c r="M98" s="416"/>
      <c r="N98" s="416"/>
      <c r="O98" s="416"/>
      <c r="P98" s="416"/>
      <c r="Q98" s="416"/>
      <c r="R98" s="416"/>
      <c r="S98" s="416"/>
      <c r="T98" s="416"/>
      <c r="U98" s="416"/>
      <c r="V98" s="416"/>
      <c r="W98" s="416"/>
      <c r="X98" s="416"/>
      <c r="Y98" s="416"/>
      <c r="Z98" s="416"/>
      <c r="AA98" s="403"/>
    </row>
    <row r="99" spans="1:27">
      <c r="A99" s="408"/>
      <c r="B99" s="403"/>
      <c r="C99" s="404"/>
      <c r="D99" s="420">
        <f t="shared" ref="D99:Y99" si="10">D8</f>
        <v>36474</v>
      </c>
      <c r="E99" s="420">
        <f t="shared" si="10"/>
        <v>36504.4375</v>
      </c>
      <c r="F99" s="420">
        <f t="shared" si="10"/>
        <v>36534.875</v>
      </c>
      <c r="G99" s="420">
        <f t="shared" si="10"/>
        <v>36565.3125</v>
      </c>
      <c r="H99" s="420">
        <f t="shared" si="10"/>
        <v>36595.75</v>
      </c>
      <c r="I99" s="420">
        <f t="shared" si="10"/>
        <v>36626.1875</v>
      </c>
      <c r="J99" s="420">
        <f t="shared" si="10"/>
        <v>36656.625</v>
      </c>
      <c r="K99" s="420">
        <f t="shared" si="10"/>
        <v>36687.0625</v>
      </c>
      <c r="L99" s="420">
        <f t="shared" si="10"/>
        <v>36717.5</v>
      </c>
      <c r="M99" s="420">
        <f t="shared" si="10"/>
        <v>36747.9375</v>
      </c>
      <c r="N99" s="420">
        <f t="shared" si="10"/>
        <v>36778.375</v>
      </c>
      <c r="O99" s="420">
        <f t="shared" si="10"/>
        <v>36808.8125</v>
      </c>
      <c r="P99" s="420">
        <f t="shared" si="10"/>
        <v>36839.25</v>
      </c>
      <c r="Q99" s="420">
        <f t="shared" si="10"/>
        <v>36869.6875</v>
      </c>
      <c r="R99" s="420">
        <f t="shared" si="10"/>
        <v>36900.125</v>
      </c>
      <c r="S99" s="420">
        <f t="shared" si="10"/>
        <v>36930.5625</v>
      </c>
      <c r="T99" s="420">
        <f t="shared" si="10"/>
        <v>36961</v>
      </c>
      <c r="U99" s="420">
        <f t="shared" si="10"/>
        <v>36991.4375</v>
      </c>
      <c r="V99" s="420">
        <f t="shared" si="10"/>
        <v>37021.875</v>
      </c>
      <c r="W99" s="420">
        <f t="shared" si="10"/>
        <v>37052.3125</v>
      </c>
      <c r="X99" s="420">
        <f t="shared" si="10"/>
        <v>37082.75</v>
      </c>
      <c r="Y99" s="420">
        <f t="shared" si="10"/>
        <v>37113.1875</v>
      </c>
      <c r="Z99" s="421"/>
      <c r="AA99" s="403"/>
    </row>
    <row r="100" spans="1:27">
      <c r="A100" s="452" t="str">
        <f>'ASSUM 1'!S9</f>
        <v>144A</v>
      </c>
      <c r="B100" s="403"/>
      <c r="C100" s="404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03"/>
      <c r="O100" s="403"/>
      <c r="P100" s="403"/>
      <c r="Q100" s="403"/>
      <c r="R100" s="403"/>
      <c r="S100" s="403"/>
      <c r="T100" s="403"/>
      <c r="U100" s="403"/>
      <c r="V100" s="403"/>
      <c r="W100" s="403"/>
      <c r="X100" s="403"/>
      <c r="Y100" s="403"/>
      <c r="Z100" s="403"/>
      <c r="AA100" s="403"/>
    </row>
    <row r="101" spans="1:27">
      <c r="A101" s="408" t="s">
        <v>347</v>
      </c>
      <c r="B101" s="403"/>
      <c r="C101" s="404"/>
      <c r="D101" s="440">
        <f t="shared" ref="D101:Y101" si="11">IF(AND(MONTH(D99)=MONTH($D$92),YEAR(D99)=YEAR($D$92)),$D$91,0)</f>
        <v>0</v>
      </c>
      <c r="E101" s="440">
        <f t="shared" si="11"/>
        <v>0</v>
      </c>
      <c r="F101" s="440">
        <f t="shared" si="11"/>
        <v>0</v>
      </c>
      <c r="G101" s="440">
        <f t="shared" si="11"/>
        <v>0</v>
      </c>
      <c r="H101" s="440">
        <f t="shared" si="11"/>
        <v>0</v>
      </c>
      <c r="I101" s="618">
        <f t="shared" si="11"/>
        <v>90000</v>
      </c>
      <c r="J101" s="440">
        <f t="shared" si="11"/>
        <v>0</v>
      </c>
      <c r="K101" s="440">
        <f t="shared" si="11"/>
        <v>0</v>
      </c>
      <c r="L101" s="440">
        <f t="shared" si="11"/>
        <v>0</v>
      </c>
      <c r="M101" s="440">
        <f t="shared" si="11"/>
        <v>0</v>
      </c>
      <c r="N101" s="440">
        <f t="shared" si="11"/>
        <v>0</v>
      </c>
      <c r="O101" s="440">
        <f t="shared" si="11"/>
        <v>0</v>
      </c>
      <c r="P101" s="440">
        <f t="shared" si="11"/>
        <v>0</v>
      </c>
      <c r="Q101" s="440">
        <f t="shared" si="11"/>
        <v>0</v>
      </c>
      <c r="R101" s="440">
        <f t="shared" si="11"/>
        <v>0</v>
      </c>
      <c r="S101" s="440">
        <f t="shared" si="11"/>
        <v>0</v>
      </c>
      <c r="T101" s="440">
        <f t="shared" si="11"/>
        <v>0</v>
      </c>
      <c r="U101" s="440">
        <f t="shared" si="11"/>
        <v>0</v>
      </c>
      <c r="V101" s="440">
        <f t="shared" si="11"/>
        <v>0</v>
      </c>
      <c r="W101" s="440">
        <f t="shared" si="11"/>
        <v>0</v>
      </c>
      <c r="X101" s="440">
        <f t="shared" si="11"/>
        <v>0</v>
      </c>
      <c r="Y101" s="440">
        <f t="shared" si="11"/>
        <v>0</v>
      </c>
      <c r="Z101" s="427"/>
      <c r="AA101" s="403"/>
    </row>
    <row r="102" spans="1:27">
      <c r="A102" s="408" t="s">
        <v>348</v>
      </c>
      <c r="B102" s="403"/>
      <c r="C102" s="404"/>
      <c r="D102" s="619">
        <f>D77+IF(D101&gt;0,SUM(C78:$D78),0)</f>
        <v>0</v>
      </c>
      <c r="E102" s="619">
        <f>E77+IF(E101&gt;0,SUM($D78:D78),0)</f>
        <v>0</v>
      </c>
      <c r="F102" s="619">
        <f>F77+IF(F101&gt;0,SUM($D78:E78),0)</f>
        <v>0</v>
      </c>
      <c r="G102" s="619">
        <f>G77+IF(G101&gt;0,SUM($D78:F78),0)</f>
        <v>0</v>
      </c>
      <c r="H102" s="619">
        <f>H77+IF(H101&gt;0,SUM($D78:G78),0)</f>
        <v>0</v>
      </c>
      <c r="I102" s="619">
        <f ca="1">I77+IF(I101&gt;0,SUM($D78:H78),0)</f>
        <v>69551.139475741133</v>
      </c>
      <c r="J102" s="619">
        <f ca="1">J77+IF(J101&gt;0,SUM($D78:I78),0)</f>
        <v>8843.4734397440498</v>
      </c>
      <c r="K102" s="619">
        <f ca="1">K77+IF(K101&gt;0,SUM($D78:J78),0)</f>
        <v>5680.6876626419989</v>
      </c>
      <c r="L102" s="619">
        <f ca="1">L77+IF(L101&gt;0,SUM($D78:K78),0)</f>
        <v>3888.5300256511423</v>
      </c>
      <c r="M102" s="619">
        <f>M77+IF(M101&gt;0,SUM($D78:L78),0)</f>
        <v>0</v>
      </c>
      <c r="N102" s="619">
        <f>N77+IF(N101&gt;0,SUM($D78:M78),0)</f>
        <v>0</v>
      </c>
      <c r="O102" s="619">
        <f>O77+IF(O101&gt;0,SUM($D78:N78),0)</f>
        <v>0</v>
      </c>
      <c r="P102" s="619">
        <f>P77+IF(P101&gt;0,SUM($D78:O78),0)</f>
        <v>0</v>
      </c>
      <c r="Q102" s="619">
        <f>Q77+IF(Q101&gt;0,SUM($D78:P78),0)</f>
        <v>0</v>
      </c>
      <c r="R102" s="619">
        <f>R77+IF(R101&gt;0,SUM($D78:Q78),0)</f>
        <v>0</v>
      </c>
      <c r="S102" s="619">
        <f>S77+IF(S101&gt;0,SUM($D78:R78),0)</f>
        <v>0</v>
      </c>
      <c r="T102" s="619">
        <f>T77+IF(T101&gt;0,SUM($D78:S78),0)</f>
        <v>0</v>
      </c>
      <c r="U102" s="619">
        <f>U77+IF(U101&gt;0,SUM($D78:T78),0)</f>
        <v>0</v>
      </c>
      <c r="V102" s="619">
        <f>V77+IF(V101&gt;0,SUM($D78:U78),0)</f>
        <v>0</v>
      </c>
      <c r="W102" s="619">
        <f>W77+IF(W101&gt;0,SUM($D78:V78),0)</f>
        <v>0</v>
      </c>
      <c r="X102" s="619">
        <f>X77+IF(X101&gt;0,SUM($D78:W78),0)</f>
        <v>0</v>
      </c>
      <c r="Y102" s="619">
        <f>Y77+IF(Y101&gt;0,SUM($D78:X78),0)</f>
        <v>0</v>
      </c>
      <c r="Z102" s="427"/>
      <c r="AA102" s="403"/>
    </row>
    <row r="103" spans="1:27">
      <c r="A103" s="408" t="s">
        <v>349</v>
      </c>
      <c r="B103" s="403"/>
      <c r="C103" s="404"/>
      <c r="D103" s="427">
        <f>SUM($D$102:D102)</f>
        <v>0</v>
      </c>
      <c r="E103" s="427">
        <f>SUM($D$102:E102)</f>
        <v>0</v>
      </c>
      <c r="F103" s="427">
        <f>SUM($D$102:F102)</f>
        <v>0</v>
      </c>
      <c r="G103" s="427">
        <f>SUM($D$102:G102)</f>
        <v>0</v>
      </c>
      <c r="H103" s="427">
        <f>SUM($D$102:H102)</f>
        <v>0</v>
      </c>
      <c r="I103" s="427">
        <f ca="1">SUM($D$102:I102)</f>
        <v>69551.139475741133</v>
      </c>
      <c r="J103" s="427">
        <f ca="1">SUM($D$102:J102)</f>
        <v>78394.612915485181</v>
      </c>
      <c r="K103" s="427">
        <f ca="1">SUM($D$102:K102)</f>
        <v>84075.300578127179</v>
      </c>
      <c r="L103" s="453">
        <f ca="1">SUM($D$102:L102)</f>
        <v>87963.830603778319</v>
      </c>
      <c r="M103" s="427">
        <f ca="1">SUM($D$102:M102)</f>
        <v>87963.830603778319</v>
      </c>
      <c r="N103" s="427">
        <f ca="1">SUM($D$102:N102)</f>
        <v>87963.830603778319</v>
      </c>
      <c r="O103" s="427">
        <f ca="1">SUM($D$102:O102)</f>
        <v>87963.830603778319</v>
      </c>
      <c r="P103" s="427">
        <f ca="1">SUM($D$102:P102)</f>
        <v>87963.830603778319</v>
      </c>
      <c r="Q103" s="427">
        <f ca="1">SUM($D$102:Q102)</f>
        <v>87963.830603778319</v>
      </c>
      <c r="R103" s="427">
        <f ca="1">SUM($D$102:R102)</f>
        <v>87963.830603778319</v>
      </c>
      <c r="S103" s="427">
        <f ca="1">SUM($D$102:S102)</f>
        <v>87963.830603778319</v>
      </c>
      <c r="T103" s="427">
        <f ca="1">SUM($D$102:T102)</f>
        <v>87963.830603778319</v>
      </c>
      <c r="U103" s="427">
        <f ca="1">SUM($D$102:U102)</f>
        <v>87963.830603778319</v>
      </c>
      <c r="V103" s="427">
        <f ca="1">SUM($D$102:V102)</f>
        <v>87963.830603778319</v>
      </c>
      <c r="W103" s="427">
        <f ca="1">SUM($D$102:W102)</f>
        <v>87963.830603778319</v>
      </c>
      <c r="X103" s="427">
        <f ca="1">SUM($D$102:X102)</f>
        <v>87963.830603778319</v>
      </c>
      <c r="Y103" s="427">
        <f ca="1">SUM($D$102:Y102)</f>
        <v>87963.830603778319</v>
      </c>
      <c r="Z103" s="427"/>
      <c r="AA103" s="403"/>
    </row>
    <row r="104" spans="1:27">
      <c r="A104" s="408" t="s">
        <v>350</v>
      </c>
      <c r="B104" s="403"/>
      <c r="C104" s="404"/>
      <c r="D104" s="427">
        <f t="shared" ref="D104:Y104" si="12">IF(D8&lt;=$D$92,0,IF(D103&lt;$D$91,$D$91-D103,0))</f>
        <v>0</v>
      </c>
      <c r="E104" s="427">
        <f t="shared" si="12"/>
        <v>0</v>
      </c>
      <c r="F104" s="427">
        <f t="shared" si="12"/>
        <v>0</v>
      </c>
      <c r="G104" s="427">
        <f t="shared" si="12"/>
        <v>0</v>
      </c>
      <c r="H104" s="427">
        <f t="shared" si="12"/>
        <v>0</v>
      </c>
      <c r="I104" s="427">
        <f t="shared" ca="1" si="12"/>
        <v>20448.860524258867</v>
      </c>
      <c r="J104" s="427">
        <f t="shared" ca="1" si="12"/>
        <v>11605.387084514819</v>
      </c>
      <c r="K104" s="427">
        <f t="shared" ca="1" si="12"/>
        <v>5924.6994218728214</v>
      </c>
      <c r="L104" s="427">
        <f t="shared" ca="1" si="12"/>
        <v>2036.1693962216814</v>
      </c>
      <c r="M104" s="427">
        <f t="shared" ca="1" si="12"/>
        <v>2036.1693962216814</v>
      </c>
      <c r="N104" s="427">
        <f t="shared" ca="1" si="12"/>
        <v>2036.1693962216814</v>
      </c>
      <c r="O104" s="427">
        <f t="shared" ca="1" si="12"/>
        <v>2036.1693962216814</v>
      </c>
      <c r="P104" s="427">
        <f t="shared" ca="1" si="12"/>
        <v>2036.1693962216814</v>
      </c>
      <c r="Q104" s="427">
        <f t="shared" ca="1" si="12"/>
        <v>2036.1693962216814</v>
      </c>
      <c r="R104" s="427">
        <f t="shared" ca="1" si="12"/>
        <v>2036.1693962216814</v>
      </c>
      <c r="S104" s="427">
        <f t="shared" ca="1" si="12"/>
        <v>2036.1693962216814</v>
      </c>
      <c r="T104" s="427">
        <f t="shared" ca="1" si="12"/>
        <v>2036.1693962216814</v>
      </c>
      <c r="U104" s="427">
        <f t="shared" ca="1" si="12"/>
        <v>2036.1693962216814</v>
      </c>
      <c r="V104" s="427">
        <f t="shared" ca="1" si="12"/>
        <v>2036.1693962216814</v>
      </c>
      <c r="W104" s="427">
        <f t="shared" ca="1" si="12"/>
        <v>2036.1693962216814</v>
      </c>
      <c r="X104" s="427">
        <f t="shared" ca="1" si="12"/>
        <v>2036.1693962216814</v>
      </c>
      <c r="Y104" s="427">
        <f t="shared" ca="1" si="12"/>
        <v>2036.1693962216814</v>
      </c>
      <c r="Z104" s="427"/>
      <c r="AA104" s="403"/>
    </row>
    <row r="105" spans="1:27">
      <c r="A105" s="408" t="s">
        <v>351</v>
      </c>
      <c r="B105" s="403"/>
      <c r="C105" s="404"/>
      <c r="D105" s="427">
        <f t="shared" ref="D105:Y105" si="13">IF(D7+1&gt;0,+C107,0)</f>
        <v>0.08</v>
      </c>
      <c r="E105" s="427">
        <f t="shared" si="13"/>
        <v>0</v>
      </c>
      <c r="F105" s="427">
        <f t="shared" si="13"/>
        <v>0</v>
      </c>
      <c r="G105" s="427">
        <f t="shared" si="13"/>
        <v>0</v>
      </c>
      <c r="H105" s="427">
        <f t="shared" si="13"/>
        <v>0</v>
      </c>
      <c r="I105" s="427">
        <f t="shared" si="13"/>
        <v>0</v>
      </c>
      <c r="J105" s="427">
        <f t="shared" si="13"/>
        <v>0</v>
      </c>
      <c r="K105" s="427">
        <f t="shared" si="13"/>
        <v>0</v>
      </c>
      <c r="L105" s="427">
        <f t="shared" si="13"/>
        <v>0</v>
      </c>
      <c r="M105" s="427">
        <f t="shared" si="13"/>
        <v>0</v>
      </c>
      <c r="N105" s="427">
        <f t="shared" si="13"/>
        <v>0</v>
      </c>
      <c r="O105" s="427">
        <f t="shared" si="13"/>
        <v>0</v>
      </c>
      <c r="P105" s="427">
        <f t="shared" si="13"/>
        <v>3600</v>
      </c>
      <c r="Q105" s="427">
        <f t="shared" si="13"/>
        <v>0</v>
      </c>
      <c r="R105" s="427">
        <f t="shared" si="13"/>
        <v>0</v>
      </c>
      <c r="S105" s="427">
        <f t="shared" si="13"/>
        <v>0</v>
      </c>
      <c r="T105" s="427">
        <f t="shared" si="13"/>
        <v>0</v>
      </c>
      <c r="U105" s="427">
        <f t="shared" si="13"/>
        <v>0</v>
      </c>
      <c r="V105" s="427">
        <f t="shared" si="13"/>
        <v>0</v>
      </c>
      <c r="W105" s="427">
        <f t="shared" si="13"/>
        <v>0</v>
      </c>
      <c r="X105" s="427">
        <f t="shared" si="13"/>
        <v>0</v>
      </c>
      <c r="Y105" s="427">
        <f t="shared" si="13"/>
        <v>0</v>
      </c>
      <c r="Z105" s="427"/>
      <c r="AA105" s="403"/>
    </row>
    <row r="106" spans="1:27">
      <c r="A106" s="408" t="s">
        <v>352</v>
      </c>
      <c r="B106" s="403"/>
      <c r="C106" s="404"/>
      <c r="D106" s="427">
        <f t="shared" ref="D106:Y106" si="14">C106+D101</f>
        <v>0</v>
      </c>
      <c r="E106" s="427">
        <f t="shared" si="14"/>
        <v>0</v>
      </c>
      <c r="F106" s="427">
        <f t="shared" si="14"/>
        <v>0</v>
      </c>
      <c r="G106" s="427">
        <f t="shared" si="14"/>
        <v>0</v>
      </c>
      <c r="H106" s="427">
        <f t="shared" si="14"/>
        <v>0</v>
      </c>
      <c r="I106" s="427">
        <f t="shared" si="14"/>
        <v>90000</v>
      </c>
      <c r="J106" s="427">
        <f t="shared" si="14"/>
        <v>90000</v>
      </c>
      <c r="K106" s="427">
        <f t="shared" si="14"/>
        <v>90000</v>
      </c>
      <c r="L106" s="427">
        <f t="shared" si="14"/>
        <v>90000</v>
      </c>
      <c r="M106" s="427">
        <f t="shared" si="14"/>
        <v>90000</v>
      </c>
      <c r="N106" s="427">
        <f t="shared" si="14"/>
        <v>90000</v>
      </c>
      <c r="O106" s="427">
        <f t="shared" si="14"/>
        <v>90000</v>
      </c>
      <c r="P106" s="427">
        <f t="shared" si="14"/>
        <v>90000</v>
      </c>
      <c r="Q106" s="427">
        <f t="shared" si="14"/>
        <v>90000</v>
      </c>
      <c r="R106" s="427">
        <f t="shared" si="14"/>
        <v>90000</v>
      </c>
      <c r="S106" s="427">
        <f t="shared" si="14"/>
        <v>90000</v>
      </c>
      <c r="T106" s="427">
        <f t="shared" si="14"/>
        <v>90000</v>
      </c>
      <c r="U106" s="427">
        <f t="shared" si="14"/>
        <v>90000</v>
      </c>
      <c r="V106" s="427">
        <f t="shared" si="14"/>
        <v>90000</v>
      </c>
      <c r="W106" s="427">
        <f t="shared" si="14"/>
        <v>90000</v>
      </c>
      <c r="X106" s="427">
        <f t="shared" si="14"/>
        <v>90000</v>
      </c>
      <c r="Y106" s="427">
        <f t="shared" si="14"/>
        <v>90000</v>
      </c>
      <c r="Z106" s="427"/>
      <c r="AA106" s="403"/>
    </row>
    <row r="107" spans="1:27">
      <c r="A107" s="408" t="s">
        <v>353</v>
      </c>
      <c r="B107" s="403"/>
      <c r="C107" s="433">
        <f>D93+D94+D95</f>
        <v>0.08</v>
      </c>
      <c r="D107" s="427">
        <f t="shared" ref="D107:Y107" si="15">IF(MONTH(D99)=10,$D$91*$C$107/2,0)</f>
        <v>0</v>
      </c>
      <c r="E107" s="427">
        <f t="shared" si="15"/>
        <v>0</v>
      </c>
      <c r="F107" s="427">
        <f t="shared" si="15"/>
        <v>0</v>
      </c>
      <c r="G107" s="427">
        <f t="shared" si="15"/>
        <v>0</v>
      </c>
      <c r="H107" s="427">
        <f t="shared" si="15"/>
        <v>0</v>
      </c>
      <c r="I107" s="427">
        <f t="shared" si="15"/>
        <v>0</v>
      </c>
      <c r="J107" s="427">
        <f t="shared" si="15"/>
        <v>0</v>
      </c>
      <c r="K107" s="427">
        <f t="shared" si="15"/>
        <v>0</v>
      </c>
      <c r="L107" s="427">
        <f t="shared" si="15"/>
        <v>0</v>
      </c>
      <c r="M107" s="427">
        <f t="shared" si="15"/>
        <v>0</v>
      </c>
      <c r="N107" s="427">
        <f t="shared" si="15"/>
        <v>0</v>
      </c>
      <c r="O107" s="427">
        <f t="shared" si="15"/>
        <v>3600</v>
      </c>
      <c r="P107" s="427">
        <f t="shared" si="15"/>
        <v>0</v>
      </c>
      <c r="Q107" s="427">
        <f t="shared" si="15"/>
        <v>0</v>
      </c>
      <c r="R107" s="427">
        <f t="shared" si="15"/>
        <v>0</v>
      </c>
      <c r="S107" s="427">
        <f t="shared" si="15"/>
        <v>0</v>
      </c>
      <c r="T107" s="427">
        <f t="shared" si="15"/>
        <v>0</v>
      </c>
      <c r="U107" s="427">
        <f t="shared" si="15"/>
        <v>0</v>
      </c>
      <c r="V107" s="427">
        <f t="shared" si="15"/>
        <v>0</v>
      </c>
      <c r="W107" s="427">
        <f t="shared" si="15"/>
        <v>0</v>
      </c>
      <c r="X107" s="427">
        <f t="shared" si="15"/>
        <v>0</v>
      </c>
      <c r="Y107" s="427">
        <f t="shared" si="15"/>
        <v>0</v>
      </c>
      <c r="Z107" s="427"/>
      <c r="AA107" s="403"/>
    </row>
    <row r="108" spans="1:27">
      <c r="A108" s="408"/>
      <c r="B108" s="403"/>
      <c r="C108" s="404"/>
      <c r="D108" s="427"/>
      <c r="E108" s="427"/>
      <c r="F108" s="427"/>
      <c r="G108" s="427"/>
      <c r="H108" s="427"/>
      <c r="I108" s="427"/>
      <c r="J108" s="427"/>
      <c r="K108" s="427"/>
      <c r="L108" s="427"/>
      <c r="M108" s="427"/>
      <c r="N108" s="427"/>
      <c r="O108" s="427"/>
      <c r="P108" s="427"/>
      <c r="Q108" s="427"/>
      <c r="R108" s="427"/>
      <c r="S108" s="427"/>
      <c r="T108" s="427"/>
      <c r="U108" s="427"/>
      <c r="V108" s="427"/>
      <c r="W108" s="427"/>
      <c r="X108" s="427"/>
      <c r="Y108" s="427"/>
      <c r="Z108" s="427"/>
      <c r="AA108" s="403"/>
    </row>
    <row r="109" spans="1:27">
      <c r="A109" s="408" t="s">
        <v>354</v>
      </c>
      <c r="B109" s="403"/>
      <c r="C109" s="433">
        <f>D96</f>
        <v>0.03</v>
      </c>
      <c r="D109" s="440">
        <f>$D$91*C109</f>
        <v>2700</v>
      </c>
      <c r="E109" s="440"/>
      <c r="F109" s="440"/>
      <c r="G109" s="440"/>
      <c r="H109" s="440"/>
      <c r="I109" s="440"/>
      <c r="J109" s="440"/>
      <c r="K109" s="440"/>
      <c r="L109" s="440"/>
      <c r="M109" s="440"/>
      <c r="N109" s="440"/>
      <c r="O109" s="440"/>
      <c r="P109" s="440"/>
      <c r="Q109" s="440"/>
      <c r="R109" s="440"/>
      <c r="S109" s="440"/>
      <c r="T109" s="440"/>
      <c r="U109" s="440"/>
      <c r="V109" s="440"/>
      <c r="W109" s="440"/>
      <c r="X109" s="440"/>
      <c r="Y109" s="440"/>
      <c r="Z109" s="427"/>
      <c r="AA109" s="403"/>
    </row>
    <row r="110" spans="1:27">
      <c r="A110" s="408"/>
      <c r="B110" s="403"/>
      <c r="C110" s="404"/>
      <c r="D110" s="442"/>
      <c r="E110" s="403"/>
      <c r="F110" s="403"/>
      <c r="G110" s="403"/>
      <c r="H110" s="403"/>
      <c r="I110" s="403"/>
      <c r="J110" s="403"/>
      <c r="K110" s="403"/>
      <c r="L110" s="403"/>
      <c r="M110" s="403"/>
      <c r="N110" s="403"/>
      <c r="O110" s="403"/>
      <c r="P110" s="403"/>
      <c r="Q110" s="403"/>
      <c r="R110" s="403"/>
      <c r="S110" s="403"/>
      <c r="T110" s="403"/>
      <c r="U110" s="403"/>
      <c r="V110" s="403"/>
      <c r="W110" s="403"/>
      <c r="X110" s="403"/>
      <c r="Y110" s="403"/>
      <c r="Z110" s="403"/>
      <c r="AA110" s="403"/>
    </row>
    <row r="111" spans="1:27">
      <c r="A111" s="408" t="s">
        <v>355</v>
      </c>
      <c r="B111" s="403"/>
      <c r="C111" s="404"/>
      <c r="D111" s="427">
        <f>IF(D9&gt;=1,+D104*'ASSUM 1'!S43/12,0)</f>
        <v>0</v>
      </c>
      <c r="E111" s="427">
        <f>IF(E9&gt;=1,+E104*'ASSUM 1'!S43/12,0)</f>
        <v>0</v>
      </c>
      <c r="F111" s="427">
        <f>IF(F9&gt;=1,+F104*'ASSUM 1'!S43/12,0)</f>
        <v>0</v>
      </c>
      <c r="G111" s="427">
        <f>IF(G9&gt;=1,+G104*'ASSUM 1'!S43/12,0)</f>
        <v>0</v>
      </c>
      <c r="H111" s="427">
        <f>IF(H9&gt;=1,+H104*'ASSUM 1'!S43/12,0)</f>
        <v>0</v>
      </c>
      <c r="I111" s="427">
        <f ca="1">IF(I9&gt;=1,+I104*'ASSUM 1'!S43/12,0)</f>
        <v>85.203585517745282</v>
      </c>
      <c r="J111" s="427">
        <f ca="1">IF(J9&gt;=1,+J104*'ASSUM 1'!S43/12,0)</f>
        <v>48.355779518811751</v>
      </c>
      <c r="K111" s="427">
        <f ca="1">IF(K9&gt;=1,+K104*'ASSUM 1'!S43/12,0)</f>
        <v>24.686247591136759</v>
      </c>
      <c r="L111" s="427">
        <f ca="1">IF(L9&gt;=1,+L104*'ASSUM 1'!S43/12,0)</f>
        <v>8.4840391509236728</v>
      </c>
      <c r="M111" s="427">
        <f ca="1">IF(M9&gt;=1,+M104*'ASSUM 1'!S43/12,0)</f>
        <v>8.4840391509236728</v>
      </c>
      <c r="N111" s="427">
        <f ca="1">IF(N9&gt;=1,+N104*'ASSUM 1'!S43/12,0)</f>
        <v>8.4840391509236728</v>
      </c>
      <c r="O111" s="427">
        <f ca="1">IF(O9&gt;=1,+O104*'ASSUM 1'!S43/12,0)</f>
        <v>8.4840391509236728</v>
      </c>
      <c r="P111" s="427">
        <f ca="1">IF(P9&gt;=1,+P104*'ASSUM 1'!S43/12,0)</f>
        <v>8.4840391509236728</v>
      </c>
      <c r="Q111" s="427">
        <f ca="1">IF(Q9&gt;=1,+Q104*'ASSUM 1'!S43/12,0)</f>
        <v>8.4840391509236728</v>
      </c>
      <c r="R111" s="427">
        <f ca="1">IF(R9&gt;=1,+R104*'ASSUM 1'!S43/12,0)</f>
        <v>8.4840391509236728</v>
      </c>
      <c r="S111" s="427">
        <f ca="1">IF(S9&gt;=1,+S104*'ASSUM 1'!S43/12,0)</f>
        <v>8.4840391509236728</v>
      </c>
      <c r="T111" s="427">
        <f ca="1">IF(T9&gt;=1,+T104*'ASSUM 1'!S43/12,0)</f>
        <v>8.4840391509236728</v>
      </c>
      <c r="U111" s="427">
        <f ca="1">IF(U9&gt;=1,+U104*'ASSUM 1'!S43/12,0)</f>
        <v>8.4840391509236728</v>
      </c>
      <c r="V111" s="427">
        <f ca="1">IF(V9&gt;=1,+V104*'ASSUM 1'!S43/12,0)</f>
        <v>8.4840391509236728</v>
      </c>
      <c r="W111" s="427">
        <f ca="1">IF(W9&gt;=1,+W104*'ASSUM 1'!S43/12,0)</f>
        <v>8.4840391509236728</v>
      </c>
      <c r="X111" s="427">
        <f ca="1">IF(X9&gt;=1,+X104*'ASSUM 1'!S43/12,0)</f>
        <v>8.4840391509236728</v>
      </c>
      <c r="Y111" s="427">
        <f ca="1">IF(Y9&gt;=1,+Y104*'ASSUM 1'!S43/12,0)</f>
        <v>8.4840391509236728</v>
      </c>
      <c r="Z111" s="403"/>
      <c r="AA111" s="403"/>
    </row>
    <row r="112" spans="1:27">
      <c r="A112" s="408" t="s">
        <v>356</v>
      </c>
      <c r="B112" s="421"/>
      <c r="C112" s="454"/>
      <c r="D112" s="437">
        <f t="shared" ref="D112:Y112" si="16">D107</f>
        <v>0</v>
      </c>
      <c r="E112" s="437">
        <f t="shared" si="16"/>
        <v>0</v>
      </c>
      <c r="F112" s="437">
        <f t="shared" si="16"/>
        <v>0</v>
      </c>
      <c r="G112" s="437">
        <f t="shared" si="16"/>
        <v>0</v>
      </c>
      <c r="H112" s="437">
        <f t="shared" si="16"/>
        <v>0</v>
      </c>
      <c r="I112" s="437">
        <f t="shared" si="16"/>
        <v>0</v>
      </c>
      <c r="J112" s="437">
        <f t="shared" si="16"/>
        <v>0</v>
      </c>
      <c r="K112" s="437">
        <f t="shared" si="16"/>
        <v>0</v>
      </c>
      <c r="L112" s="437">
        <f t="shared" si="16"/>
        <v>0</v>
      </c>
      <c r="M112" s="437">
        <f t="shared" si="16"/>
        <v>0</v>
      </c>
      <c r="N112" s="437">
        <f t="shared" si="16"/>
        <v>0</v>
      </c>
      <c r="O112" s="437">
        <f t="shared" si="16"/>
        <v>3600</v>
      </c>
      <c r="P112" s="437">
        <f t="shared" si="16"/>
        <v>0</v>
      </c>
      <c r="Q112" s="437">
        <f t="shared" si="16"/>
        <v>0</v>
      </c>
      <c r="R112" s="437">
        <f t="shared" si="16"/>
        <v>0</v>
      </c>
      <c r="S112" s="437">
        <f t="shared" si="16"/>
        <v>0</v>
      </c>
      <c r="T112" s="437">
        <f t="shared" si="16"/>
        <v>0</v>
      </c>
      <c r="U112" s="437">
        <f t="shared" si="16"/>
        <v>0</v>
      </c>
      <c r="V112" s="437">
        <f t="shared" si="16"/>
        <v>0</v>
      </c>
      <c r="W112" s="437">
        <f t="shared" si="16"/>
        <v>0</v>
      </c>
      <c r="X112" s="437">
        <f t="shared" si="16"/>
        <v>0</v>
      </c>
      <c r="Y112" s="437">
        <f t="shared" si="16"/>
        <v>0</v>
      </c>
      <c r="Z112" s="442"/>
      <c r="AA112" s="403"/>
    </row>
    <row r="113" spans="1:27">
      <c r="A113" s="408" t="s">
        <v>357</v>
      </c>
      <c r="B113" s="421"/>
      <c r="C113" s="454"/>
      <c r="D113" s="427">
        <f t="shared" ref="D113:Y113" si="17">D112-D111</f>
        <v>0</v>
      </c>
      <c r="E113" s="427">
        <f t="shared" si="17"/>
        <v>0</v>
      </c>
      <c r="F113" s="427">
        <f t="shared" si="17"/>
        <v>0</v>
      </c>
      <c r="G113" s="427">
        <f t="shared" si="17"/>
        <v>0</v>
      </c>
      <c r="H113" s="427">
        <f t="shared" si="17"/>
        <v>0</v>
      </c>
      <c r="I113" s="427">
        <f t="shared" ca="1" si="17"/>
        <v>-85.203585517745282</v>
      </c>
      <c r="J113" s="427">
        <f t="shared" ca="1" si="17"/>
        <v>-48.355779518811751</v>
      </c>
      <c r="K113" s="427">
        <f t="shared" ca="1" si="17"/>
        <v>-24.686247591136759</v>
      </c>
      <c r="L113" s="427">
        <f t="shared" ca="1" si="17"/>
        <v>-8.4840391509236728</v>
      </c>
      <c r="M113" s="427">
        <f t="shared" ca="1" si="17"/>
        <v>-8.4840391509236728</v>
      </c>
      <c r="N113" s="427">
        <f t="shared" ca="1" si="17"/>
        <v>-8.4840391509236728</v>
      </c>
      <c r="O113" s="427">
        <f t="shared" ca="1" si="17"/>
        <v>3591.5159608490762</v>
      </c>
      <c r="P113" s="427">
        <f t="shared" ca="1" si="17"/>
        <v>-8.4840391509236728</v>
      </c>
      <c r="Q113" s="427">
        <f t="shared" ca="1" si="17"/>
        <v>-8.4840391509236728</v>
      </c>
      <c r="R113" s="427">
        <f t="shared" ca="1" si="17"/>
        <v>-8.4840391509236728</v>
      </c>
      <c r="S113" s="427">
        <f t="shared" ca="1" si="17"/>
        <v>-8.4840391509236728</v>
      </c>
      <c r="T113" s="427">
        <f t="shared" ca="1" si="17"/>
        <v>-8.4840391509236728</v>
      </c>
      <c r="U113" s="427">
        <f t="shared" ca="1" si="17"/>
        <v>-8.4840391509236728</v>
      </c>
      <c r="V113" s="427">
        <f t="shared" ca="1" si="17"/>
        <v>-8.4840391509236728</v>
      </c>
      <c r="W113" s="427">
        <f t="shared" ca="1" si="17"/>
        <v>-8.4840391509236728</v>
      </c>
      <c r="X113" s="427">
        <f t="shared" ca="1" si="17"/>
        <v>-8.4840391509236728</v>
      </c>
      <c r="Y113" s="427">
        <f t="shared" ca="1" si="17"/>
        <v>-8.4840391509236728</v>
      </c>
      <c r="Z113" s="442"/>
      <c r="AA113" s="403"/>
    </row>
    <row r="114" spans="1:27">
      <c r="A114" s="408"/>
      <c r="B114" s="403"/>
      <c r="C114" s="404"/>
      <c r="D114" s="403"/>
      <c r="E114" s="403"/>
      <c r="F114" s="403"/>
      <c r="G114" s="403"/>
      <c r="H114" s="403"/>
      <c r="I114" s="403"/>
      <c r="J114" s="403"/>
      <c r="K114" s="403"/>
      <c r="L114" s="403"/>
      <c r="M114" s="403"/>
      <c r="N114" s="403"/>
      <c r="O114" s="403"/>
      <c r="P114" s="403"/>
      <c r="Q114" s="403"/>
      <c r="R114" s="403"/>
      <c r="S114" s="403"/>
      <c r="T114" s="403"/>
      <c r="U114" s="403"/>
      <c r="V114" s="403"/>
      <c r="W114" s="403"/>
      <c r="X114" s="403"/>
      <c r="Y114" s="403"/>
      <c r="Z114" s="403"/>
      <c r="AA114" s="403"/>
    </row>
    <row r="115" spans="1:27" ht="17.399999999999999">
      <c r="A115" s="455" t="s">
        <v>358</v>
      </c>
      <c r="B115" s="456"/>
      <c r="C115" s="417"/>
      <c r="D115" s="457">
        <f ca="1">SUM(D113:Z113)</f>
        <v>3322.9778392593739</v>
      </c>
      <c r="E115" s="408"/>
      <c r="F115" s="403"/>
      <c r="G115" s="403"/>
      <c r="H115" s="403"/>
      <c r="I115" s="403"/>
      <c r="J115" s="403"/>
      <c r="K115" s="403"/>
      <c r="L115" s="403"/>
      <c r="M115" s="403"/>
      <c r="N115" s="403"/>
      <c r="O115" s="403"/>
      <c r="P115" s="403"/>
      <c r="Q115" s="403"/>
      <c r="R115" s="403"/>
      <c r="S115" s="403"/>
      <c r="T115" s="403"/>
      <c r="U115" s="403"/>
      <c r="V115" s="403"/>
      <c r="W115" s="403"/>
      <c r="X115" s="403"/>
      <c r="Y115" s="403"/>
      <c r="Z115" s="403"/>
      <c r="AA115" s="403"/>
    </row>
    <row r="116" spans="1:27" ht="17.399999999999999">
      <c r="A116" s="458" t="s">
        <v>359</v>
      </c>
      <c r="B116" s="403"/>
      <c r="C116" s="404"/>
      <c r="D116" s="459">
        <f>D109</f>
        <v>2700</v>
      </c>
      <c r="E116" s="408"/>
      <c r="F116" s="403"/>
      <c r="G116" s="403"/>
      <c r="H116" s="403"/>
      <c r="I116" s="403"/>
      <c r="J116" s="403"/>
      <c r="K116" s="403"/>
      <c r="L116" s="403"/>
      <c r="M116" s="403"/>
      <c r="N116" s="403"/>
      <c r="O116" s="403"/>
      <c r="P116" s="403"/>
      <c r="Q116" s="403"/>
      <c r="R116" s="403"/>
      <c r="S116" s="403"/>
      <c r="T116" s="403"/>
      <c r="U116" s="403"/>
      <c r="V116" s="403"/>
      <c r="W116" s="403"/>
      <c r="X116" s="403"/>
      <c r="Y116" s="403"/>
      <c r="Z116" s="403"/>
      <c r="AA116" s="403"/>
    </row>
    <row r="117" spans="1:27">
      <c r="A117" s="460"/>
      <c r="B117" s="461"/>
      <c r="C117" s="461"/>
      <c r="D117" s="461"/>
      <c r="E117" s="403"/>
      <c r="F117" s="403"/>
      <c r="G117" s="403"/>
      <c r="H117" s="403"/>
      <c r="I117" s="403"/>
      <c r="J117" s="403"/>
      <c r="K117" s="403"/>
      <c r="L117" s="403"/>
      <c r="M117" s="403"/>
      <c r="N117" s="403"/>
      <c r="O117" s="403"/>
      <c r="P117" s="403"/>
      <c r="Q117" s="403"/>
      <c r="R117" s="403"/>
      <c r="S117" s="403"/>
      <c r="T117" s="403"/>
      <c r="U117" s="403"/>
      <c r="V117" s="403"/>
      <c r="W117" s="403"/>
      <c r="X117" s="403"/>
      <c r="Y117" s="403"/>
      <c r="Z117" s="403"/>
      <c r="AA117" s="403"/>
    </row>
    <row r="118" spans="1:27">
      <c r="A118" s="408"/>
      <c r="B118" s="403"/>
      <c r="C118" s="404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403"/>
      <c r="AA118" s="403"/>
    </row>
    <row r="119" spans="1:27">
      <c r="A119" s="416"/>
      <c r="B119" s="462"/>
      <c r="C119" s="463"/>
      <c r="D119" s="464"/>
      <c r="E119" s="464"/>
      <c r="F119" s="464"/>
      <c r="G119" s="464"/>
      <c r="H119" s="464"/>
      <c r="I119" s="464"/>
      <c r="J119" s="464"/>
      <c r="K119" s="464"/>
      <c r="L119" s="464"/>
      <c r="M119" s="464"/>
      <c r="N119" s="464"/>
      <c r="O119" s="464"/>
      <c r="P119" s="464"/>
      <c r="Q119" s="464"/>
      <c r="R119" s="464"/>
      <c r="S119" s="464"/>
      <c r="T119" s="464"/>
      <c r="U119" s="464"/>
      <c r="V119" s="464"/>
      <c r="W119" s="464"/>
      <c r="X119" s="464"/>
      <c r="Y119" s="464"/>
      <c r="Z119" s="464"/>
      <c r="AA119" s="403"/>
    </row>
    <row r="120" spans="1:27">
      <c r="A120" s="403"/>
      <c r="B120" s="419"/>
      <c r="C120" s="465"/>
      <c r="D120" s="427"/>
      <c r="E120" s="427"/>
      <c r="F120" s="427"/>
      <c r="G120" s="427"/>
      <c r="H120" s="427"/>
      <c r="I120" s="427"/>
      <c r="J120" s="427"/>
      <c r="K120" s="427"/>
      <c r="L120" s="427"/>
      <c r="M120" s="427"/>
      <c r="N120" s="427"/>
      <c r="O120" s="427"/>
      <c r="P120" s="427"/>
      <c r="Q120" s="427"/>
      <c r="R120" s="427"/>
      <c r="S120" s="427"/>
      <c r="T120" s="427"/>
      <c r="U120" s="427"/>
      <c r="V120" s="427"/>
      <c r="W120" s="427"/>
      <c r="X120" s="427"/>
      <c r="Y120" s="427"/>
      <c r="Z120" s="427"/>
      <c r="AA120" s="403"/>
    </row>
    <row r="121" spans="1:27">
      <c r="A121" s="403" t="s">
        <v>360</v>
      </c>
      <c r="B121" s="419"/>
      <c r="C121" s="465">
        <f ca="1">SUM(D121:Z121)</f>
        <v>172843.27662914325</v>
      </c>
      <c r="D121" s="427">
        <f t="shared" ref="D121:Y121" ca="1" si="18">D113+D79</f>
        <v>13111.953688293142</v>
      </c>
      <c r="E121" s="427">
        <f t="shared" ca="1" si="18"/>
        <v>7313.5196917428566</v>
      </c>
      <c r="F121" s="427">
        <f t="shared" ca="1" si="18"/>
        <v>7313.5196917428566</v>
      </c>
      <c r="G121" s="427">
        <f t="shared" ca="1" si="18"/>
        <v>7313.5196917428566</v>
      </c>
      <c r="H121" s="427">
        <f t="shared" ca="1" si="18"/>
        <v>8630.5196917428566</v>
      </c>
      <c r="I121" s="427">
        <f t="shared" ca="1" si="18"/>
        <v>25782.903434958826</v>
      </c>
      <c r="J121" s="427">
        <f t="shared" ca="1" si="18"/>
        <v>8795.1176602252381</v>
      </c>
      <c r="K121" s="427">
        <f t="shared" ca="1" si="18"/>
        <v>5656.0014150508623</v>
      </c>
      <c r="L121" s="427">
        <f t="shared" ca="1" si="18"/>
        <v>6524.1159865002192</v>
      </c>
      <c r="M121" s="427">
        <f t="shared" ca="1" si="18"/>
        <v>6524.1159865002192</v>
      </c>
      <c r="N121" s="427">
        <f t="shared" ca="1" si="18"/>
        <v>9676.1917296340453</v>
      </c>
      <c r="O121" s="427">
        <f t="shared" ca="1" si="18"/>
        <v>13276.191729634045</v>
      </c>
      <c r="P121" s="427">
        <f t="shared" ca="1" si="18"/>
        <v>17079.673269017472</v>
      </c>
      <c r="Q121" s="427">
        <f t="shared" ca="1" si="18"/>
        <v>11400.25751562318</v>
      </c>
      <c r="R121" s="427">
        <f t="shared" ca="1" si="18"/>
        <v>11400.25751562318</v>
      </c>
      <c r="S121" s="427">
        <f t="shared" ca="1" si="18"/>
        <v>13096.322166017002</v>
      </c>
      <c r="T121" s="427">
        <f t="shared" ca="1" si="18"/>
        <v>-8.4840391509236728</v>
      </c>
      <c r="U121" s="427">
        <f t="shared" ca="1" si="18"/>
        <v>-8.4840391509236728</v>
      </c>
      <c r="V121" s="427">
        <f t="shared" ca="1" si="18"/>
        <v>-8.4840391509236728</v>
      </c>
      <c r="W121" s="427">
        <f t="shared" ca="1" si="18"/>
        <v>-8.4840391509236728</v>
      </c>
      <c r="X121" s="427">
        <f t="shared" ca="1" si="18"/>
        <v>-8.4840391509236728</v>
      </c>
      <c r="Y121" s="427">
        <f t="shared" ca="1" si="18"/>
        <v>-8.4840391509236728</v>
      </c>
      <c r="Z121" s="427"/>
      <c r="AA121" s="403"/>
    </row>
    <row r="122" spans="1:27">
      <c r="A122" s="403" t="s">
        <v>361</v>
      </c>
      <c r="B122" s="419"/>
      <c r="C122" s="465"/>
      <c r="D122" s="427">
        <f t="shared" ref="D122:Y122" ca="1" si="19">D121+C122</f>
        <v>13111.953688293142</v>
      </c>
      <c r="E122" s="427">
        <f t="shared" ca="1" si="19"/>
        <v>20425.473380035997</v>
      </c>
      <c r="F122" s="427">
        <f t="shared" ca="1" si="19"/>
        <v>27738.993071778852</v>
      </c>
      <c r="G122" s="427">
        <f t="shared" ca="1" si="19"/>
        <v>35052.512763521707</v>
      </c>
      <c r="H122" s="427">
        <f t="shared" ca="1" si="19"/>
        <v>43683.032455264562</v>
      </c>
      <c r="I122" s="427">
        <f t="shared" ca="1" si="19"/>
        <v>69465.935890223394</v>
      </c>
      <c r="J122" s="427">
        <f t="shared" ca="1" si="19"/>
        <v>78261.053550448632</v>
      </c>
      <c r="K122" s="427">
        <f t="shared" ca="1" si="19"/>
        <v>83917.054965499497</v>
      </c>
      <c r="L122" s="427">
        <f t="shared" ca="1" si="19"/>
        <v>90441.170951999724</v>
      </c>
      <c r="M122" s="427">
        <f t="shared" ca="1" si="19"/>
        <v>96965.28693849995</v>
      </c>
      <c r="N122" s="427">
        <f t="shared" ca="1" si="19"/>
        <v>106641.47866813399</v>
      </c>
      <c r="O122" s="427">
        <f t="shared" ca="1" si="19"/>
        <v>119917.67039776803</v>
      </c>
      <c r="P122" s="427">
        <f t="shared" ca="1" si="19"/>
        <v>136997.34366678551</v>
      </c>
      <c r="Q122" s="427">
        <f t="shared" ca="1" si="19"/>
        <v>148397.60118240869</v>
      </c>
      <c r="R122" s="427">
        <f t="shared" ca="1" si="19"/>
        <v>159797.85869803187</v>
      </c>
      <c r="S122" s="427">
        <f t="shared" ca="1" si="19"/>
        <v>172894.18086404886</v>
      </c>
      <c r="T122" s="427">
        <f t="shared" ca="1" si="19"/>
        <v>172885.69682489792</v>
      </c>
      <c r="U122" s="427">
        <f t="shared" ca="1" si="19"/>
        <v>172877.21278574699</v>
      </c>
      <c r="V122" s="427">
        <f t="shared" ca="1" si="19"/>
        <v>172868.72874659605</v>
      </c>
      <c r="W122" s="427">
        <f t="shared" ca="1" si="19"/>
        <v>172860.24470744512</v>
      </c>
      <c r="X122" s="427">
        <f t="shared" ca="1" si="19"/>
        <v>172851.76066829418</v>
      </c>
      <c r="Y122" s="427">
        <f t="shared" ca="1" si="19"/>
        <v>172843.27662914325</v>
      </c>
      <c r="Z122" s="427"/>
      <c r="AA122" s="403"/>
    </row>
    <row r="123" spans="1:27">
      <c r="A123" s="403"/>
      <c r="B123" s="403"/>
      <c r="C123" s="404"/>
      <c r="D123" s="403"/>
      <c r="E123" s="403"/>
      <c r="F123" s="403"/>
      <c r="G123" s="403"/>
      <c r="H123" s="466"/>
      <c r="I123" s="403"/>
      <c r="J123" s="403"/>
      <c r="K123" s="403"/>
      <c r="L123" s="403"/>
      <c r="M123" s="403"/>
      <c r="N123" s="403"/>
      <c r="O123" s="403"/>
      <c r="P123" s="403"/>
      <c r="Q123" s="403"/>
      <c r="R123" s="403"/>
      <c r="S123" s="403"/>
      <c r="T123" s="403"/>
      <c r="U123" s="403"/>
      <c r="V123" s="403"/>
      <c r="W123" s="403"/>
      <c r="X123" s="403"/>
      <c r="Y123" s="403"/>
      <c r="Z123" s="403"/>
      <c r="AA123" s="403"/>
    </row>
    <row r="124" spans="1:27">
      <c r="A124" s="403" t="s">
        <v>362</v>
      </c>
      <c r="B124" s="419">
        <f>YEAR('ASSUM 1'!R7)</f>
        <v>1999</v>
      </c>
      <c r="C124" s="465">
        <f ca="1">SUM(D124:Z124)</f>
        <v>20425.473380035997</v>
      </c>
      <c r="D124" s="427">
        <f ca="1">IF(YEAR(D$8)=$B$124,D78+D113,0)</f>
        <v>13111.953688293142</v>
      </c>
      <c r="E124" s="427">
        <f t="shared" ref="E124:Y124" ca="1" si="20">IF(YEAR(E$8)=$B$124,E78+E113,0)</f>
        <v>7313.5196917428566</v>
      </c>
      <c r="F124" s="427">
        <f t="shared" si="20"/>
        <v>0</v>
      </c>
      <c r="G124" s="427">
        <f t="shared" si="20"/>
        <v>0</v>
      </c>
      <c r="H124" s="427">
        <f t="shared" si="20"/>
        <v>0</v>
      </c>
      <c r="I124" s="427">
        <f t="shared" si="20"/>
        <v>0</v>
      </c>
      <c r="J124" s="427">
        <f t="shared" si="20"/>
        <v>0</v>
      </c>
      <c r="K124" s="427">
        <f t="shared" si="20"/>
        <v>0</v>
      </c>
      <c r="L124" s="427">
        <f t="shared" si="20"/>
        <v>0</v>
      </c>
      <c r="M124" s="427">
        <f t="shared" si="20"/>
        <v>0</v>
      </c>
      <c r="N124" s="427">
        <f t="shared" si="20"/>
        <v>0</v>
      </c>
      <c r="O124" s="427">
        <f t="shared" si="20"/>
        <v>0</v>
      </c>
      <c r="P124" s="427">
        <f t="shared" si="20"/>
        <v>0</v>
      </c>
      <c r="Q124" s="427">
        <f t="shared" si="20"/>
        <v>0</v>
      </c>
      <c r="R124" s="427">
        <f t="shared" si="20"/>
        <v>0</v>
      </c>
      <c r="S124" s="427">
        <f t="shared" si="20"/>
        <v>0</v>
      </c>
      <c r="T124" s="427">
        <f t="shared" si="20"/>
        <v>0</v>
      </c>
      <c r="U124" s="427">
        <f t="shared" si="20"/>
        <v>0</v>
      </c>
      <c r="V124" s="427">
        <f t="shared" si="20"/>
        <v>0</v>
      </c>
      <c r="W124" s="427">
        <f t="shared" si="20"/>
        <v>0</v>
      </c>
      <c r="X124" s="427">
        <f t="shared" si="20"/>
        <v>0</v>
      </c>
      <c r="Y124" s="427">
        <f t="shared" si="20"/>
        <v>0</v>
      </c>
      <c r="Z124" s="427"/>
      <c r="AA124" s="403"/>
    </row>
    <row r="125" spans="1:27">
      <c r="A125" s="403"/>
      <c r="B125" s="419">
        <f>B124+1</f>
        <v>2000</v>
      </c>
      <c r="C125" s="465">
        <f ca="1">SUM(D125:Z125)</f>
        <v>40008.297198594351</v>
      </c>
      <c r="D125" s="467">
        <f>IF(YEAR(D$8)=$B$125,D$78+D113,0)</f>
        <v>0</v>
      </c>
      <c r="E125" s="467">
        <f>IF(YEAR(E$8)=$B$125,E$78+E113,0)</f>
        <v>0</v>
      </c>
      <c r="F125" s="467">
        <f ca="1">IF(YEAR(F$8)=$B$125,F$78+F113,0)</f>
        <v>7313.5196917428566</v>
      </c>
      <c r="G125" s="467">
        <f ca="1">IF(YEAR(G$8)=$B$125,G$78+G113,0)</f>
        <v>7313.5196917428566</v>
      </c>
      <c r="H125" s="467">
        <f ca="1">IF(YEAR(H$8)=$B$125,H$78+H113,0)</f>
        <v>8630.5196917428566</v>
      </c>
      <c r="I125" s="467">
        <f ca="1">-IF(I101&gt;0,SUM($D$124:H125),0)+IF(YEAR(I$8)=$B$125,I$78+I113,0)</f>
        <v>-43768.236040782307</v>
      </c>
      <c r="J125" s="467">
        <f ca="1">-IF(J101&gt;0,SUM($D$124:I125),0)+IF(YEAR(J$8)=$B$125,J$78+J113,0)</f>
        <v>-48.355779518811751</v>
      </c>
      <c r="K125" s="467">
        <f ca="1">-IF(K101&gt;0,SUM($D$124:J125),0)+IF(YEAR(K$8)=$B$125,K$78+K113,0)</f>
        <v>-24.686247591136759</v>
      </c>
      <c r="L125" s="467">
        <f ca="1">-IF(L101&gt;0,SUM($D$124:K125),0)+IF(YEAR(L$8)=$B$125,L$78+L113,0)</f>
        <v>2635.5859608490764</v>
      </c>
      <c r="M125" s="467">
        <f ca="1">-IF(M101&gt;0,SUM($D$124:L125),0)+IF(YEAR(M$8)=$B$125,M$78+M113,0)</f>
        <v>6524.1159865002192</v>
      </c>
      <c r="N125" s="467">
        <f ca="1">-IF(N101&gt;0,SUM($D$124:M125),0)+IF(YEAR(N$8)=$B$125,N$78+N113,0)</f>
        <v>9676.1917296340453</v>
      </c>
      <c r="O125" s="467">
        <f ca="1">-IF(O101&gt;0,SUM($D$124:N125),0)+IF(YEAR(O$8)=$B$125,O$78+O113,0)</f>
        <v>13276.191729634045</v>
      </c>
      <c r="P125" s="467">
        <f ca="1">-IF(P101&gt;0,SUM($D$124:O125),0)+IF(YEAR(P$8)=$B$125,P$78+P113,0)</f>
        <v>17079.673269017472</v>
      </c>
      <c r="Q125" s="467">
        <f ca="1">-IF(Q101&gt;0,SUM($D$124:P125),0)+IF(YEAR(Q$8)=$B$125,Q$78+Q113,0)</f>
        <v>11400.25751562318</v>
      </c>
      <c r="R125" s="467">
        <f>-IF(R101&gt;0,SUM($D$124:Q125),0)+IF(YEAR(R$8)=$B$125,R$78+R113,0)</f>
        <v>0</v>
      </c>
      <c r="S125" s="467">
        <f>-IF(S101&gt;0,SUM($D$124:R125),0)+IF(YEAR(S$8)=$B$125,S$78+S113,0)</f>
        <v>0</v>
      </c>
      <c r="T125" s="467">
        <f>-IF(T101&gt;0,SUM($D$124:S125),0)+IF(YEAR(T$8)=$B$125,T$78+T113,0)</f>
        <v>0</v>
      </c>
      <c r="U125" s="467">
        <f>-IF(U101&gt;0,SUM($D$124:T125),0)+IF(YEAR(U$8)=$B$125,U$78+U113,0)</f>
        <v>0</v>
      </c>
      <c r="V125" s="467">
        <f>-IF(V101&gt;0,SUM($D$124:U125),0)+IF(YEAR(V$8)=$B$125,V$78+V113,0)</f>
        <v>0</v>
      </c>
      <c r="W125" s="467">
        <f>-IF(W101&gt;0,SUM($D$124:V125),0)+IF(YEAR(W$8)=$B$125,W$78+W113,0)</f>
        <v>0</v>
      </c>
      <c r="X125" s="467">
        <f>-IF(X101&gt;0,SUM($D$124:W125),0)+IF(YEAR(X$8)=$B$125,X$78+X113,0)</f>
        <v>0</v>
      </c>
      <c r="Y125" s="467">
        <f>-IF(Y101&gt;0,SUM($D$124:X125),0)+IF(YEAR(Y$8)=$B$125,Y$78+Y113,0)</f>
        <v>0</v>
      </c>
      <c r="Z125" s="427"/>
      <c r="AA125" s="403"/>
    </row>
    <row r="126" spans="1:27">
      <c r="A126" s="403"/>
      <c r="B126" s="419">
        <f>B125+1</f>
        <v>2001</v>
      </c>
      <c r="C126" s="465">
        <f ca="1">SUM(D126:Z126)</f>
        <v>24445.675446734636</v>
      </c>
      <c r="D126" s="437">
        <f>IF(YEAR(D$8)=$B$126,D$78+D113,0)</f>
        <v>0</v>
      </c>
      <c r="E126" s="437">
        <f t="shared" ref="E126:Y126" si="21">IF(YEAR(E$8)=$B$126,E$78+E113,0)</f>
        <v>0</v>
      </c>
      <c r="F126" s="437">
        <f t="shared" si="21"/>
        <v>0</v>
      </c>
      <c r="G126" s="437">
        <f t="shared" si="21"/>
        <v>0</v>
      </c>
      <c r="H126" s="437">
        <f t="shared" si="21"/>
        <v>0</v>
      </c>
      <c r="I126" s="437">
        <f t="shared" si="21"/>
        <v>0</v>
      </c>
      <c r="J126" s="437">
        <f t="shared" si="21"/>
        <v>0</v>
      </c>
      <c r="K126" s="437">
        <f t="shared" si="21"/>
        <v>0</v>
      </c>
      <c r="L126" s="437">
        <f t="shared" si="21"/>
        <v>0</v>
      </c>
      <c r="M126" s="437">
        <f t="shared" si="21"/>
        <v>0</v>
      </c>
      <c r="N126" s="437">
        <f t="shared" si="21"/>
        <v>0</v>
      </c>
      <c r="O126" s="437">
        <f t="shared" si="21"/>
        <v>0</v>
      </c>
      <c r="P126" s="437">
        <f t="shared" si="21"/>
        <v>0</v>
      </c>
      <c r="Q126" s="437">
        <f t="shared" si="21"/>
        <v>0</v>
      </c>
      <c r="R126" s="437">
        <f t="shared" ca="1" si="21"/>
        <v>11400.25751562318</v>
      </c>
      <c r="S126" s="437">
        <f t="shared" ca="1" si="21"/>
        <v>13096.322166017002</v>
      </c>
      <c r="T126" s="437">
        <f t="shared" ca="1" si="21"/>
        <v>-8.4840391509236728</v>
      </c>
      <c r="U126" s="437">
        <f t="shared" ca="1" si="21"/>
        <v>-8.4840391509236728</v>
      </c>
      <c r="V126" s="437">
        <f t="shared" ca="1" si="21"/>
        <v>-8.4840391509236728</v>
      </c>
      <c r="W126" s="437">
        <f t="shared" ca="1" si="21"/>
        <v>-8.4840391509236728</v>
      </c>
      <c r="X126" s="437">
        <f t="shared" ca="1" si="21"/>
        <v>-8.4840391509236728</v>
      </c>
      <c r="Y126" s="437">
        <f t="shared" ca="1" si="21"/>
        <v>-8.4840391509236728</v>
      </c>
      <c r="Z126" s="437"/>
      <c r="AA126" s="403"/>
    </row>
    <row r="127" spans="1:27">
      <c r="A127" s="403" t="s">
        <v>363</v>
      </c>
      <c r="B127" s="427"/>
      <c r="C127" s="465">
        <f t="shared" ref="C127:Y127" ca="1" si="22">SUM(C124:C126)</f>
        <v>84879.446025364989</v>
      </c>
      <c r="D127" s="427">
        <f t="shared" ca="1" si="22"/>
        <v>13111.953688293142</v>
      </c>
      <c r="E127" s="427">
        <f t="shared" ca="1" si="22"/>
        <v>7313.5196917428566</v>
      </c>
      <c r="F127" s="427">
        <f t="shared" ca="1" si="22"/>
        <v>7313.5196917428566</v>
      </c>
      <c r="G127" s="427">
        <f t="shared" ca="1" si="22"/>
        <v>7313.5196917428566</v>
      </c>
      <c r="H127" s="427">
        <f t="shared" ca="1" si="22"/>
        <v>8630.5196917428566</v>
      </c>
      <c r="I127" s="427">
        <f t="shared" ca="1" si="22"/>
        <v>-43768.236040782307</v>
      </c>
      <c r="J127" s="427">
        <f t="shared" ca="1" si="22"/>
        <v>-48.355779518811751</v>
      </c>
      <c r="K127" s="427">
        <f t="shared" ca="1" si="22"/>
        <v>-24.686247591136759</v>
      </c>
      <c r="L127" s="427">
        <f t="shared" ca="1" si="22"/>
        <v>2635.5859608490764</v>
      </c>
      <c r="M127" s="427">
        <f t="shared" ca="1" si="22"/>
        <v>6524.1159865002192</v>
      </c>
      <c r="N127" s="427">
        <f t="shared" ca="1" si="22"/>
        <v>9676.1917296340453</v>
      </c>
      <c r="O127" s="427">
        <f t="shared" ca="1" si="22"/>
        <v>13276.191729634045</v>
      </c>
      <c r="P127" s="427">
        <f t="shared" ca="1" si="22"/>
        <v>17079.673269017472</v>
      </c>
      <c r="Q127" s="427">
        <f t="shared" ca="1" si="22"/>
        <v>11400.25751562318</v>
      </c>
      <c r="R127" s="427">
        <f t="shared" ca="1" si="22"/>
        <v>11400.25751562318</v>
      </c>
      <c r="S127" s="427">
        <f t="shared" ca="1" si="22"/>
        <v>13096.322166017002</v>
      </c>
      <c r="T127" s="427">
        <f t="shared" ca="1" si="22"/>
        <v>-8.4840391509236728</v>
      </c>
      <c r="U127" s="427">
        <f t="shared" ca="1" si="22"/>
        <v>-8.4840391509236728</v>
      </c>
      <c r="V127" s="427">
        <f t="shared" ca="1" si="22"/>
        <v>-8.4840391509236728</v>
      </c>
      <c r="W127" s="427">
        <f t="shared" ca="1" si="22"/>
        <v>-8.4840391509236728</v>
      </c>
      <c r="X127" s="427">
        <f t="shared" ca="1" si="22"/>
        <v>-8.4840391509236728</v>
      </c>
      <c r="Y127" s="427">
        <f t="shared" ca="1" si="22"/>
        <v>-8.4840391509236728</v>
      </c>
      <c r="Z127" s="427"/>
      <c r="AA127" s="403"/>
    </row>
    <row r="128" spans="1:27">
      <c r="A128" s="427"/>
      <c r="B128" s="427"/>
      <c r="C128" s="465"/>
      <c r="D128" s="427"/>
      <c r="E128" s="427"/>
      <c r="F128" s="427"/>
      <c r="G128" s="427"/>
      <c r="H128" s="427"/>
      <c r="I128" s="427"/>
      <c r="J128" s="427"/>
      <c r="K128" s="427"/>
      <c r="L128" s="427"/>
      <c r="M128" s="427"/>
      <c r="N128" s="427"/>
      <c r="O128" s="427"/>
      <c r="P128" s="427"/>
      <c r="Q128" s="427"/>
      <c r="R128" s="427"/>
      <c r="S128" s="427"/>
      <c r="T128" s="427"/>
      <c r="U128" s="427"/>
      <c r="V128" s="427"/>
      <c r="W128" s="427"/>
      <c r="X128" s="427"/>
      <c r="Y128" s="427"/>
      <c r="Z128" s="427"/>
      <c r="AA128" s="427"/>
    </row>
    <row r="129" spans="1:27">
      <c r="A129" s="403"/>
      <c r="B129" s="403"/>
      <c r="C129" s="404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403"/>
      <c r="AA129" s="403"/>
    </row>
    <row r="130" spans="1:27">
      <c r="A130" s="418" t="s">
        <v>364</v>
      </c>
      <c r="B130" s="403">
        <f>B124</f>
        <v>1999</v>
      </c>
      <c r="C130" s="465">
        <f ca="1">SUM(D130:Z130)</f>
        <v>20425.473380035997</v>
      </c>
      <c r="D130" s="427">
        <f t="shared" ref="D130:U130" ca="1" si="23">IF(YEAR(D$8)=$B$130,D$79-D$42-D$52-D$41,0)</f>
        <v>13111.953688293142</v>
      </c>
      <c r="E130" s="427">
        <f t="shared" ca="1" si="23"/>
        <v>7313.5196917428566</v>
      </c>
      <c r="F130" s="427">
        <f t="shared" si="23"/>
        <v>0</v>
      </c>
      <c r="G130" s="427">
        <f t="shared" si="23"/>
        <v>0</v>
      </c>
      <c r="H130" s="427">
        <f t="shared" si="23"/>
        <v>0</v>
      </c>
      <c r="I130" s="427">
        <f t="shared" si="23"/>
        <v>0</v>
      </c>
      <c r="J130" s="427">
        <f t="shared" si="23"/>
        <v>0</v>
      </c>
      <c r="K130" s="427">
        <f t="shared" si="23"/>
        <v>0</v>
      </c>
      <c r="L130" s="427">
        <f t="shared" si="23"/>
        <v>0</v>
      </c>
      <c r="M130" s="427">
        <f t="shared" si="23"/>
        <v>0</v>
      </c>
      <c r="N130" s="427">
        <f t="shared" si="23"/>
        <v>0</v>
      </c>
      <c r="O130" s="427">
        <f t="shared" si="23"/>
        <v>0</v>
      </c>
      <c r="P130" s="427">
        <f t="shared" si="23"/>
        <v>0</v>
      </c>
      <c r="Q130" s="427">
        <f t="shared" si="23"/>
        <v>0</v>
      </c>
      <c r="R130" s="427">
        <f t="shared" si="23"/>
        <v>0</v>
      </c>
      <c r="S130" s="427">
        <f t="shared" si="23"/>
        <v>0</v>
      </c>
      <c r="T130" s="427">
        <f t="shared" si="23"/>
        <v>0</v>
      </c>
      <c r="U130" s="427">
        <f t="shared" si="23"/>
        <v>0</v>
      </c>
      <c r="V130" s="427"/>
      <c r="W130" s="427"/>
      <c r="X130" s="427"/>
      <c r="Y130" s="427"/>
      <c r="Z130" s="427"/>
      <c r="AA130" s="403"/>
    </row>
    <row r="131" spans="1:27">
      <c r="A131" s="403"/>
      <c r="B131" s="403">
        <f>B125</f>
        <v>2000</v>
      </c>
      <c r="C131" s="465">
        <f ca="1">SUM(D131:Z131)</f>
        <v>112274.04764990593</v>
      </c>
      <c r="D131" s="427">
        <f t="shared" ref="D131:U131" si="24">IF(YEAR(D$8)=$B$131,D$79-D$42-D$52-D$41,0)</f>
        <v>0</v>
      </c>
      <c r="E131" s="427">
        <f t="shared" si="24"/>
        <v>0</v>
      </c>
      <c r="F131" s="427">
        <f t="shared" ca="1" si="24"/>
        <v>7313.5196917428566</v>
      </c>
      <c r="G131" s="427">
        <f t="shared" ca="1" si="24"/>
        <v>7313.5196917428566</v>
      </c>
      <c r="H131" s="427">
        <f t="shared" ca="1" si="24"/>
        <v>8630.5196917428566</v>
      </c>
      <c r="I131" s="427">
        <f t="shared" ca="1" si="24"/>
        <v>13560.87702047657</v>
      </c>
      <c r="J131" s="427">
        <f t="shared" ca="1" si="24"/>
        <v>8843.4734397440498</v>
      </c>
      <c r="K131" s="427">
        <f t="shared" ca="1" si="24"/>
        <v>5680.6876626419989</v>
      </c>
      <c r="L131" s="427">
        <f t="shared" ca="1" si="24"/>
        <v>6532.6000256511425</v>
      </c>
      <c r="M131" s="427">
        <f t="shared" ca="1" si="24"/>
        <v>6532.6000256511425</v>
      </c>
      <c r="N131" s="427">
        <f t="shared" ca="1" si="24"/>
        <v>9684.6757687849695</v>
      </c>
      <c r="O131" s="427">
        <f t="shared" ca="1" si="24"/>
        <v>9684.6757687849695</v>
      </c>
      <c r="P131" s="427">
        <f t="shared" ca="1" si="24"/>
        <v>17088.157308168396</v>
      </c>
      <c r="Q131" s="427">
        <f t="shared" ca="1" si="24"/>
        <v>11408.741554774104</v>
      </c>
      <c r="R131" s="427">
        <f t="shared" si="24"/>
        <v>0</v>
      </c>
      <c r="S131" s="427">
        <f t="shared" si="24"/>
        <v>0</v>
      </c>
      <c r="T131" s="427">
        <f t="shared" si="24"/>
        <v>0</v>
      </c>
      <c r="U131" s="427">
        <f t="shared" si="24"/>
        <v>0</v>
      </c>
      <c r="V131" s="427"/>
      <c r="W131" s="427"/>
      <c r="X131" s="427"/>
      <c r="Y131" s="427"/>
      <c r="Z131" s="427"/>
      <c r="AA131" s="403"/>
    </row>
    <row r="132" spans="1:27">
      <c r="A132" s="403"/>
      <c r="B132" s="403">
        <f>B126</f>
        <v>2001</v>
      </c>
      <c r="C132" s="465">
        <f ca="1">SUM(D132:Z132)</f>
        <v>24513.54775994203</v>
      </c>
      <c r="D132" s="437">
        <f t="shared" ref="D132:U132" si="25">IF(YEAR(D$8)=$B$132,D$79-D$42-D$52-D$41,0)</f>
        <v>0</v>
      </c>
      <c r="E132" s="437">
        <f t="shared" si="25"/>
        <v>0</v>
      </c>
      <c r="F132" s="437">
        <f t="shared" si="25"/>
        <v>0</v>
      </c>
      <c r="G132" s="437">
        <f t="shared" si="25"/>
        <v>0</v>
      </c>
      <c r="H132" s="437">
        <f t="shared" si="25"/>
        <v>0</v>
      </c>
      <c r="I132" s="437">
        <f t="shared" si="25"/>
        <v>0</v>
      </c>
      <c r="J132" s="437">
        <f t="shared" si="25"/>
        <v>0</v>
      </c>
      <c r="K132" s="437">
        <f t="shared" si="25"/>
        <v>0</v>
      </c>
      <c r="L132" s="437">
        <f t="shared" si="25"/>
        <v>0</v>
      </c>
      <c r="M132" s="437">
        <f t="shared" si="25"/>
        <v>0</v>
      </c>
      <c r="N132" s="437">
        <f t="shared" si="25"/>
        <v>0</v>
      </c>
      <c r="O132" s="437">
        <f t="shared" si="25"/>
        <v>0</v>
      </c>
      <c r="P132" s="437">
        <f t="shared" si="25"/>
        <v>0</v>
      </c>
      <c r="Q132" s="437">
        <f t="shared" si="25"/>
        <v>0</v>
      </c>
      <c r="R132" s="437">
        <f t="shared" ca="1" si="25"/>
        <v>11408.741554774104</v>
      </c>
      <c r="S132" s="437">
        <f t="shared" ca="1" si="25"/>
        <v>13104.806205167926</v>
      </c>
      <c r="T132" s="437">
        <f t="shared" ca="1" si="25"/>
        <v>0</v>
      </c>
      <c r="U132" s="437">
        <f t="shared" ca="1" si="25"/>
        <v>0</v>
      </c>
      <c r="V132" s="437"/>
      <c r="W132" s="437"/>
      <c r="X132" s="437"/>
      <c r="Y132" s="437"/>
      <c r="Z132" s="437"/>
      <c r="AA132" s="403"/>
    </row>
    <row r="133" spans="1:27">
      <c r="A133" s="403"/>
      <c r="B133" s="403"/>
      <c r="C133" s="465">
        <f t="shared" ref="C133:Y133" ca="1" si="26">SUM(C130:C132)</f>
        <v>157213.06878988395</v>
      </c>
      <c r="D133" s="427">
        <f t="shared" ca="1" si="26"/>
        <v>13111.953688293142</v>
      </c>
      <c r="E133" s="427">
        <f t="shared" ca="1" si="26"/>
        <v>7313.5196917428566</v>
      </c>
      <c r="F133" s="427">
        <f t="shared" ca="1" si="26"/>
        <v>7313.5196917428566</v>
      </c>
      <c r="G133" s="427">
        <f t="shared" ca="1" si="26"/>
        <v>7313.5196917428566</v>
      </c>
      <c r="H133" s="427">
        <f t="shared" ca="1" si="26"/>
        <v>8630.5196917428566</v>
      </c>
      <c r="I133" s="427">
        <f t="shared" ca="1" si="26"/>
        <v>13560.87702047657</v>
      </c>
      <c r="J133" s="427">
        <f t="shared" ca="1" si="26"/>
        <v>8843.4734397440498</v>
      </c>
      <c r="K133" s="427">
        <f t="shared" ca="1" si="26"/>
        <v>5680.6876626419989</v>
      </c>
      <c r="L133" s="427">
        <f t="shared" ca="1" si="26"/>
        <v>6532.6000256511425</v>
      </c>
      <c r="M133" s="427">
        <f t="shared" ca="1" si="26"/>
        <v>6532.6000256511425</v>
      </c>
      <c r="N133" s="427">
        <f t="shared" ca="1" si="26"/>
        <v>9684.6757687849695</v>
      </c>
      <c r="O133" s="427">
        <f t="shared" ca="1" si="26"/>
        <v>9684.6757687849695</v>
      </c>
      <c r="P133" s="427">
        <f t="shared" ca="1" si="26"/>
        <v>17088.157308168396</v>
      </c>
      <c r="Q133" s="427">
        <f t="shared" ca="1" si="26"/>
        <v>11408.741554774104</v>
      </c>
      <c r="R133" s="427">
        <f t="shared" ca="1" si="26"/>
        <v>11408.741554774104</v>
      </c>
      <c r="S133" s="427">
        <f t="shared" ca="1" si="26"/>
        <v>13104.806205167926</v>
      </c>
      <c r="T133" s="427">
        <f t="shared" ca="1" si="26"/>
        <v>0</v>
      </c>
      <c r="U133" s="427">
        <f t="shared" ca="1" si="26"/>
        <v>0</v>
      </c>
      <c r="V133" s="427">
        <f t="shared" si="26"/>
        <v>0</v>
      </c>
      <c r="W133" s="427">
        <f t="shared" si="26"/>
        <v>0</v>
      </c>
      <c r="X133" s="427">
        <f t="shared" si="26"/>
        <v>0</v>
      </c>
      <c r="Y133" s="427">
        <f t="shared" si="26"/>
        <v>0</v>
      </c>
      <c r="Z133" s="427"/>
      <c r="AA133" s="403"/>
    </row>
  </sheetData>
  <pageMargins left="0.5" right="0.55347222222222203" top="0.5" bottom="0.75" header="0.5" footer="0.25"/>
  <pageSetup scale="46" firstPageNumber="4" orientation="landscape" verticalDpi="0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1" manualBreakCount="1">
    <brk id="81" max="19" man="1"/>
  </rowBreaks>
  <colBreaks count="1" manualBreakCount="1">
    <brk id="25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A71"/>
  <sheetViews>
    <sheetView showOutlineSymbols="0" view="pageBreakPreview" topLeftCell="A43" zoomScale="60" zoomScaleNormal="75" workbookViewId="0">
      <selection activeCell="A43" sqref="A1:IV65536"/>
    </sheetView>
  </sheetViews>
  <sheetFormatPr defaultColWidth="9.81640625" defaultRowHeight="15.6"/>
  <cols>
    <col min="1" max="1" width="25.81640625" style="473" customWidth="1"/>
    <col min="2" max="4" width="9.81640625" style="501" customWidth="1"/>
    <col min="5" max="16384" width="9.81640625" style="473"/>
  </cols>
  <sheetData>
    <row r="1" spans="1:27" ht="22.2">
      <c r="A1" s="468" t="str">
        <f>+Tariff!A1</f>
        <v>DELMARVA, VA</v>
      </c>
      <c r="B1" s="469"/>
      <c r="C1" s="470"/>
      <c r="D1" s="471"/>
      <c r="E1" s="472"/>
      <c r="G1" s="474"/>
      <c r="H1" s="474"/>
      <c r="I1" s="474"/>
      <c r="J1" s="474"/>
      <c r="K1" s="474"/>
      <c r="L1" s="474"/>
      <c r="M1" s="474"/>
      <c r="N1" s="474"/>
      <c r="O1" s="474"/>
      <c r="P1" s="474"/>
      <c r="Q1" s="474"/>
      <c r="R1" s="474"/>
      <c r="S1" s="474"/>
      <c r="T1" s="470"/>
      <c r="U1" s="470"/>
      <c r="V1" s="470"/>
      <c r="W1" s="470"/>
      <c r="X1" s="470"/>
      <c r="Y1" s="470"/>
      <c r="Z1" s="470"/>
      <c r="AA1" s="474"/>
    </row>
    <row r="2" spans="1:27">
      <c r="A2" s="475" t="s">
        <v>365</v>
      </c>
      <c r="B2" s="476"/>
      <c r="C2" s="470"/>
      <c r="D2" s="471"/>
      <c r="E2" s="471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477"/>
      <c r="U2" s="477"/>
      <c r="V2" s="477"/>
      <c r="W2" s="477"/>
      <c r="X2" s="477"/>
      <c r="Y2" s="477"/>
      <c r="Z2" s="477"/>
      <c r="AA2" s="474"/>
    </row>
    <row r="3" spans="1:27">
      <c r="A3" s="478"/>
      <c r="B3" s="479"/>
      <c r="C3" s="472"/>
      <c r="D3" s="472"/>
      <c r="E3" s="471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80"/>
      <c r="U3" s="480"/>
      <c r="V3" s="480"/>
      <c r="W3" s="480"/>
      <c r="X3" s="480"/>
      <c r="Y3" s="480"/>
      <c r="Z3" s="480"/>
      <c r="AA3" s="474"/>
    </row>
    <row r="4" spans="1:27">
      <c r="B4" s="472"/>
      <c r="C4" s="481"/>
      <c r="D4" s="481"/>
      <c r="E4" s="471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80"/>
      <c r="U4" s="480"/>
      <c r="V4" s="480"/>
      <c r="W4" s="480"/>
      <c r="X4" s="480"/>
      <c r="Y4" s="480"/>
      <c r="Z4" s="480"/>
      <c r="AA4" s="474"/>
    </row>
    <row r="5" spans="1:27" ht="12.75" customHeight="1">
      <c r="A5" s="482"/>
      <c r="B5" s="483"/>
      <c r="C5" s="483"/>
      <c r="D5" s="483"/>
      <c r="E5" s="483"/>
      <c r="F5" s="482"/>
      <c r="G5" s="482"/>
      <c r="H5" s="482"/>
      <c r="I5" s="482"/>
      <c r="J5" s="482"/>
      <c r="K5" s="482"/>
      <c r="L5" s="482"/>
      <c r="M5" s="482"/>
      <c r="N5" s="482"/>
      <c r="O5" s="482"/>
      <c r="P5" s="482"/>
      <c r="Q5" s="482"/>
      <c r="R5" s="482"/>
      <c r="S5" s="482"/>
      <c r="T5" s="482"/>
      <c r="U5" s="482"/>
      <c r="V5" s="482"/>
      <c r="W5" s="482"/>
      <c r="X5" s="482"/>
      <c r="Y5" s="482"/>
      <c r="Z5" s="482"/>
      <c r="AA5" s="484"/>
    </row>
    <row r="6" spans="1:27">
      <c r="B6" s="472"/>
      <c r="C6" s="472"/>
      <c r="D6" s="472"/>
      <c r="E6" s="485"/>
      <c r="AA6" s="484"/>
    </row>
    <row r="7" spans="1:27">
      <c r="A7" s="486" t="str">
        <f>FUEL!A5</f>
        <v>US $ 000s</v>
      </c>
      <c r="B7" s="487"/>
      <c r="C7" s="472"/>
      <c r="D7" s="488"/>
      <c r="E7" s="472"/>
      <c r="F7" s="486">
        <f ca="1">'TAXDEPR 144A'!F7</f>
        <v>2000</v>
      </c>
      <c r="G7" s="486">
        <f t="shared" ref="G7:Y7" ca="1" si="0">F7+1</f>
        <v>2001</v>
      </c>
      <c r="H7" s="486">
        <f t="shared" ca="1" si="0"/>
        <v>2002</v>
      </c>
      <c r="I7" s="486">
        <f t="shared" ca="1" si="0"/>
        <v>2003</v>
      </c>
      <c r="J7" s="486">
        <f t="shared" ca="1" si="0"/>
        <v>2004</v>
      </c>
      <c r="K7" s="486">
        <f t="shared" ca="1" si="0"/>
        <v>2005</v>
      </c>
      <c r="L7" s="486">
        <f t="shared" ca="1" si="0"/>
        <v>2006</v>
      </c>
      <c r="M7" s="486">
        <f t="shared" ca="1" si="0"/>
        <v>2007</v>
      </c>
      <c r="N7" s="486">
        <f t="shared" ca="1" si="0"/>
        <v>2008</v>
      </c>
      <c r="O7" s="486">
        <f t="shared" ca="1" si="0"/>
        <v>2009</v>
      </c>
      <c r="P7" s="486">
        <f t="shared" ca="1" si="0"/>
        <v>2010</v>
      </c>
      <c r="Q7" s="486">
        <f t="shared" ca="1" si="0"/>
        <v>2011</v>
      </c>
      <c r="R7" s="486">
        <f t="shared" ca="1" si="0"/>
        <v>2012</v>
      </c>
      <c r="S7" s="486">
        <f t="shared" ca="1" si="0"/>
        <v>2013</v>
      </c>
      <c r="T7" s="486">
        <f t="shared" ca="1" si="0"/>
        <v>2014</v>
      </c>
      <c r="U7" s="486">
        <f t="shared" ca="1" si="0"/>
        <v>2015</v>
      </c>
      <c r="V7" s="486">
        <f t="shared" ca="1" si="0"/>
        <v>2016</v>
      </c>
      <c r="W7" s="486">
        <f t="shared" ca="1" si="0"/>
        <v>2017</v>
      </c>
      <c r="X7" s="486">
        <f t="shared" ca="1" si="0"/>
        <v>2018</v>
      </c>
      <c r="Y7" s="486">
        <f t="shared" ca="1" si="0"/>
        <v>2019</v>
      </c>
      <c r="Z7" s="486"/>
      <c r="AA7" s="486"/>
    </row>
    <row r="8" spans="1:27">
      <c r="A8" s="484" t="str">
        <f>FUEL!A6</f>
        <v>Year</v>
      </c>
      <c r="B8" s="488"/>
      <c r="C8" s="472"/>
      <c r="D8" s="489"/>
      <c r="E8" s="489"/>
      <c r="F8" s="484">
        <f ca="1">FUEL!C6</f>
        <v>1</v>
      </c>
      <c r="G8" s="484">
        <f ca="1">FUEL!E6</f>
        <v>3</v>
      </c>
      <c r="H8" s="484">
        <f ca="1">FUEL!F6</f>
        <v>4</v>
      </c>
      <c r="I8" s="484">
        <f ca="1">FUEL!G6</f>
        <v>5</v>
      </c>
      <c r="J8" s="484">
        <f ca="1">FUEL!H6</f>
        <v>6</v>
      </c>
      <c r="K8" s="484">
        <f ca="1">FUEL!I6</f>
        <v>7</v>
      </c>
      <c r="L8" s="484">
        <f ca="1">FUEL!J6</f>
        <v>8</v>
      </c>
      <c r="M8" s="484">
        <f ca="1">FUEL!K6</f>
        <v>9</v>
      </c>
      <c r="N8" s="484">
        <f ca="1">FUEL!L6</f>
        <v>10</v>
      </c>
      <c r="O8" s="484">
        <f ca="1">FUEL!M6</f>
        <v>11</v>
      </c>
      <c r="P8" s="484">
        <f ca="1">FUEL!N6</f>
        <v>12</v>
      </c>
      <c r="Q8" s="484">
        <f ca="1">FUEL!O6</f>
        <v>13</v>
      </c>
      <c r="R8" s="484">
        <f ca="1">FUEL!P6</f>
        <v>14</v>
      </c>
      <c r="S8" s="484">
        <f ca="1">FUEL!Q6</f>
        <v>15</v>
      </c>
      <c r="T8" s="484">
        <f ca="1">FUEL!R6</f>
        <v>16</v>
      </c>
      <c r="U8" s="484">
        <f ca="1">FUEL!S6</f>
        <v>17</v>
      </c>
      <c r="V8" s="484">
        <f ca="1">FUEL!T6</f>
        <v>18</v>
      </c>
      <c r="W8" s="484">
        <f ca="1">FUEL!U6</f>
        <v>19</v>
      </c>
      <c r="X8" s="484">
        <f ca="1">FUEL!V6</f>
        <v>20</v>
      </c>
      <c r="Y8" s="484">
        <f>FUEL!W6</f>
        <v>0</v>
      </c>
      <c r="Z8" s="484"/>
      <c r="AA8" s="484"/>
    </row>
    <row r="9" spans="1:27">
      <c r="A9" s="484" t="str">
        <f>FUEL!A7</f>
        <v>Months of Operation</v>
      </c>
      <c r="B9" s="488"/>
      <c r="C9" s="472"/>
      <c r="D9" s="488"/>
      <c r="E9" s="488"/>
      <c r="F9" s="484">
        <f ca="1">FUEL!C7</f>
        <v>7</v>
      </c>
      <c r="G9" s="484">
        <f ca="1">FUEL!D7</f>
        <v>12</v>
      </c>
      <c r="H9" s="484">
        <f ca="1">FUEL!E7</f>
        <v>12</v>
      </c>
      <c r="I9" s="484">
        <f ca="1">FUEL!F7</f>
        <v>12</v>
      </c>
      <c r="J9" s="484">
        <f ca="1">FUEL!G7</f>
        <v>12</v>
      </c>
      <c r="K9" s="484">
        <f ca="1">FUEL!H7</f>
        <v>12</v>
      </c>
      <c r="L9" s="484">
        <f ca="1">FUEL!I7</f>
        <v>12</v>
      </c>
      <c r="M9" s="484">
        <f ca="1">FUEL!J7</f>
        <v>12</v>
      </c>
      <c r="N9" s="484">
        <f ca="1">FUEL!K7</f>
        <v>12</v>
      </c>
      <c r="O9" s="484">
        <f ca="1">FUEL!L7</f>
        <v>12</v>
      </c>
      <c r="P9" s="484">
        <f ca="1">FUEL!M7</f>
        <v>12</v>
      </c>
      <c r="Q9" s="484">
        <f ca="1">FUEL!N7</f>
        <v>12</v>
      </c>
      <c r="R9" s="484">
        <f ca="1">FUEL!O7</f>
        <v>12</v>
      </c>
      <c r="S9" s="484">
        <f ca="1">FUEL!P7</f>
        <v>12</v>
      </c>
      <c r="T9" s="484">
        <f ca="1">FUEL!Q7</f>
        <v>12</v>
      </c>
      <c r="U9" s="484">
        <f ca="1">FUEL!R7</f>
        <v>12</v>
      </c>
      <c r="V9" s="484">
        <f ca="1">FUEL!S7</f>
        <v>12</v>
      </c>
      <c r="W9" s="484">
        <f ca="1">FUEL!T7</f>
        <v>12</v>
      </c>
      <c r="X9" s="484">
        <f ca="1">FUEL!U7</f>
        <v>12</v>
      </c>
      <c r="Y9" s="484">
        <f ca="1">FUEL!V7</f>
        <v>12</v>
      </c>
      <c r="Z9" s="484"/>
      <c r="AA9" s="484"/>
    </row>
    <row r="10" spans="1:27">
      <c r="A10" s="484"/>
      <c r="B10" s="488"/>
      <c r="C10" s="472"/>
      <c r="D10" s="488"/>
      <c r="E10" s="488"/>
      <c r="F10" s="484"/>
      <c r="G10" s="484"/>
      <c r="H10" s="484"/>
      <c r="I10" s="484"/>
      <c r="J10" s="484"/>
      <c r="K10" s="484"/>
      <c r="L10" s="484"/>
      <c r="M10" s="484"/>
      <c r="N10" s="484"/>
      <c r="O10" s="484"/>
      <c r="P10" s="484"/>
      <c r="Q10" s="484"/>
      <c r="R10" s="484"/>
      <c r="S10" s="484"/>
      <c r="T10" s="484"/>
      <c r="U10" s="484"/>
      <c r="V10" s="484"/>
      <c r="W10" s="484"/>
      <c r="X10" s="484"/>
      <c r="Y10" s="484"/>
      <c r="Z10" s="484"/>
      <c r="AA10" s="484"/>
    </row>
    <row r="11" spans="1:27" ht="16.2">
      <c r="A11" s="490"/>
      <c r="B11" s="491" t="s">
        <v>366</v>
      </c>
      <c r="C11" s="491" t="s">
        <v>367</v>
      </c>
      <c r="D11" s="488"/>
      <c r="E11" s="491"/>
      <c r="AA11" s="484"/>
    </row>
    <row r="12" spans="1:27" ht="16.2">
      <c r="A12" s="486"/>
      <c r="B12" s="492" t="s">
        <v>368</v>
      </c>
      <c r="C12" s="492" t="s">
        <v>142</v>
      </c>
      <c r="D12" s="492" t="s">
        <v>143</v>
      </c>
      <c r="E12" s="492" t="s">
        <v>343</v>
      </c>
      <c r="G12" s="484"/>
      <c r="H12" s="484"/>
      <c r="I12" s="484"/>
      <c r="J12" s="484"/>
      <c r="K12" s="484"/>
      <c r="L12" s="484"/>
      <c r="M12" s="484"/>
      <c r="N12" s="484"/>
      <c r="O12" s="484"/>
      <c r="P12" s="484"/>
      <c r="Q12" s="484"/>
      <c r="R12" s="484"/>
      <c r="S12" s="484"/>
      <c r="T12" s="484"/>
      <c r="U12" s="484"/>
      <c r="V12" s="484"/>
      <c r="W12" s="484"/>
      <c r="X12" s="484"/>
      <c r="Y12" s="484"/>
      <c r="Z12" s="484"/>
      <c r="AA12" s="484"/>
    </row>
    <row r="13" spans="1:27">
      <c r="A13" s="484"/>
      <c r="B13" s="488"/>
      <c r="C13" s="488"/>
      <c r="D13" s="488"/>
      <c r="E13" s="488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  <c r="AA13" s="484"/>
    </row>
    <row r="14" spans="1:27" ht="16.2">
      <c r="A14" s="494" t="str">
        <f ca="1">'TAXDEPR 144A'!A14</f>
        <v>Major Equipment</v>
      </c>
      <c r="B14" s="491"/>
      <c r="C14" s="488"/>
      <c r="D14" s="488"/>
      <c r="E14" s="488"/>
      <c r="F14" s="495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  <c r="AA14" s="484"/>
    </row>
    <row r="15" spans="1:27" ht="16.2">
      <c r="A15" s="494" t="str">
        <f ca="1">'TAXDEPR 144A'!A15</f>
        <v>Equipment Costs</v>
      </c>
      <c r="B15" s="488">
        <v>1</v>
      </c>
      <c r="C15" s="496">
        <f>IF(B15=1,'ASSUM 2'!E9,0)</f>
        <v>124.665655348</v>
      </c>
      <c r="D15" s="488">
        <f>'ASSUM 2'!M9</f>
        <v>1</v>
      </c>
      <c r="E15" s="497">
        <f>IF(D15=1,'ASSUM 1'!H10,IF(D15=2,'ASSUM 1'!H11,IF(D15=3,'ASSUM 1'!H12,IF(D15=4,'ASSUM 1'!H13,IF(D15=5,'ASSUM 1'!H14,IF(D15=6,'ASSUM 1'!H15,'ASSUM 1'!H21))))))</f>
        <v>3.5087719298245612E-2</v>
      </c>
      <c r="F15" s="495">
        <f ca="1">$C15*$E15*1000*F$9/12</f>
        <v>2551.6362205730993</v>
      </c>
      <c r="G15" s="493">
        <f ca="1">IF(SUM($F15:F15)&lt;$C15*1000,MIN(+$C15*$E15*1000,$C15*1000-SUM($F15:F15)),0)</f>
        <v>4374.233520982456</v>
      </c>
      <c r="H15" s="493">
        <f ca="1">IF(SUM($F15:G15)&lt;$C15*1000,MIN(+$C15*$E15*1000,$C15*1000-SUM($F15:G15)),0)</f>
        <v>4374.233520982456</v>
      </c>
      <c r="I15" s="493">
        <f ca="1">IF(SUM($F15:H15)&lt;$C15*1000,MIN(+$C15*$E15*1000,$C15*1000-SUM($F15:H15)),0)</f>
        <v>4374.233520982456</v>
      </c>
      <c r="J15" s="493">
        <f ca="1">IF(SUM($F15:I15)&lt;$C15*1000,MIN(+$C15*$E15*1000,$C15*1000-SUM($F15:I15)),0)</f>
        <v>4374.233520982456</v>
      </c>
      <c r="K15" s="493">
        <f ca="1">IF(SUM($F15:J15)&lt;$C15*1000,MIN(+$C15*$E15*1000,$C15*1000-SUM($F15:J15)),0)</f>
        <v>4374.233520982456</v>
      </c>
      <c r="L15" s="493">
        <f ca="1">IF(SUM($F15:K15)&lt;$C15*1000,MIN(+$C15*$E15*1000,$C15*1000-SUM($F15:K15)),0)</f>
        <v>4374.233520982456</v>
      </c>
      <c r="M15" s="493">
        <f ca="1">IF(SUM($F15:L15)&lt;$C15*1000,MIN(+$C15*$E15*1000,$C15*1000-SUM($F15:L15)),0)</f>
        <v>4374.233520982456</v>
      </c>
      <c r="N15" s="493">
        <f ca="1">IF(SUM($F15:M15)&lt;$C15*1000,MIN(+$C15*$E15*1000,$C15*1000-SUM($F15:M15)),0)</f>
        <v>4374.233520982456</v>
      </c>
      <c r="O15" s="493">
        <f ca="1">IF(SUM($F15:N15)&lt;$C15*1000,MIN(+$C15*$E15*1000,$C15*1000-SUM($F15:N15)),0)</f>
        <v>4374.233520982456</v>
      </c>
      <c r="P15" s="493">
        <f ca="1">IF(SUM($F15:O15)&lt;$C15*1000,MIN(+$C15*$E15*1000,$C15*1000-SUM($F15:O15)),0)</f>
        <v>4374.233520982456</v>
      </c>
      <c r="Q15" s="493">
        <f ca="1">IF(SUM($F15:P15)&lt;$C15*1000,MIN(+$C15*$E15*1000,$C15*1000-SUM($F15:P15)),0)</f>
        <v>4374.233520982456</v>
      </c>
      <c r="R15" s="493">
        <f ca="1">IF(SUM($F15:Q15)&lt;$C15*1000,MIN(+$C15*$E15*1000,$C15*1000-SUM($F15:Q15)),0)</f>
        <v>4374.233520982456</v>
      </c>
      <c r="S15" s="493">
        <f ca="1">IF(SUM($F15:R15)&lt;$C15*1000,MIN(+$C15*$E15*1000,$C15*1000-SUM($F15:R15)),0)</f>
        <v>4374.233520982456</v>
      </c>
      <c r="T15" s="493">
        <f ca="1">IF(SUM($F15:S15)&lt;$C15*1000,MIN(+$C15*$E15*1000,$C15*1000-SUM($F15:S15)),0)</f>
        <v>4374.233520982456</v>
      </c>
      <c r="U15" s="493">
        <f ca="1">IF(SUM($F15:T15)&lt;$C15*1000,MIN(+$C15*$E15*1000,$C15*1000-SUM($F15:T15)),0)</f>
        <v>4374.233520982456</v>
      </c>
      <c r="V15" s="493">
        <f ca="1">IF(SUM($F15:U15)&lt;$C15*1000,MIN(+$C15*$E15*1000,$C15*1000-SUM($F15:U15)),0)</f>
        <v>4374.233520982456</v>
      </c>
      <c r="W15" s="493">
        <f ca="1">IF(SUM($F15:V15)&lt;$C15*1000,MIN(+$C15*$E15*1000,$C15*1000-SUM($F15:V15)),0)</f>
        <v>4374.233520982456</v>
      </c>
      <c r="X15" s="493">
        <f ca="1">IF(SUM($F15:W15)&lt;$C15*1000,MIN(+$C15*$E15*1000,$C15*1000-SUM($F15:W15)),0)</f>
        <v>4374.233520982456</v>
      </c>
      <c r="Y15" s="493">
        <f ca="1">IF(SUM($F15:X15)&lt;$C15*1000,MIN(+$C15*$E15*1000,$C15*1000-SUM($F15:X15)),0)</f>
        <v>4374.233520982456</v>
      </c>
      <c r="Z15" s="493"/>
      <c r="AA15" s="498">
        <f ca="1">SUM(F15:Y15)-C15*1000</f>
        <v>-39003.582228760279</v>
      </c>
    </row>
    <row r="16" spans="1:27" ht="16.2">
      <c r="A16" s="494" t="str">
        <f ca="1">'TAXDEPR 144A'!A16</f>
        <v>Balance of EPC</v>
      </c>
      <c r="B16" s="488">
        <v>1</v>
      </c>
      <c r="C16" s="496">
        <f>IF(B16=1,'ASSUM 2'!E10,0)</f>
        <v>12.291738486857142</v>
      </c>
      <c r="D16" s="488">
        <f>'ASSUM 2'!M10</f>
        <v>1</v>
      </c>
      <c r="E16" s="497">
        <f>IF(D16=1,'ASSUM 1'!H10,IF(D16=2,'ASSUM 1'!H11,IF(D16=3,'ASSUM 1'!H12,IF(D16=4,'ASSUM 1'!H13,IF(D16=5,'ASSUM 1'!H14,IF(D16=6,'ASSUM 1'!H15,'ASSUM 1'!H21))))))</f>
        <v>3.5087719298245612E-2</v>
      </c>
      <c r="F16" s="495">
        <f ca="1">$C16*$E16*1000*F$9/12</f>
        <v>251.58529066666662</v>
      </c>
      <c r="G16" s="493">
        <f ca="1">IF(SUM($F16:F16)&lt;$C16*1000,MIN(+$C16*$E16*1000,$C16*1000-SUM($F16:F16)),0)</f>
        <v>431.28906971428563</v>
      </c>
      <c r="H16" s="493">
        <f ca="1">IF(SUM($F16:G16)&lt;$C16*1000,MIN(+$C16*$E16*1000,$C16*1000-SUM($F16:G16)),0)</f>
        <v>431.28906971428563</v>
      </c>
      <c r="I16" s="493">
        <f ca="1">IF(SUM($F16:H16)&lt;$C16*1000,MIN(+$C16*$E16*1000,$C16*1000-SUM($F16:H16)),0)</f>
        <v>431.28906971428563</v>
      </c>
      <c r="J16" s="493">
        <f ca="1">IF(SUM($F16:I16)&lt;$C16*1000,MIN(+$C16*$E16*1000,$C16*1000-SUM($F16:I16)),0)</f>
        <v>431.28906971428563</v>
      </c>
      <c r="K16" s="493">
        <f ca="1">IF(SUM($F16:J16)&lt;$C16*1000,MIN(+$C16*$E16*1000,$C16*1000-SUM($F16:J16)),0)</f>
        <v>431.28906971428563</v>
      </c>
      <c r="L16" s="493">
        <f ca="1">IF(SUM($F16:K16)&lt;$C16*1000,MIN(+$C16*$E16*1000,$C16*1000-SUM($F16:K16)),0)</f>
        <v>431.28906971428563</v>
      </c>
      <c r="M16" s="493">
        <f ca="1">IF(SUM($F16:L16)&lt;$C16*1000,MIN(+$C16*$E16*1000,$C16*1000-SUM($F16:L16)),0)</f>
        <v>431.28906971428563</v>
      </c>
      <c r="N16" s="493">
        <f ca="1">IF(SUM($F16:M16)&lt;$C16*1000,MIN(+$C16*$E16*1000,$C16*1000-SUM($F16:M16)),0)</f>
        <v>431.28906971428563</v>
      </c>
      <c r="O16" s="493">
        <f ca="1">IF(SUM($F16:N16)&lt;$C16*1000,MIN(+$C16*$E16*1000,$C16*1000-SUM($F16:N16)),0)</f>
        <v>431.28906971428563</v>
      </c>
      <c r="P16" s="493">
        <f ca="1">IF(SUM($F16:O16)&lt;$C16*1000,MIN(+$C16*$E16*1000,$C16*1000-SUM($F16:O16)),0)</f>
        <v>431.28906971428563</v>
      </c>
      <c r="Q16" s="493">
        <f ca="1">IF(SUM($F16:P16)&lt;$C16*1000,MIN(+$C16*$E16*1000,$C16*1000-SUM($F16:P16)),0)</f>
        <v>431.28906971428563</v>
      </c>
      <c r="R16" s="493">
        <f ca="1">IF(SUM($F16:Q16)&lt;$C16*1000,MIN(+$C16*$E16*1000,$C16*1000-SUM($F16:Q16)),0)</f>
        <v>431.28906971428563</v>
      </c>
      <c r="S16" s="493">
        <f ca="1">IF(SUM($F16:R16)&lt;$C16*1000,MIN(+$C16*$E16*1000,$C16*1000-SUM($F16:R16)),0)</f>
        <v>431.28906971428563</v>
      </c>
      <c r="T16" s="493">
        <f ca="1">IF(SUM($F16:S16)&lt;$C16*1000,MIN(+$C16*$E16*1000,$C16*1000-SUM($F16:S16)),0)</f>
        <v>431.28906971428563</v>
      </c>
      <c r="U16" s="493">
        <f ca="1">IF(SUM($F16:T16)&lt;$C16*1000,MIN(+$C16*$E16*1000,$C16*1000-SUM($F16:T16)),0)</f>
        <v>431.28906971428563</v>
      </c>
      <c r="V16" s="493">
        <f ca="1">IF(SUM($F16:U16)&lt;$C16*1000,MIN(+$C16*$E16*1000,$C16*1000-SUM($F16:U16)),0)</f>
        <v>431.28906971428563</v>
      </c>
      <c r="W16" s="493">
        <f ca="1">IF(SUM($F16:V16)&lt;$C16*1000,MIN(+$C16*$E16*1000,$C16*1000-SUM($F16:V16)),0)</f>
        <v>431.28906971428563</v>
      </c>
      <c r="X16" s="493">
        <f ca="1">IF(SUM($F16:W16)&lt;$C16*1000,MIN(+$C16*$E16*1000,$C16*1000-SUM($F16:W16)),0)</f>
        <v>431.28906971428563</v>
      </c>
      <c r="Y16" s="493">
        <f ca="1">IF(SUM($F16:X16)&lt;$C16*1000,MIN(+$C16*$E16*1000,$C16*1000-SUM($F16:X16)),0)</f>
        <v>431.28906971428563</v>
      </c>
      <c r="Z16" s="493"/>
      <c r="AA16" s="498">
        <f ca="1">SUM(F16:Y16)-C16*1000</f>
        <v>-3845.6608716190494</v>
      </c>
    </row>
    <row r="17" spans="1:27" ht="16.2">
      <c r="A17" s="494" t="str">
        <f ca="1">'TAXDEPR 144A'!A17</f>
        <v>Other</v>
      </c>
      <c r="B17" s="488">
        <v>1</v>
      </c>
      <c r="C17" s="496">
        <f>IF(B17=1,'ASSUM 2'!E11,0)</f>
        <v>0</v>
      </c>
      <c r="D17" s="488">
        <f>'ASSUM 2'!M11</f>
        <v>1</v>
      </c>
      <c r="E17" s="497">
        <f>IF(D17=1,'ASSUM 1'!H10,IF(D17=2,'ASSUM 1'!H11,IF(D17=3,'ASSUM 1'!H12,IF(D17=4,'ASSUM 1'!H13,IF(D17=5,'ASSUM 1'!H14,IF(D17=6,'ASSUM 1'!H15,'ASSUM 1'!H21))))))</f>
        <v>3.5087719298245612E-2</v>
      </c>
      <c r="F17" s="495">
        <f ca="1">$C17*$E17*1000*F$9/12</f>
        <v>0</v>
      </c>
      <c r="G17" s="493">
        <f ca="1">IF(SUM($F17:F17)&lt;$C17*1000,MIN(+$C17*$E17*1000,$C17*1000-SUM($F17:F17)),0)</f>
        <v>0</v>
      </c>
      <c r="H17" s="493">
        <f ca="1">IF(SUM($F17:G17)&lt;$C17*1000,MIN(+$C17*$E17*1000,$C17*1000-SUM($F17:G17)),0)</f>
        <v>0</v>
      </c>
      <c r="I17" s="493">
        <f ca="1">IF(SUM($F17:H17)&lt;$C17*1000,MIN(+$C17*$E17*1000,$C17*1000-SUM($F17:H17)),0)</f>
        <v>0</v>
      </c>
      <c r="J17" s="493">
        <f ca="1">IF(SUM($F17:I17)&lt;$C17*1000,MIN(+$C17*$E17*1000,$C17*1000-SUM($F17:I17)),0)</f>
        <v>0</v>
      </c>
      <c r="K17" s="493">
        <f ca="1">IF(SUM($F17:J17)&lt;$C17*1000,MIN(+$C17*$E17*1000,$C17*1000-SUM($F17:J17)),0)</f>
        <v>0</v>
      </c>
      <c r="L17" s="493">
        <f ca="1">IF(SUM($F17:K17)&lt;$C17*1000,MIN(+$C17*$E17*1000,$C17*1000-SUM($F17:K17)),0)</f>
        <v>0</v>
      </c>
      <c r="M17" s="493">
        <f ca="1">IF(SUM($F17:L17)&lt;$C17*1000,MIN(+$C17*$E17*1000,$C17*1000-SUM($F17:L17)),0)</f>
        <v>0</v>
      </c>
      <c r="N17" s="493">
        <f ca="1">IF(SUM($F17:M17)&lt;$C17*1000,MIN(+$C17*$E17*1000,$C17*1000-SUM($F17:M17)),0)</f>
        <v>0</v>
      </c>
      <c r="O17" s="493">
        <f ca="1">IF(SUM($F17:N17)&lt;$C17*1000,MIN(+$C17*$E17*1000,$C17*1000-SUM($F17:N17)),0)</f>
        <v>0</v>
      </c>
      <c r="P17" s="493">
        <f ca="1">IF(SUM($F17:O17)&lt;$C17*1000,MIN(+$C17*$E17*1000,$C17*1000-SUM($F17:O17)),0)</f>
        <v>0</v>
      </c>
      <c r="Q17" s="493">
        <f ca="1">IF(SUM($F17:P17)&lt;$C17*1000,MIN(+$C17*$E17*1000,$C17*1000-SUM($F17:P17)),0)</f>
        <v>0</v>
      </c>
      <c r="R17" s="493">
        <f ca="1">IF(SUM($F17:Q17)&lt;$C17*1000,MIN(+$C17*$E17*1000,$C17*1000-SUM($F17:Q17)),0)</f>
        <v>0</v>
      </c>
      <c r="S17" s="493">
        <f ca="1">IF(SUM($F17:R17)&lt;$C17*1000,MIN(+$C17*$E17*1000,$C17*1000-SUM($F17:R17)),0)</f>
        <v>0</v>
      </c>
      <c r="T17" s="493">
        <f ca="1">IF(SUM($F17:S17)&lt;$C17*1000,MIN(+$C17*$E17*1000,$C17*1000-SUM($F17:S17)),0)</f>
        <v>0</v>
      </c>
      <c r="U17" s="493">
        <f ca="1">IF(SUM($F17:T17)&lt;$C17*1000,MIN(+$C17*$E17*1000,$C17*1000-SUM($F17:T17)),0)</f>
        <v>0</v>
      </c>
      <c r="V17" s="493">
        <f ca="1">IF(SUM($F17:U17)&lt;$C17*1000,MIN(+$C17*$E17*1000,$C17*1000-SUM($F17:U17)),0)</f>
        <v>0</v>
      </c>
      <c r="W17" s="493">
        <f ca="1">IF(SUM($F17:V17)&lt;$C17*1000,MIN(+$C17*$E17*1000,$C17*1000-SUM($F17:V17)),0)</f>
        <v>0</v>
      </c>
      <c r="X17" s="493">
        <f ca="1">IF(SUM($F17:W17)&lt;$C17*1000,MIN(+$C17*$E17*1000,$C17*1000-SUM($F17:W17)),0)</f>
        <v>0</v>
      </c>
      <c r="Y17" s="493">
        <f ca="1">IF(SUM($F17:X17)&lt;$C17*1000,MIN(+$C17*$E17*1000,$C17*1000-SUM($F17:X17)),0)</f>
        <v>0</v>
      </c>
      <c r="Z17" s="493"/>
      <c r="AA17" s="498">
        <f ca="1">SUM(F17:Y17)-C17*1000</f>
        <v>0</v>
      </c>
    </row>
    <row r="18" spans="1:27" ht="16.2">
      <c r="A18" s="494" t="str">
        <f ca="1">'TAXDEPR 144A'!A18</f>
        <v>Other</v>
      </c>
      <c r="B18" s="488">
        <v>1</v>
      </c>
      <c r="C18" s="496">
        <f>IF(B18=1,'ASSUM 2'!E12,0)</f>
        <v>0</v>
      </c>
      <c r="D18" s="488">
        <f>'ASSUM 2'!M12</f>
        <v>1</v>
      </c>
      <c r="E18" s="497">
        <f>IF(D18=1,'ASSUM 1'!H10,IF(D18=2,'ASSUM 1'!H11,IF(D18=3,'ASSUM 1'!H12,IF(D18=4,'ASSUM 1'!H13,IF(D18=5,'ASSUM 1'!H14,IF(D18=6,'ASSUM 1'!H15,'ASSUM 1'!H21))))))</f>
        <v>3.5087719298245612E-2</v>
      </c>
      <c r="F18" s="495">
        <f ca="1">$C18*$E18*1000*F$9/12</f>
        <v>0</v>
      </c>
      <c r="G18" s="493">
        <f ca="1">IF(SUM($F18:F18)&lt;$C18*1000,MIN(+$C18*$E18*1000,$C18*1000-SUM($F18:F18)),0)</f>
        <v>0</v>
      </c>
      <c r="H18" s="493">
        <f ca="1">IF(SUM($F18:G18)&lt;$C18*1000,MIN(+$C18*$E18*1000,$C18*1000-SUM($F18:G18)),0)</f>
        <v>0</v>
      </c>
      <c r="I18" s="493">
        <f ca="1">IF(SUM($F18:H18)&lt;$C18*1000,MIN(+$C18*$E18*1000,$C18*1000-SUM($F18:H18)),0)</f>
        <v>0</v>
      </c>
      <c r="J18" s="493">
        <f ca="1">IF(SUM($F18:I18)&lt;$C18*1000,MIN(+$C18*$E18*1000,$C18*1000-SUM($F18:I18)),0)</f>
        <v>0</v>
      </c>
      <c r="K18" s="493">
        <f ca="1">IF(SUM($F18:J18)&lt;$C18*1000,MIN(+$C18*$E18*1000,$C18*1000-SUM($F18:J18)),0)</f>
        <v>0</v>
      </c>
      <c r="L18" s="493">
        <f ca="1">IF(SUM($F18:K18)&lt;$C18*1000,MIN(+$C18*$E18*1000,$C18*1000-SUM($F18:K18)),0)</f>
        <v>0</v>
      </c>
      <c r="M18" s="493">
        <f ca="1">IF(SUM($F18:L18)&lt;$C18*1000,MIN(+$C18*$E18*1000,$C18*1000-SUM($F18:L18)),0)</f>
        <v>0</v>
      </c>
      <c r="N18" s="493">
        <f ca="1">IF(SUM($F18:M18)&lt;$C18*1000,MIN(+$C18*$E18*1000,$C18*1000-SUM($F18:M18)),0)</f>
        <v>0</v>
      </c>
      <c r="O18" s="493">
        <f ca="1">IF(SUM($F18:N18)&lt;$C18*1000,MIN(+$C18*$E18*1000,$C18*1000-SUM($F18:N18)),0)</f>
        <v>0</v>
      </c>
      <c r="P18" s="493">
        <f ca="1">IF(SUM($F18:O18)&lt;$C18*1000,MIN(+$C18*$E18*1000,$C18*1000-SUM($F18:O18)),0)</f>
        <v>0</v>
      </c>
      <c r="Q18" s="493">
        <f ca="1">IF(SUM($F18:P18)&lt;$C18*1000,MIN(+$C18*$E18*1000,$C18*1000-SUM($F18:P18)),0)</f>
        <v>0</v>
      </c>
      <c r="R18" s="493">
        <f ca="1">IF(SUM($F18:Q18)&lt;$C18*1000,MIN(+$C18*$E18*1000,$C18*1000-SUM($F18:Q18)),0)</f>
        <v>0</v>
      </c>
      <c r="S18" s="493">
        <f ca="1">IF(SUM($F18:R18)&lt;$C18*1000,MIN(+$C18*$E18*1000,$C18*1000-SUM($F18:R18)),0)</f>
        <v>0</v>
      </c>
      <c r="T18" s="493">
        <f ca="1">IF(SUM($F18:S18)&lt;$C18*1000,MIN(+$C18*$E18*1000,$C18*1000-SUM($F18:S18)),0)</f>
        <v>0</v>
      </c>
      <c r="U18" s="493">
        <f ca="1">IF(SUM($F18:T18)&lt;$C18*1000,MIN(+$C18*$E18*1000,$C18*1000-SUM($F18:T18)),0)</f>
        <v>0</v>
      </c>
      <c r="V18" s="493">
        <f ca="1">IF(SUM($F18:U18)&lt;$C18*1000,MIN(+$C18*$E18*1000,$C18*1000-SUM($F18:U18)),0)</f>
        <v>0</v>
      </c>
      <c r="W18" s="493">
        <f ca="1">IF(SUM($F18:V18)&lt;$C18*1000,MIN(+$C18*$E18*1000,$C18*1000-SUM($F18:V18)),0)</f>
        <v>0</v>
      </c>
      <c r="X18" s="493">
        <f ca="1">IF(SUM($F18:W18)&lt;$C18*1000,MIN(+$C18*$E18*1000,$C18*1000-SUM($F18:W18)),0)</f>
        <v>0</v>
      </c>
      <c r="Y18" s="493">
        <f ca="1">IF(SUM($F18:X18)&lt;$C18*1000,MIN(+$C18*$E18*1000,$C18*1000-SUM($F18:X18)),0)</f>
        <v>0</v>
      </c>
      <c r="Z18" s="493"/>
      <c r="AA18" s="498">
        <f ca="1">SUM(F18:Y18)-C18*1000</f>
        <v>0</v>
      </c>
    </row>
    <row r="19" spans="1:27" ht="16.2">
      <c r="A19" s="494" t="str">
        <f ca="1">'TAXDEPR 144A'!A19</f>
        <v>Duties on Equipment</v>
      </c>
      <c r="B19" s="488">
        <v>1</v>
      </c>
      <c r="C19" s="496">
        <f>IF(B19=1,'ASSUM 2'!E13,0)</f>
        <v>0</v>
      </c>
      <c r="D19" s="488">
        <f>'ASSUM 2'!M13</f>
        <v>1</v>
      </c>
      <c r="E19" s="497">
        <f>IF(D19=1,'ASSUM 1'!H10,IF(D19=2,'ASSUM 1'!H11,IF(D19=3,'ASSUM 1'!H12,IF(D19=4,'ASSUM 1'!H13,IF(D19=5,'ASSUM 1'!H14,IF(D19=6,'ASSUM 1'!H15,'ASSUM 1'!H21))))))</f>
        <v>3.5087719298245612E-2</v>
      </c>
      <c r="F19" s="495">
        <f ca="1">$C19*$E19*1000*F$9/12</f>
        <v>0</v>
      </c>
      <c r="G19" s="493">
        <f ca="1">IF(SUM($F19:F19)&lt;$C19*1000,MIN(+$C19*$E19*1000,$C19*1000-SUM($F19:F19)),0)</f>
        <v>0</v>
      </c>
      <c r="H19" s="493">
        <f ca="1">IF(SUM($F19:G19)&lt;$C19*1000,MIN(+$C19*$E19*1000,$C19*1000-SUM($F19:G19)),0)</f>
        <v>0</v>
      </c>
      <c r="I19" s="493">
        <f ca="1">IF(SUM($F19:H19)&lt;$C19*1000,MIN(+$C19*$E19*1000,$C19*1000-SUM($F19:H19)),0)</f>
        <v>0</v>
      </c>
      <c r="J19" s="493">
        <f ca="1">IF(SUM($F19:I19)&lt;$C19*1000,MIN(+$C19*$E19*1000,$C19*1000-SUM($F19:I19)),0)</f>
        <v>0</v>
      </c>
      <c r="K19" s="493">
        <f ca="1">IF(SUM($F19:J19)&lt;$C19*1000,MIN(+$C19*$E19*1000,$C19*1000-SUM($F19:J19)),0)</f>
        <v>0</v>
      </c>
      <c r="L19" s="493">
        <f ca="1">IF(SUM($F19:K19)&lt;$C19*1000,MIN(+$C19*$E19*1000,$C19*1000-SUM($F19:K19)),0)</f>
        <v>0</v>
      </c>
      <c r="M19" s="493">
        <f ca="1">IF(SUM($F19:L19)&lt;$C19*1000,MIN(+$C19*$E19*1000,$C19*1000-SUM($F19:L19)),0)</f>
        <v>0</v>
      </c>
      <c r="N19" s="493">
        <f ca="1">IF(SUM($F19:M19)&lt;$C19*1000,MIN(+$C19*$E19*1000,$C19*1000-SUM($F19:M19)),0)</f>
        <v>0</v>
      </c>
      <c r="O19" s="493">
        <f ca="1">IF(SUM($F19:N19)&lt;$C19*1000,MIN(+$C19*$E19*1000,$C19*1000-SUM($F19:N19)),0)</f>
        <v>0</v>
      </c>
      <c r="P19" s="493">
        <f ca="1">IF(SUM($F19:O19)&lt;$C19*1000,MIN(+$C19*$E19*1000,$C19*1000-SUM($F19:O19)),0)</f>
        <v>0</v>
      </c>
      <c r="Q19" s="493">
        <f ca="1">IF(SUM($F19:P19)&lt;$C19*1000,MIN(+$C19*$E19*1000,$C19*1000-SUM($F19:P19)),0)</f>
        <v>0</v>
      </c>
      <c r="R19" s="493">
        <f ca="1">IF(SUM($F19:Q19)&lt;$C19*1000,MIN(+$C19*$E19*1000,$C19*1000-SUM($F19:Q19)),0)</f>
        <v>0</v>
      </c>
      <c r="S19" s="493">
        <f ca="1">IF(SUM($F19:R19)&lt;$C19*1000,MIN(+$C19*$E19*1000,$C19*1000-SUM($F19:R19)),0)</f>
        <v>0</v>
      </c>
      <c r="T19" s="493">
        <f ca="1">IF(SUM($F19:S19)&lt;$C19*1000,MIN(+$C19*$E19*1000,$C19*1000-SUM($F19:S19)),0)</f>
        <v>0</v>
      </c>
      <c r="U19" s="493">
        <f ca="1">IF(SUM($F19:T19)&lt;$C19*1000,MIN(+$C19*$E19*1000,$C19*1000-SUM($F19:T19)),0)</f>
        <v>0</v>
      </c>
      <c r="V19" s="493">
        <f ca="1">IF(SUM($F19:U19)&lt;$C19*1000,MIN(+$C19*$E19*1000,$C19*1000-SUM($F19:U19)),0)</f>
        <v>0</v>
      </c>
      <c r="W19" s="493">
        <f ca="1">IF(SUM($F19:V19)&lt;$C19*1000,MIN(+$C19*$E19*1000,$C19*1000-SUM($F19:V19)),0)</f>
        <v>0</v>
      </c>
      <c r="X19" s="493">
        <f ca="1">IF(SUM($F19:W19)&lt;$C19*1000,MIN(+$C19*$E19*1000,$C19*1000-SUM($F19:W19)),0)</f>
        <v>0</v>
      </c>
      <c r="Y19" s="493">
        <f ca="1">IF(SUM($F19:X19)&lt;$C19*1000,MIN(+$C19*$E19*1000,$C19*1000-SUM($F19:X19)),0)</f>
        <v>0</v>
      </c>
      <c r="Z19" s="493"/>
      <c r="AA19" s="498">
        <f ca="1">SUM(F19:Y19)-C19*1000</f>
        <v>0</v>
      </c>
    </row>
    <row r="20" spans="1:27" ht="16.2">
      <c r="A20" s="494"/>
      <c r="B20" s="488"/>
      <c r="C20" s="496"/>
      <c r="D20" s="488"/>
      <c r="E20" s="497"/>
      <c r="F20" s="495"/>
      <c r="G20" s="493"/>
      <c r="H20" s="493"/>
      <c r="I20" s="493"/>
      <c r="J20" s="493"/>
      <c r="K20" s="493"/>
      <c r="L20" s="493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  <c r="AA20" s="498"/>
    </row>
    <row r="21" spans="1:27" ht="16.2">
      <c r="A21" s="494" t="str">
        <f ca="1">'TAXDEPR 144A'!A21</f>
        <v>Engineering / Construction</v>
      </c>
      <c r="B21" s="491"/>
      <c r="C21" s="496"/>
      <c r="D21" s="488"/>
      <c r="E21" s="497"/>
      <c r="F21" s="495"/>
      <c r="G21" s="493"/>
      <c r="H21" s="493"/>
      <c r="I21" s="493"/>
      <c r="J21" s="493"/>
      <c r="K21" s="493"/>
      <c r="L21" s="493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  <c r="AA21" s="498"/>
    </row>
    <row r="22" spans="1:27" ht="16.2">
      <c r="A22" s="494" t="str">
        <f ca="1">'TAXDEPR 144A'!A22</f>
        <v>Other</v>
      </c>
      <c r="B22" s="488">
        <v>1</v>
      </c>
      <c r="C22" s="496">
        <f>IF(B22=1,'ASSUM 2'!E17,0)</f>
        <v>0</v>
      </c>
      <c r="D22" s="488">
        <f>'ASSUM 2'!M17</f>
        <v>1</v>
      </c>
      <c r="E22" s="497">
        <f>IF(D22=1,'ASSUM 1'!H10,IF(D22=2,'ASSUM 1'!H11,IF(D22=3,'ASSUM 1'!H12,IF(D22=4,'ASSUM 1'!H13,IF(D22=5,'ASSUM 1'!H14,IF(D22=6,'ASSUM 1'!H15,'ASSUM 1'!H21))))))</f>
        <v>3.5087719298245612E-2</v>
      </c>
      <c r="F22" s="495">
        <f t="shared" ref="F22:F27" ca="1" si="1">$C22*$E22*1000*F$9/12</f>
        <v>0</v>
      </c>
      <c r="G22" s="493">
        <f ca="1">IF(SUM($F22:F22)&lt;$C22*1000,MIN(+$C22*$E22*1000,$C22*1000-SUM($F22:F22)),0)</f>
        <v>0</v>
      </c>
      <c r="H22" s="493">
        <f ca="1">IF(SUM($F22:G22)&lt;$C22*1000,MIN(+$C22*$E22*1000,$C22*1000-SUM($F22:G22)),0)</f>
        <v>0</v>
      </c>
      <c r="I22" s="493">
        <f ca="1">IF(SUM($F22:H22)&lt;$C22*1000,MIN(+$C22*$E22*1000,$C22*1000-SUM($F22:H22)),0)</f>
        <v>0</v>
      </c>
      <c r="J22" s="493">
        <f ca="1">IF(SUM($F22:I22)&lt;$C22*1000,MIN(+$C22*$E22*1000,$C22*1000-SUM($F22:I22)),0)</f>
        <v>0</v>
      </c>
      <c r="K22" s="493">
        <f ca="1">IF(SUM($F22:J22)&lt;$C22*1000,MIN(+$C22*$E22*1000,$C22*1000-SUM($F22:J22)),0)</f>
        <v>0</v>
      </c>
      <c r="L22" s="493">
        <f ca="1">IF(SUM($F22:K22)&lt;$C22*1000,MIN(+$C22*$E22*1000,$C22*1000-SUM($F22:K22)),0)</f>
        <v>0</v>
      </c>
      <c r="M22" s="493">
        <f ca="1">IF(SUM($F22:L22)&lt;$C22*1000,MIN(+$C22*$E22*1000,$C22*1000-SUM($F22:L22)),0)</f>
        <v>0</v>
      </c>
      <c r="N22" s="493">
        <f ca="1">IF(SUM($F22:M22)&lt;$C22*1000,MIN(+$C22*$E22*1000,$C22*1000-SUM($F22:M22)),0)</f>
        <v>0</v>
      </c>
      <c r="O22" s="493">
        <f ca="1">IF(SUM($F22:N22)&lt;$C22*1000,MIN(+$C22*$E22*1000,$C22*1000-SUM($F22:N22)),0)</f>
        <v>0</v>
      </c>
      <c r="P22" s="493">
        <f ca="1">IF(SUM($F22:O22)&lt;$C22*1000,MIN(+$C22*$E22*1000,$C22*1000-SUM($F22:O22)),0)</f>
        <v>0</v>
      </c>
      <c r="Q22" s="493">
        <f ca="1">IF(SUM($F22:P22)&lt;$C22*1000,MIN(+$C22*$E22*1000,$C22*1000-SUM($F22:P22)),0)</f>
        <v>0</v>
      </c>
      <c r="R22" s="493">
        <f ca="1">IF(SUM($F22:Q22)&lt;$C22*1000,MIN(+$C22*$E22*1000,$C22*1000-SUM($F22:Q22)),0)</f>
        <v>0</v>
      </c>
      <c r="S22" s="493">
        <f ca="1">IF(SUM($F22:R22)&lt;$C22*1000,MIN(+$C22*$E22*1000,$C22*1000-SUM($F22:R22)),0)</f>
        <v>0</v>
      </c>
      <c r="T22" s="493">
        <f ca="1">IF(SUM($F22:S22)&lt;$C22*1000,MIN(+$C22*$E22*1000,$C22*1000-SUM($F22:S22)),0)</f>
        <v>0</v>
      </c>
      <c r="U22" s="493">
        <f ca="1">IF(SUM($F22:T22)&lt;$C22*1000,MIN(+$C22*$E22*1000,$C22*1000-SUM($F22:T22)),0)</f>
        <v>0</v>
      </c>
      <c r="V22" s="493">
        <f ca="1">IF(SUM($F22:U22)&lt;$C22*1000,MIN(+$C22*$E22*1000,$C22*1000-SUM($F22:U22)),0)</f>
        <v>0</v>
      </c>
      <c r="W22" s="493">
        <f ca="1">IF(SUM($F22:V22)&lt;$C22*1000,MIN(+$C22*$E22*1000,$C22*1000-SUM($F22:V22)),0)</f>
        <v>0</v>
      </c>
      <c r="X22" s="493">
        <f ca="1">IF(SUM($F22:W22)&lt;$C22*1000,MIN(+$C22*$E22*1000,$C22*1000-SUM($F22:W22)),0)</f>
        <v>0</v>
      </c>
      <c r="Y22" s="493">
        <f ca="1">IF(SUM($F22:X22)&lt;$C22*1000,MIN(+$C22*$E22*1000,$C22*1000-SUM($F22:X22)),0)</f>
        <v>0</v>
      </c>
      <c r="Z22" s="493"/>
      <c r="AA22" s="498">
        <f t="shared" ref="AA22:AA27" ca="1" si="2">SUM(F22:Y22)-C22*1000</f>
        <v>0</v>
      </c>
    </row>
    <row r="23" spans="1:27" ht="16.2">
      <c r="A23" s="494" t="str">
        <f ca="1">'TAXDEPR 144A'!A23</f>
        <v>Other</v>
      </c>
      <c r="B23" s="488">
        <v>1</v>
      </c>
      <c r="C23" s="496">
        <f>IF(B23=1,'ASSUM 2'!E18,0)</f>
        <v>0</v>
      </c>
      <c r="D23" s="488">
        <f>'ASSUM 2'!M18</f>
        <v>3</v>
      </c>
      <c r="E23" s="497">
        <f>IF(D23=1,'ASSUM 1'!H10,IF(D23=2,'ASSUM 1'!H11,IF(D23=3,'ASSUM 1'!H12,IF(D23=4,'ASSUM 1'!H13,IF(D23=5,'ASSUM 1'!H14,IF(D23=6,'ASSUM 1'!H15,'ASSUM 1'!H21))))))</f>
        <v>3.5087719298245612E-2</v>
      </c>
      <c r="F23" s="495">
        <f t="shared" ca="1" si="1"/>
        <v>0</v>
      </c>
      <c r="G23" s="493">
        <f ca="1">IF(SUM($F23:F23)&lt;$C23*1000,MIN(+$C23*$E23*1000,$C23*1000-SUM($F23:F23)),0)</f>
        <v>0</v>
      </c>
      <c r="H23" s="493">
        <f ca="1">IF(SUM($F23:G23)&lt;$C23*1000,MIN(+$C23*$E23*1000,$C23*1000-SUM($F23:G23)),0)</f>
        <v>0</v>
      </c>
      <c r="I23" s="493">
        <f ca="1">IF(SUM($F23:H23)&lt;$C23*1000,MIN(+$C23*$E23*1000,$C23*1000-SUM($F23:H23)),0)</f>
        <v>0</v>
      </c>
      <c r="J23" s="493">
        <f ca="1">IF(SUM($F23:I23)&lt;$C23*1000,MIN(+$C23*$E23*1000,$C23*1000-SUM($F23:I23)),0)</f>
        <v>0</v>
      </c>
      <c r="K23" s="493">
        <f ca="1">IF(SUM($F23:J23)&lt;$C23*1000,MIN(+$C23*$E23*1000,$C23*1000-SUM($F23:J23)),0)</f>
        <v>0</v>
      </c>
      <c r="L23" s="493">
        <f ca="1">IF(SUM($F23:K23)&lt;$C23*1000,MIN(+$C23*$E23*1000,$C23*1000-SUM($F23:K23)),0)</f>
        <v>0</v>
      </c>
      <c r="M23" s="493">
        <f ca="1">IF(SUM($F23:L23)&lt;$C23*1000,MIN(+$C23*$E23*1000,$C23*1000-SUM($F23:L23)),0)</f>
        <v>0</v>
      </c>
      <c r="N23" s="493">
        <f ca="1">IF(SUM($F23:M23)&lt;$C23*1000,MIN(+$C23*$E23*1000,$C23*1000-SUM($F23:M23)),0)</f>
        <v>0</v>
      </c>
      <c r="O23" s="493">
        <f ca="1">IF(SUM($F23:N23)&lt;$C23*1000,MIN(+$C23*$E23*1000,$C23*1000-SUM($F23:N23)),0)</f>
        <v>0</v>
      </c>
      <c r="P23" s="493">
        <f ca="1">IF(SUM($F23:O23)&lt;$C23*1000,MIN(+$C23*$E23*1000,$C23*1000-SUM($F23:O23)),0)</f>
        <v>0</v>
      </c>
      <c r="Q23" s="493">
        <f ca="1">IF(SUM($F23:P23)&lt;$C23*1000,MIN(+$C23*$E23*1000,$C23*1000-SUM($F23:P23)),0)</f>
        <v>0</v>
      </c>
      <c r="R23" s="493">
        <f ca="1">IF(SUM($F23:Q23)&lt;$C23*1000,MIN(+$C23*$E23*1000,$C23*1000-SUM($F23:Q23)),0)</f>
        <v>0</v>
      </c>
      <c r="S23" s="493">
        <f ca="1">IF(SUM($F23:R23)&lt;$C23*1000,MIN(+$C23*$E23*1000,$C23*1000-SUM($F23:R23)),0)</f>
        <v>0</v>
      </c>
      <c r="T23" s="493">
        <f ca="1">IF(SUM($F23:S23)&lt;$C23*1000,MIN(+$C23*$E23*1000,$C23*1000-SUM($F23:S23)),0)</f>
        <v>0</v>
      </c>
      <c r="U23" s="493">
        <f ca="1">IF(SUM($F23:T23)&lt;$C23*1000,MIN(+$C23*$E23*1000,$C23*1000-SUM($F23:T23)),0)</f>
        <v>0</v>
      </c>
      <c r="V23" s="493">
        <f ca="1">IF(SUM($F23:U23)&lt;$C23*1000,MIN(+$C23*$E23*1000,$C23*1000-SUM($F23:U23)),0)</f>
        <v>0</v>
      </c>
      <c r="W23" s="493">
        <f ca="1">IF(SUM($F23:V23)&lt;$C23*1000,MIN(+$C23*$E23*1000,$C23*1000-SUM($F23:V23)),0)</f>
        <v>0</v>
      </c>
      <c r="X23" s="493">
        <f ca="1">IF(SUM($F23:W23)&lt;$C23*1000,MIN(+$C23*$E23*1000,$C23*1000-SUM($F23:W23)),0)</f>
        <v>0</v>
      </c>
      <c r="Y23" s="493">
        <f ca="1">IF(SUM($F23:X23)&lt;$C23*1000,MIN(+$C23*$E23*1000,$C23*1000-SUM($F23:X23)),0)</f>
        <v>0</v>
      </c>
      <c r="Z23" s="493"/>
      <c r="AA23" s="498">
        <f t="shared" ca="1" si="2"/>
        <v>0</v>
      </c>
    </row>
    <row r="24" spans="1:27" ht="16.2">
      <c r="A24" s="494" t="str">
        <f ca="1">'TAXDEPR 144A'!A24</f>
        <v>Other</v>
      </c>
      <c r="B24" s="488">
        <v>1</v>
      </c>
      <c r="C24" s="496">
        <f>IF(B24=1,'ASSUM 2'!E19,0)</f>
        <v>0</v>
      </c>
      <c r="D24" s="488">
        <f>'ASSUM 2'!M19</f>
        <v>3</v>
      </c>
      <c r="E24" s="497">
        <f>IF(D24=1,'ASSUM 1'!H10,IF(D24=2,'ASSUM 1'!H11,IF(D24=3,'ASSUM 1'!H12,IF(D24=4,'ASSUM 1'!H13,IF(D24=5,'ASSUM 1'!H14,IF(D24=6,'ASSUM 1'!H15,'ASSUM 1'!H21))))))</f>
        <v>3.5087719298245612E-2</v>
      </c>
      <c r="F24" s="495">
        <f t="shared" ca="1" si="1"/>
        <v>0</v>
      </c>
      <c r="G24" s="493">
        <f ca="1">IF(SUM($F24:F24)&lt;$C24*1000,MIN(+$C24*$E24*1000,$C24*1000-SUM($F24:F24)),0)</f>
        <v>0</v>
      </c>
      <c r="H24" s="493">
        <f ca="1">IF(SUM($F24:G24)&lt;$C24*1000,MIN(+$C24*$E24*1000,$C24*1000-SUM($F24:G24)),0)</f>
        <v>0</v>
      </c>
      <c r="I24" s="493">
        <f ca="1">IF(SUM($F24:H24)&lt;$C24*1000,MIN(+$C24*$E24*1000,$C24*1000-SUM($F24:H24)),0)</f>
        <v>0</v>
      </c>
      <c r="J24" s="493">
        <f ca="1">IF(SUM($F24:I24)&lt;$C24*1000,MIN(+$C24*$E24*1000,$C24*1000-SUM($F24:I24)),0)</f>
        <v>0</v>
      </c>
      <c r="K24" s="493">
        <f ca="1">IF(SUM($F24:J24)&lt;$C24*1000,MIN(+$C24*$E24*1000,$C24*1000-SUM($F24:J24)),0)</f>
        <v>0</v>
      </c>
      <c r="L24" s="493">
        <f ca="1">IF(SUM($F24:K24)&lt;$C24*1000,MIN(+$C24*$E24*1000,$C24*1000-SUM($F24:K24)),0)</f>
        <v>0</v>
      </c>
      <c r="M24" s="493">
        <f ca="1">IF(SUM($F24:L24)&lt;$C24*1000,MIN(+$C24*$E24*1000,$C24*1000-SUM($F24:L24)),0)</f>
        <v>0</v>
      </c>
      <c r="N24" s="493">
        <f ca="1">IF(SUM($F24:M24)&lt;$C24*1000,MIN(+$C24*$E24*1000,$C24*1000-SUM($F24:M24)),0)</f>
        <v>0</v>
      </c>
      <c r="O24" s="493">
        <f ca="1">IF(SUM($F24:N24)&lt;$C24*1000,MIN(+$C24*$E24*1000,$C24*1000-SUM($F24:N24)),0)</f>
        <v>0</v>
      </c>
      <c r="P24" s="493">
        <f ca="1">IF(SUM($F24:O24)&lt;$C24*1000,MIN(+$C24*$E24*1000,$C24*1000-SUM($F24:O24)),0)</f>
        <v>0</v>
      </c>
      <c r="Q24" s="493">
        <f ca="1">IF(SUM($F24:P24)&lt;$C24*1000,MIN(+$C24*$E24*1000,$C24*1000-SUM($F24:P24)),0)</f>
        <v>0</v>
      </c>
      <c r="R24" s="493">
        <f ca="1">IF(SUM($F24:Q24)&lt;$C24*1000,MIN(+$C24*$E24*1000,$C24*1000-SUM($F24:Q24)),0)</f>
        <v>0</v>
      </c>
      <c r="S24" s="493">
        <f ca="1">IF(SUM($F24:R24)&lt;$C24*1000,MIN(+$C24*$E24*1000,$C24*1000-SUM($F24:R24)),0)</f>
        <v>0</v>
      </c>
      <c r="T24" s="493">
        <f ca="1">IF(SUM($F24:S24)&lt;$C24*1000,MIN(+$C24*$E24*1000,$C24*1000-SUM($F24:S24)),0)</f>
        <v>0</v>
      </c>
      <c r="U24" s="493">
        <f ca="1">IF(SUM($F24:T24)&lt;$C24*1000,MIN(+$C24*$E24*1000,$C24*1000-SUM($F24:T24)),0)</f>
        <v>0</v>
      </c>
      <c r="V24" s="493">
        <f ca="1">IF(SUM($F24:U24)&lt;$C24*1000,MIN(+$C24*$E24*1000,$C24*1000-SUM($F24:U24)),0)</f>
        <v>0</v>
      </c>
      <c r="W24" s="493">
        <f ca="1">IF(SUM($F24:V24)&lt;$C24*1000,MIN(+$C24*$E24*1000,$C24*1000-SUM($F24:V24)),0)</f>
        <v>0</v>
      </c>
      <c r="X24" s="493">
        <f ca="1">IF(SUM($F24:W24)&lt;$C24*1000,MIN(+$C24*$E24*1000,$C24*1000-SUM($F24:W24)),0)</f>
        <v>0</v>
      </c>
      <c r="Y24" s="493">
        <f ca="1">IF(SUM($F24:X24)&lt;$C24*1000,MIN(+$C24*$E24*1000,$C24*1000-SUM($F24:X24)),0)</f>
        <v>0</v>
      </c>
      <c r="Z24" s="493"/>
      <c r="AA24" s="498">
        <f t="shared" ca="1" si="2"/>
        <v>0</v>
      </c>
    </row>
    <row r="25" spans="1:27" ht="16.2">
      <c r="A25" s="494" t="str">
        <f ca="1">'TAXDEPR 144A'!A25</f>
        <v>Other</v>
      </c>
      <c r="B25" s="488">
        <v>1</v>
      </c>
      <c r="C25" s="496">
        <f>IF(B25=1,'ASSUM 2'!E20,0)</f>
        <v>0</v>
      </c>
      <c r="D25" s="488">
        <f>'ASSUM 2'!M20</f>
        <v>3</v>
      </c>
      <c r="E25" s="497">
        <f>IF(D25=1,'ASSUM 1'!H10,IF(D25=2,'ASSUM 1'!H11,IF(D25=3,'ASSUM 1'!H12,IF(D25=4,'ASSUM 1'!H13,IF(D25=5,'ASSUM 1'!H14,IF(D25=6,'ASSUM 1'!H15,'ASSUM 1'!H21))))))</f>
        <v>3.5087719298245612E-2</v>
      </c>
      <c r="F25" s="495">
        <f t="shared" ca="1" si="1"/>
        <v>0</v>
      </c>
      <c r="G25" s="493">
        <f ca="1">IF(SUM($F25:F25)&lt;$C25*1000,MIN(+$C25*$E25*1000,$C25*1000-SUM($F25:F25)),0)</f>
        <v>0</v>
      </c>
      <c r="H25" s="493">
        <f ca="1">IF(SUM($F25:G25)&lt;$C25*1000,MIN(+$C25*$E25*1000,$C25*1000-SUM($F25:G25)),0)</f>
        <v>0</v>
      </c>
      <c r="I25" s="493">
        <f ca="1">IF(SUM($F25:H25)&lt;$C25*1000,MIN(+$C25*$E25*1000,$C25*1000-SUM($F25:H25)),0)</f>
        <v>0</v>
      </c>
      <c r="J25" s="493">
        <f ca="1">IF(SUM($F25:I25)&lt;$C25*1000,MIN(+$C25*$E25*1000,$C25*1000-SUM($F25:I25)),0)</f>
        <v>0</v>
      </c>
      <c r="K25" s="493">
        <f ca="1">IF(SUM($F25:J25)&lt;$C25*1000,MIN(+$C25*$E25*1000,$C25*1000-SUM($F25:J25)),0)</f>
        <v>0</v>
      </c>
      <c r="L25" s="493">
        <f ca="1">IF(SUM($F25:K25)&lt;$C25*1000,MIN(+$C25*$E25*1000,$C25*1000-SUM($F25:K25)),0)</f>
        <v>0</v>
      </c>
      <c r="M25" s="493">
        <f ca="1">IF(SUM($F25:L25)&lt;$C25*1000,MIN(+$C25*$E25*1000,$C25*1000-SUM($F25:L25)),0)</f>
        <v>0</v>
      </c>
      <c r="N25" s="493">
        <f ca="1">IF(SUM($F25:M25)&lt;$C25*1000,MIN(+$C25*$E25*1000,$C25*1000-SUM($F25:M25)),0)</f>
        <v>0</v>
      </c>
      <c r="O25" s="493">
        <f ca="1">IF(SUM($F25:N25)&lt;$C25*1000,MIN(+$C25*$E25*1000,$C25*1000-SUM($F25:N25)),0)</f>
        <v>0</v>
      </c>
      <c r="P25" s="493">
        <f ca="1">IF(SUM($F25:O25)&lt;$C25*1000,MIN(+$C25*$E25*1000,$C25*1000-SUM($F25:O25)),0)</f>
        <v>0</v>
      </c>
      <c r="Q25" s="493">
        <f ca="1">IF(SUM($F25:P25)&lt;$C25*1000,MIN(+$C25*$E25*1000,$C25*1000-SUM($F25:P25)),0)</f>
        <v>0</v>
      </c>
      <c r="R25" s="493">
        <f ca="1">IF(SUM($F25:Q25)&lt;$C25*1000,MIN(+$C25*$E25*1000,$C25*1000-SUM($F25:Q25)),0)</f>
        <v>0</v>
      </c>
      <c r="S25" s="493">
        <f ca="1">IF(SUM($F25:R25)&lt;$C25*1000,MIN(+$C25*$E25*1000,$C25*1000-SUM($F25:R25)),0)</f>
        <v>0</v>
      </c>
      <c r="T25" s="493">
        <f ca="1">IF(SUM($F25:S25)&lt;$C25*1000,MIN(+$C25*$E25*1000,$C25*1000-SUM($F25:S25)),0)</f>
        <v>0</v>
      </c>
      <c r="U25" s="493">
        <f ca="1">IF(SUM($F25:T25)&lt;$C25*1000,MIN(+$C25*$E25*1000,$C25*1000-SUM($F25:T25)),0)</f>
        <v>0</v>
      </c>
      <c r="V25" s="493">
        <f ca="1">IF(SUM($F25:U25)&lt;$C25*1000,MIN(+$C25*$E25*1000,$C25*1000-SUM($F25:U25)),0)</f>
        <v>0</v>
      </c>
      <c r="W25" s="493">
        <f ca="1">IF(SUM($F25:V25)&lt;$C25*1000,MIN(+$C25*$E25*1000,$C25*1000-SUM($F25:V25)),0)</f>
        <v>0</v>
      </c>
      <c r="X25" s="493">
        <f ca="1">IF(SUM($F25:W25)&lt;$C25*1000,MIN(+$C25*$E25*1000,$C25*1000-SUM($F25:W25)),0)</f>
        <v>0</v>
      </c>
      <c r="Y25" s="493">
        <f ca="1">IF(SUM($F25:X25)&lt;$C25*1000,MIN(+$C25*$E25*1000,$C25*1000-SUM($F25:X25)),0)</f>
        <v>0</v>
      </c>
      <c r="Z25" s="493"/>
      <c r="AA25" s="498">
        <f t="shared" ca="1" si="2"/>
        <v>0</v>
      </c>
    </row>
    <row r="26" spans="1:27" ht="16.2">
      <c r="A26" s="494" t="str">
        <f ca="1">'TAXDEPR 144A'!A26</f>
        <v>Other</v>
      </c>
      <c r="B26" s="488">
        <v>1</v>
      </c>
      <c r="C26" s="496">
        <f>IF(B26=1,'ASSUM 2'!E21,0)</f>
        <v>0</v>
      </c>
      <c r="D26" s="488">
        <f>'ASSUM 2'!M21</f>
        <v>3</v>
      </c>
      <c r="E26" s="497">
        <f>IF(D26=1,'ASSUM 1'!H10,IF(D26=2,'ASSUM 1'!H11,IF(D26=3,'ASSUM 1'!H12,IF(D26=4,'ASSUM 1'!H13,IF(D26=5,'ASSUM 1'!H14,IF(D26=6,'ASSUM 1'!H15,'ASSUM 1'!H21))))))</f>
        <v>3.5087719298245612E-2</v>
      </c>
      <c r="F26" s="495">
        <f t="shared" ca="1" si="1"/>
        <v>0</v>
      </c>
      <c r="G26" s="493">
        <f ca="1">IF(SUM($F26:F26)&lt;$C26*1000,MIN(+$C26*$E26*1000,$C26*1000-SUM($F26:F26)),0)</f>
        <v>0</v>
      </c>
      <c r="H26" s="493">
        <f ca="1">IF(SUM($F26:G26)&lt;$C26*1000,MIN(+$C26*$E26*1000,$C26*1000-SUM($F26:G26)),0)</f>
        <v>0</v>
      </c>
      <c r="I26" s="493">
        <f ca="1">IF(SUM($F26:H26)&lt;$C26*1000,MIN(+$C26*$E26*1000,$C26*1000-SUM($F26:H26)),0)</f>
        <v>0</v>
      </c>
      <c r="J26" s="493">
        <f ca="1">IF(SUM($F26:I26)&lt;$C26*1000,MIN(+$C26*$E26*1000,$C26*1000-SUM($F26:I26)),0)</f>
        <v>0</v>
      </c>
      <c r="K26" s="493">
        <f ca="1">IF(SUM($F26:J26)&lt;$C26*1000,MIN(+$C26*$E26*1000,$C26*1000-SUM($F26:J26)),0)</f>
        <v>0</v>
      </c>
      <c r="L26" s="493">
        <f ca="1">IF(SUM($F26:K26)&lt;$C26*1000,MIN(+$C26*$E26*1000,$C26*1000-SUM($F26:K26)),0)</f>
        <v>0</v>
      </c>
      <c r="M26" s="493">
        <f ca="1">IF(SUM($F26:L26)&lt;$C26*1000,MIN(+$C26*$E26*1000,$C26*1000-SUM($F26:L26)),0)</f>
        <v>0</v>
      </c>
      <c r="N26" s="493">
        <f ca="1">IF(SUM($F26:M26)&lt;$C26*1000,MIN(+$C26*$E26*1000,$C26*1000-SUM($F26:M26)),0)</f>
        <v>0</v>
      </c>
      <c r="O26" s="493">
        <f ca="1">IF(SUM($F26:N26)&lt;$C26*1000,MIN(+$C26*$E26*1000,$C26*1000-SUM($F26:N26)),0)</f>
        <v>0</v>
      </c>
      <c r="P26" s="493">
        <f ca="1">IF(SUM($F26:O26)&lt;$C26*1000,MIN(+$C26*$E26*1000,$C26*1000-SUM($F26:O26)),0)</f>
        <v>0</v>
      </c>
      <c r="Q26" s="493">
        <f ca="1">IF(SUM($F26:P26)&lt;$C26*1000,MIN(+$C26*$E26*1000,$C26*1000-SUM($F26:P26)),0)</f>
        <v>0</v>
      </c>
      <c r="R26" s="493">
        <f ca="1">IF(SUM($F26:Q26)&lt;$C26*1000,MIN(+$C26*$E26*1000,$C26*1000-SUM($F26:Q26)),0)</f>
        <v>0</v>
      </c>
      <c r="S26" s="493">
        <f ca="1">IF(SUM($F26:R26)&lt;$C26*1000,MIN(+$C26*$E26*1000,$C26*1000-SUM($F26:R26)),0)</f>
        <v>0</v>
      </c>
      <c r="T26" s="493">
        <f ca="1">IF(SUM($F26:S26)&lt;$C26*1000,MIN(+$C26*$E26*1000,$C26*1000-SUM($F26:S26)),0)</f>
        <v>0</v>
      </c>
      <c r="U26" s="493">
        <f ca="1">IF(SUM($F26:T26)&lt;$C26*1000,MIN(+$C26*$E26*1000,$C26*1000-SUM($F26:T26)),0)</f>
        <v>0</v>
      </c>
      <c r="V26" s="493">
        <f ca="1">IF(SUM($F26:U26)&lt;$C26*1000,MIN(+$C26*$E26*1000,$C26*1000-SUM($F26:U26)),0)</f>
        <v>0</v>
      </c>
      <c r="W26" s="493">
        <f ca="1">IF(SUM($F26:V26)&lt;$C26*1000,MIN(+$C26*$E26*1000,$C26*1000-SUM($F26:V26)),0)</f>
        <v>0</v>
      </c>
      <c r="X26" s="493">
        <f ca="1">IF(SUM($F26:W26)&lt;$C26*1000,MIN(+$C26*$E26*1000,$C26*1000-SUM($F26:W26)),0)</f>
        <v>0</v>
      </c>
      <c r="Y26" s="493">
        <f ca="1">IF(SUM($F26:X26)&lt;$C26*1000,MIN(+$C26*$E26*1000,$C26*1000-SUM($F26:X26)),0)</f>
        <v>0</v>
      </c>
      <c r="Z26" s="493"/>
      <c r="AA26" s="498">
        <f t="shared" ca="1" si="2"/>
        <v>0</v>
      </c>
    </row>
    <row r="27" spans="1:27" ht="16.2">
      <c r="A27" s="494" t="str">
        <f ca="1">'TAXDEPR 144A'!A27</f>
        <v>Other</v>
      </c>
      <c r="B27" s="488">
        <v>1</v>
      </c>
      <c r="C27" s="496">
        <f>IF(B27=1,'ASSUM 2'!E22,0)</f>
        <v>0</v>
      </c>
      <c r="D27" s="488">
        <f>'ASSUM 2'!M22</f>
        <v>1</v>
      </c>
      <c r="E27" s="497">
        <f>IF(D27=1,'ASSUM 1'!H10,IF(D27=2,'ASSUM 1'!H11,IF(D27=3,'ASSUM 1'!H12,IF(D27=4,'ASSUM 1'!H13,IF(D27=5,'ASSUM 1'!H14,IF(D27=6,'ASSUM 1'!H15,'ASSUM 1'!H21))))))</f>
        <v>3.5087719298245612E-2</v>
      </c>
      <c r="F27" s="495">
        <f t="shared" ca="1" si="1"/>
        <v>0</v>
      </c>
      <c r="G27" s="493">
        <f ca="1">IF(SUM($F27:F27)&lt;$C27*1000,MIN(+$C27*$E27*1000,$C27*1000-SUM($F27:F27)),0)</f>
        <v>0</v>
      </c>
      <c r="H27" s="493">
        <f ca="1">IF(SUM($F27:G27)&lt;$C27*1000,MIN(+$C27*$E27*1000,$C27*1000-SUM($F27:G27)),0)</f>
        <v>0</v>
      </c>
      <c r="I27" s="493">
        <f ca="1">IF(SUM($F27:H27)&lt;$C27*1000,MIN(+$C27*$E27*1000,$C27*1000-SUM($F27:H27)),0)</f>
        <v>0</v>
      </c>
      <c r="J27" s="493">
        <f ca="1">IF(SUM($F27:I27)&lt;$C27*1000,MIN(+$C27*$E27*1000,$C27*1000-SUM($F27:I27)),0)</f>
        <v>0</v>
      </c>
      <c r="K27" s="493">
        <f ca="1">IF(SUM($F27:J27)&lt;$C27*1000,MIN(+$C27*$E27*1000,$C27*1000-SUM($F27:J27)),0)</f>
        <v>0</v>
      </c>
      <c r="L27" s="493">
        <f ca="1">IF(SUM($F27:K27)&lt;$C27*1000,MIN(+$C27*$E27*1000,$C27*1000-SUM($F27:K27)),0)</f>
        <v>0</v>
      </c>
      <c r="M27" s="493">
        <f ca="1">IF(SUM($F27:L27)&lt;$C27*1000,MIN(+$C27*$E27*1000,$C27*1000-SUM($F27:L27)),0)</f>
        <v>0</v>
      </c>
      <c r="N27" s="493">
        <f ca="1">IF(SUM($F27:M27)&lt;$C27*1000,MIN(+$C27*$E27*1000,$C27*1000-SUM($F27:M27)),0)</f>
        <v>0</v>
      </c>
      <c r="O27" s="493">
        <f ca="1">IF(SUM($F27:N27)&lt;$C27*1000,MIN(+$C27*$E27*1000,$C27*1000-SUM($F27:N27)),0)</f>
        <v>0</v>
      </c>
      <c r="P27" s="493">
        <f ca="1">IF(SUM($F27:O27)&lt;$C27*1000,MIN(+$C27*$E27*1000,$C27*1000-SUM($F27:O27)),0)</f>
        <v>0</v>
      </c>
      <c r="Q27" s="493">
        <f ca="1">IF(SUM($F27:P27)&lt;$C27*1000,MIN(+$C27*$E27*1000,$C27*1000-SUM($F27:P27)),0)</f>
        <v>0</v>
      </c>
      <c r="R27" s="493">
        <f ca="1">IF(SUM($F27:Q27)&lt;$C27*1000,MIN(+$C27*$E27*1000,$C27*1000-SUM($F27:Q27)),0)</f>
        <v>0</v>
      </c>
      <c r="S27" s="493">
        <f ca="1">IF(SUM($F27:R27)&lt;$C27*1000,MIN(+$C27*$E27*1000,$C27*1000-SUM($F27:R27)),0)</f>
        <v>0</v>
      </c>
      <c r="T27" s="493">
        <f ca="1">IF(SUM($F27:S27)&lt;$C27*1000,MIN(+$C27*$E27*1000,$C27*1000-SUM($F27:S27)),0)</f>
        <v>0</v>
      </c>
      <c r="U27" s="493">
        <f ca="1">IF(SUM($F27:T27)&lt;$C27*1000,MIN(+$C27*$E27*1000,$C27*1000-SUM($F27:T27)),0)</f>
        <v>0</v>
      </c>
      <c r="V27" s="493">
        <f ca="1">IF(SUM($F27:U27)&lt;$C27*1000,MIN(+$C27*$E27*1000,$C27*1000-SUM($F27:U27)),0)</f>
        <v>0</v>
      </c>
      <c r="W27" s="493">
        <f ca="1">IF(SUM($F27:V27)&lt;$C27*1000,MIN(+$C27*$E27*1000,$C27*1000-SUM($F27:V27)),0)</f>
        <v>0</v>
      </c>
      <c r="X27" s="493">
        <f ca="1">IF(SUM($F27:W27)&lt;$C27*1000,MIN(+$C27*$E27*1000,$C27*1000-SUM($F27:W27)),0)</f>
        <v>0</v>
      </c>
      <c r="Y27" s="493">
        <f ca="1">IF(SUM($F27:X27)&lt;$C27*1000,MIN(+$C27*$E27*1000,$C27*1000-SUM($F27:X27)),0)</f>
        <v>0</v>
      </c>
      <c r="Z27" s="493"/>
      <c r="AA27" s="498">
        <f t="shared" ca="1" si="2"/>
        <v>0</v>
      </c>
    </row>
    <row r="28" spans="1:27" ht="16.2">
      <c r="A28" s="494"/>
      <c r="B28" s="488"/>
      <c r="C28" s="496"/>
      <c r="D28" s="488"/>
      <c r="E28" s="497"/>
      <c r="F28" s="495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  <c r="AA28" s="498"/>
    </row>
    <row r="29" spans="1:27" ht="16.2">
      <c r="A29" s="494" t="str">
        <f ca="1">'TAXDEPR 144A'!A29</f>
        <v>Other</v>
      </c>
      <c r="B29" s="488"/>
      <c r="C29" s="496"/>
      <c r="D29" s="488"/>
      <c r="E29" s="497"/>
      <c r="F29" s="495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  <c r="AA29" s="498"/>
    </row>
    <row r="30" spans="1:27" ht="16.2">
      <c r="A30" s="494" t="str">
        <f ca="1">'TAXDEPR 144A'!A30</f>
        <v>Land</v>
      </c>
      <c r="B30" s="488">
        <v>0</v>
      </c>
      <c r="C30" s="496">
        <f>IF(B30=1,'ASSUM 2'!E26,0)</f>
        <v>0</v>
      </c>
      <c r="D30" s="488">
        <f>'ASSUM 2'!M26</f>
        <v>0</v>
      </c>
      <c r="E30" s="497">
        <f>IF(D30=1,'ASSUM 1'!H10,IF(D30=2,'ASSUM 1'!H11,IF(D30=3,'ASSUM 1'!H12,IF(D30=4,'ASSUM 1'!H13,IF(D30=5,'ASSUM 1'!H14,IF(D30=6,'ASSUM 1'!H15,'ASSUM 1'!H21))))))</f>
        <v>0.2</v>
      </c>
      <c r="F30" s="495">
        <f ca="1">$C30*$E30*1000*F$9/12</f>
        <v>0</v>
      </c>
      <c r="G30" s="493">
        <f ca="1">IF(SUM($F30:F30)&lt;$C30*1000,MIN(+$C30*$E30*1000,$C30*1000-SUM($F30:F30)),0)</f>
        <v>0</v>
      </c>
      <c r="H30" s="493">
        <f ca="1">IF(SUM($F30:G30)&lt;$C30*1000,MIN(+$C30*$E30*1000,$C30*1000-SUM($F30:G30)),0)</f>
        <v>0</v>
      </c>
      <c r="I30" s="493">
        <f ca="1">IF(SUM($F30:H30)&lt;$C30*1000,MIN(+$C30*$E30*1000,$C30*1000-SUM($F30:H30)),0)</f>
        <v>0</v>
      </c>
      <c r="J30" s="493">
        <f ca="1">IF(SUM($F30:I30)&lt;$C30*1000,MIN(+$C30*$E30*1000,$C30*1000-SUM($F30:I30)),0)</f>
        <v>0</v>
      </c>
      <c r="K30" s="493">
        <f ca="1">IF(SUM($F30:J30)&lt;$C30*1000,MIN(+$C30*$E30*1000,$C30*1000-SUM($F30:J30)),0)</f>
        <v>0</v>
      </c>
      <c r="L30" s="493">
        <f ca="1">IF(SUM($F30:K30)&lt;$C30*1000,MIN(+$C30*$E30*1000,$C30*1000-SUM($F30:K30)),0)</f>
        <v>0</v>
      </c>
      <c r="M30" s="493">
        <f ca="1">IF(SUM($F30:L30)&lt;$C30*1000,MIN(+$C30*$E30*1000,$C30*1000-SUM($F30:L30)),0)</f>
        <v>0</v>
      </c>
      <c r="N30" s="493">
        <f ca="1">IF(SUM($F30:M30)&lt;$C30*1000,MIN(+$C30*$E30*1000,$C30*1000-SUM($F30:M30)),0)</f>
        <v>0</v>
      </c>
      <c r="O30" s="493">
        <f ca="1">IF(SUM($F30:N30)&lt;$C30*1000,MIN(+$C30*$E30*1000,$C30*1000-SUM($F30:N30)),0)</f>
        <v>0</v>
      </c>
      <c r="P30" s="493">
        <f ca="1">IF(SUM($F30:O30)&lt;$C30*1000,MIN(+$C30*$E30*1000,$C30*1000-SUM($F30:O30)),0)</f>
        <v>0</v>
      </c>
      <c r="Q30" s="493">
        <f ca="1">IF(SUM($F30:P30)&lt;$C30*1000,MIN(+$C30*$E30*1000,$C30*1000-SUM($F30:P30)),0)</f>
        <v>0</v>
      </c>
      <c r="R30" s="493">
        <f ca="1">IF(SUM($F30:Q30)&lt;$C30*1000,MIN(+$C30*$E30*1000,$C30*1000-SUM($F30:Q30)),0)</f>
        <v>0</v>
      </c>
      <c r="S30" s="493">
        <f ca="1">IF(SUM($F30:R30)&lt;$C30*1000,MIN(+$C30*$E30*1000,$C30*1000-SUM($F30:R30)),0)</f>
        <v>0</v>
      </c>
      <c r="T30" s="493">
        <f ca="1">IF(SUM($F30:S30)&lt;$C30*1000,MIN(+$C30*$E30*1000,$C30*1000-SUM($F30:S30)),0)</f>
        <v>0</v>
      </c>
      <c r="U30" s="493">
        <f ca="1">IF(SUM($F30:T30)&lt;$C30*1000,MIN(+$C30*$E30*1000,$C30*1000-SUM($F30:T30)),0)</f>
        <v>0</v>
      </c>
      <c r="V30" s="493">
        <f ca="1">IF(SUM($F30:U30)&lt;$C30*1000,MIN(+$C30*$E30*1000,$C30*1000-SUM($F30:U30)),0)</f>
        <v>0</v>
      </c>
      <c r="W30" s="493">
        <f ca="1">IF(SUM($F30:V30)&lt;$C30*1000,MIN(+$C30*$E30*1000,$C30*1000-SUM($F30:V30)),0)</f>
        <v>0</v>
      </c>
      <c r="X30" s="493">
        <f ca="1">IF(SUM($F30:W30)&lt;$C30*1000,MIN(+$C30*$E30*1000,$C30*1000-SUM($F30:W30)),0)</f>
        <v>0</v>
      </c>
      <c r="Y30" s="493">
        <f ca="1">IF(SUM($F30:X30)&lt;$C30*1000,MIN(+$C30*$E30*1000,$C30*1000-SUM($F30:X30)),0)</f>
        <v>0</v>
      </c>
      <c r="Z30" s="493"/>
      <c r="AA30" s="498">
        <f ca="1">SUM(F30:Y30)-C30*1000</f>
        <v>0</v>
      </c>
    </row>
    <row r="31" spans="1:27" ht="16.2">
      <c r="A31" s="494" t="str">
        <f ca="1">'TAXDEPR 144A'!A31</f>
        <v>Transmission Costs</v>
      </c>
      <c r="B31" s="488">
        <v>1</v>
      </c>
      <c r="C31" s="496">
        <f>IF(B31=1,'ASSUM 2'!E27,0)</f>
        <v>1.9</v>
      </c>
      <c r="D31" s="488">
        <f>'ASSUM 2'!M27</f>
        <v>5</v>
      </c>
      <c r="E31" s="497">
        <f>IF(D31=1,'ASSUM 1'!H10,IF(D31=2,'ASSUM 1'!H11,IF(D31=3,'ASSUM 1'!H12,IF(D31=4,'ASSUM 1'!H13,IF(D31=5,'ASSUM 1'!H14,IF(D31=6,'ASSUM 1'!H15,'ASSUM 1'!H21))))))</f>
        <v>3.5087719298245612E-2</v>
      </c>
      <c r="F31" s="495">
        <f ca="1">$C31*$E31*1000*F$9/12</f>
        <v>38.888888888888893</v>
      </c>
      <c r="G31" s="493">
        <f ca="1">IF(SUM($F31:F31)&lt;$C31*1000,MIN(+$C31*$E31*1000,$C31*1000-SUM($F31:F31)),0)</f>
        <v>66.666666666666671</v>
      </c>
      <c r="H31" s="493">
        <f ca="1">IF(SUM($F31:G31)&lt;$C31*1000,MIN(+$C31*$E31*1000,$C31*1000-SUM($F31:G31)),0)</f>
        <v>66.666666666666671</v>
      </c>
      <c r="I31" s="493">
        <f ca="1">IF(SUM($F31:H31)&lt;$C31*1000,MIN(+$C31*$E31*1000,$C31*1000-SUM($F31:H31)),0)</f>
        <v>66.666666666666671</v>
      </c>
      <c r="J31" s="493">
        <f ca="1">IF(SUM($F31:I31)&lt;$C31*1000,MIN(+$C31*$E31*1000,$C31*1000-SUM($F31:I31)),0)</f>
        <v>66.666666666666671</v>
      </c>
      <c r="K31" s="493">
        <f ca="1">IF(SUM($F31:J31)&lt;$C31*1000,MIN(+$C31*$E31*1000,$C31*1000-SUM($F31:J31)),0)</f>
        <v>66.666666666666671</v>
      </c>
      <c r="L31" s="493">
        <f ca="1">IF(SUM($F31:K31)&lt;$C31*1000,MIN(+$C31*$E31*1000,$C31*1000-SUM($F31:K31)),0)</f>
        <v>66.666666666666671</v>
      </c>
      <c r="M31" s="493">
        <f ca="1">IF(SUM($F31:L31)&lt;$C31*1000,MIN(+$C31*$E31*1000,$C31*1000-SUM($F31:L31)),0)</f>
        <v>66.666666666666671</v>
      </c>
      <c r="N31" s="493">
        <f ca="1">IF(SUM($F31:M31)&lt;$C31*1000,MIN(+$C31*$E31*1000,$C31*1000-SUM($F31:M31)),0)</f>
        <v>66.666666666666671</v>
      </c>
      <c r="O31" s="493">
        <f ca="1">IF(SUM($F31:N31)&lt;$C31*1000,MIN(+$C31*$E31*1000,$C31*1000-SUM($F31:N31)),0)</f>
        <v>66.666666666666671</v>
      </c>
      <c r="P31" s="493">
        <f ca="1">IF(SUM($F31:O31)&lt;$C31*1000,MIN(+$C31*$E31*1000,$C31*1000-SUM($F31:O31)),0)</f>
        <v>66.666666666666671</v>
      </c>
      <c r="Q31" s="493">
        <f ca="1">IF(SUM($F31:P31)&lt;$C31*1000,MIN(+$C31*$E31*1000,$C31*1000-SUM($F31:P31)),0)</f>
        <v>66.666666666666671</v>
      </c>
      <c r="R31" s="493">
        <f ca="1">IF(SUM($F31:Q31)&lt;$C31*1000,MIN(+$C31*$E31*1000,$C31*1000-SUM($F31:Q31)),0)</f>
        <v>66.666666666666671</v>
      </c>
      <c r="S31" s="493">
        <f ca="1">IF(SUM($F31:R31)&lt;$C31*1000,MIN(+$C31*$E31*1000,$C31*1000-SUM($F31:R31)),0)</f>
        <v>66.666666666666671</v>
      </c>
      <c r="T31" s="493">
        <f ca="1">IF(SUM($F31:S31)&lt;$C31*1000,MIN(+$C31*$E31*1000,$C31*1000-SUM($F31:S31)),0)</f>
        <v>66.666666666666671</v>
      </c>
      <c r="U31" s="493">
        <f ca="1">IF(SUM($F31:T31)&lt;$C31*1000,MIN(+$C31*$E31*1000,$C31*1000-SUM($F31:T31)),0)</f>
        <v>66.666666666666671</v>
      </c>
      <c r="V31" s="493">
        <f ca="1">IF(SUM($F31:U31)&lt;$C31*1000,MIN(+$C31*$E31*1000,$C31*1000-SUM($F31:U31)),0)</f>
        <v>66.666666666666671</v>
      </c>
      <c r="W31" s="493">
        <f ca="1">IF(SUM($F31:V31)&lt;$C31*1000,MIN(+$C31*$E31*1000,$C31*1000-SUM($F31:V31)),0)</f>
        <v>66.666666666666671</v>
      </c>
      <c r="X31" s="493">
        <f ca="1">IF(SUM($F31:W31)&lt;$C31*1000,MIN(+$C31*$E31*1000,$C31*1000-SUM($F31:W31)),0)</f>
        <v>66.666666666666671</v>
      </c>
      <c r="Y31" s="493">
        <f ca="1">IF(SUM($F31:X31)&lt;$C31*1000,MIN(+$C31*$E31*1000,$C31*1000-SUM($F31:X31)),0)</f>
        <v>66.666666666666671</v>
      </c>
      <c r="Z31" s="493"/>
      <c r="AA31" s="498">
        <f ca="1">SUM(F31:Y31)-C31*1000</f>
        <v>-594.44444444444434</v>
      </c>
    </row>
    <row r="32" spans="1:27" ht="16.2">
      <c r="A32" s="494" t="str">
        <f ca="1">'TAXDEPR 144A'!A32</f>
        <v>AES Development Cost Reimbursement</v>
      </c>
      <c r="B32" s="488">
        <v>1</v>
      </c>
      <c r="C32" s="496">
        <f>IF(B32=1,'ASSUM 2'!E28,0)</f>
        <v>1.2170000000000001</v>
      </c>
      <c r="D32" s="488">
        <f>'ASSUM 2'!M28</f>
        <v>3</v>
      </c>
      <c r="E32" s="497">
        <f>IF(D32=1,'ASSUM 1'!H10,IF(D32=2,'ASSUM 1'!H11,IF(D32=3,'ASSUM 1'!H12,IF(D32=4,'ASSUM 1'!H13,IF(D32=5,'ASSUM 1'!H14,IF(D32=6,'ASSUM 1'!H15,'ASSUM 1'!H21))))))</f>
        <v>3.5087719298245612E-2</v>
      </c>
      <c r="F32" s="495">
        <f ca="1">$C32*$E32*1000*F$9/12</f>
        <v>24.909356725146196</v>
      </c>
      <c r="G32" s="493">
        <f ca="1">IF(SUM($F32:F32)&lt;$C32*1000,MIN(+$C32*$E32*1000,$C32*1000-SUM($F32:F32)),0)</f>
        <v>42.701754385964911</v>
      </c>
      <c r="H32" s="493">
        <f ca="1">IF(SUM($F32:G32)&lt;$C32*1000,MIN(+$C32*$E32*1000,$C32*1000-SUM($F32:G32)),0)</f>
        <v>42.701754385964911</v>
      </c>
      <c r="I32" s="493">
        <f ca="1">IF(SUM($F32:H32)&lt;$C32*1000,MIN(+$C32*$E32*1000,$C32*1000-SUM($F32:H32)),0)</f>
        <v>42.701754385964911</v>
      </c>
      <c r="J32" s="493">
        <f ca="1">IF(SUM($F32:I32)&lt;$C32*1000,MIN(+$C32*$E32*1000,$C32*1000-SUM($F32:I32)),0)</f>
        <v>42.701754385964911</v>
      </c>
      <c r="K32" s="493">
        <f ca="1">IF(SUM($F32:J32)&lt;$C32*1000,MIN(+$C32*$E32*1000,$C32*1000-SUM($F32:J32)),0)</f>
        <v>42.701754385964911</v>
      </c>
      <c r="L32" s="493">
        <f ca="1">IF(SUM($F32:K32)&lt;$C32*1000,MIN(+$C32*$E32*1000,$C32*1000-SUM($F32:K32)),0)</f>
        <v>42.701754385964911</v>
      </c>
      <c r="M32" s="493">
        <f ca="1">IF(SUM($F32:L32)&lt;$C32*1000,MIN(+$C32*$E32*1000,$C32*1000-SUM($F32:L32)),0)</f>
        <v>42.701754385964911</v>
      </c>
      <c r="N32" s="493">
        <f ca="1">IF(SUM($F32:M32)&lt;$C32*1000,MIN(+$C32*$E32*1000,$C32*1000-SUM($F32:M32)),0)</f>
        <v>42.701754385964911</v>
      </c>
      <c r="O32" s="493">
        <f ca="1">IF(SUM($F32:N32)&lt;$C32*1000,MIN(+$C32*$E32*1000,$C32*1000-SUM($F32:N32)),0)</f>
        <v>42.701754385964911</v>
      </c>
      <c r="P32" s="493">
        <f ca="1">IF(SUM($F32:O32)&lt;$C32*1000,MIN(+$C32*$E32*1000,$C32*1000-SUM($F32:O32)),0)</f>
        <v>42.701754385964911</v>
      </c>
      <c r="Q32" s="493">
        <f ca="1">IF(SUM($F32:P32)&lt;$C32*1000,MIN(+$C32*$E32*1000,$C32*1000-SUM($F32:P32)),0)</f>
        <v>42.701754385964911</v>
      </c>
      <c r="R32" s="493">
        <f ca="1">IF(SUM($F32:Q32)&lt;$C32*1000,MIN(+$C32*$E32*1000,$C32*1000-SUM($F32:Q32)),0)</f>
        <v>42.701754385964911</v>
      </c>
      <c r="S32" s="493">
        <f ca="1">IF(SUM($F32:R32)&lt;$C32*1000,MIN(+$C32*$E32*1000,$C32*1000-SUM($F32:R32)),0)</f>
        <v>42.701754385964911</v>
      </c>
      <c r="T32" s="493">
        <f ca="1">IF(SUM($F32:S32)&lt;$C32*1000,MIN(+$C32*$E32*1000,$C32*1000-SUM($F32:S32)),0)</f>
        <v>42.701754385964911</v>
      </c>
      <c r="U32" s="493">
        <f ca="1">IF(SUM($F32:T32)&lt;$C32*1000,MIN(+$C32*$E32*1000,$C32*1000-SUM($F32:T32)),0)</f>
        <v>42.701754385964911</v>
      </c>
      <c r="V32" s="493">
        <f ca="1">IF(SUM($F32:U32)&lt;$C32*1000,MIN(+$C32*$E32*1000,$C32*1000-SUM($F32:U32)),0)</f>
        <v>42.701754385964911</v>
      </c>
      <c r="W32" s="493">
        <f ca="1">IF(SUM($F32:V32)&lt;$C32*1000,MIN(+$C32*$E32*1000,$C32*1000-SUM($F32:V32)),0)</f>
        <v>42.701754385964911</v>
      </c>
      <c r="X32" s="493">
        <f ca="1">IF(SUM($F32:W32)&lt;$C32*1000,MIN(+$C32*$E32*1000,$C32*1000-SUM($F32:W32)),0)</f>
        <v>42.701754385964911</v>
      </c>
      <c r="Y32" s="493">
        <f ca="1">IF(SUM($F32:X32)&lt;$C32*1000,MIN(+$C32*$E32*1000,$C32*1000-SUM($F32:X32)),0)</f>
        <v>42.701754385964911</v>
      </c>
      <c r="Z32" s="493"/>
      <c r="AA32" s="498">
        <f ca="1">SUM(F32:Y32)-C32*1000</f>
        <v>-380.75730994152025</v>
      </c>
    </row>
    <row r="33" spans="1:27" ht="16.2">
      <c r="A33" s="494" t="str">
        <f ca="1">'TAXDEPR 144A'!A33</f>
        <v>Six Ring Bus</v>
      </c>
      <c r="B33" s="488">
        <v>1</v>
      </c>
      <c r="C33" s="496">
        <f>IF(B33=1,'ASSUM 2'!E29,0)</f>
        <v>3.1280000000000001</v>
      </c>
      <c r="D33" s="488">
        <f>'ASSUM 2'!M29</f>
        <v>3</v>
      </c>
      <c r="E33" s="497">
        <f>IF(D33=1,'ASSUM 1'!H10,IF(D33=2,'ASSUM 1'!H11,IF(D33=3,'ASSUM 1'!H12,IF(D33=4,'ASSUM 1'!H13,IF(D33=5,'ASSUM 1'!H14,IF(D33=6,'ASSUM 1'!H15,'ASSUM 1'!H21))))))</f>
        <v>3.5087719298245612E-2</v>
      </c>
      <c r="F33" s="495">
        <f ca="1">$C33*$E33*1000*F$9/12</f>
        <v>64.023391812865498</v>
      </c>
      <c r="G33" s="493">
        <f ca="1">IF(SUM($F33:F33)&lt;$C33*1000,MIN(+$C33*$E33*1000,$C33*1000-SUM($F33:F33)),0)</f>
        <v>109.75438596491229</v>
      </c>
      <c r="H33" s="493">
        <f ca="1">IF(SUM($F33:G33)&lt;$C33*1000,MIN(+$C33*$E33*1000,$C33*1000-SUM($F33:G33)),0)</f>
        <v>109.75438596491229</v>
      </c>
      <c r="I33" s="493">
        <f ca="1">IF(SUM($F33:H33)&lt;$C33*1000,MIN(+$C33*$E33*1000,$C33*1000-SUM($F33:H33)),0)</f>
        <v>109.75438596491229</v>
      </c>
      <c r="J33" s="493">
        <f ca="1">IF(SUM($F33:I33)&lt;$C33*1000,MIN(+$C33*$E33*1000,$C33*1000-SUM($F33:I33)),0)</f>
        <v>109.75438596491229</v>
      </c>
      <c r="K33" s="493">
        <f ca="1">IF(SUM($F33:J33)&lt;$C33*1000,MIN(+$C33*$E33*1000,$C33*1000-SUM($F33:J33)),0)</f>
        <v>109.75438596491229</v>
      </c>
      <c r="L33" s="493">
        <f ca="1">IF(SUM($F33:K33)&lt;$C33*1000,MIN(+$C33*$E33*1000,$C33*1000-SUM($F33:K33)),0)</f>
        <v>109.75438596491229</v>
      </c>
      <c r="M33" s="493">
        <f ca="1">IF(SUM($F33:L33)&lt;$C33*1000,MIN(+$C33*$E33*1000,$C33*1000-SUM($F33:L33)),0)</f>
        <v>109.75438596491229</v>
      </c>
      <c r="N33" s="493">
        <f ca="1">IF(SUM($F33:M33)&lt;$C33*1000,MIN(+$C33*$E33*1000,$C33*1000-SUM($F33:M33)),0)</f>
        <v>109.75438596491229</v>
      </c>
      <c r="O33" s="493">
        <f ca="1">IF(SUM($F33:N33)&lt;$C33*1000,MIN(+$C33*$E33*1000,$C33*1000-SUM($F33:N33)),0)</f>
        <v>109.75438596491229</v>
      </c>
      <c r="P33" s="493">
        <f ca="1">IF(SUM($F33:O33)&lt;$C33*1000,MIN(+$C33*$E33*1000,$C33*1000-SUM($F33:O33)),0)</f>
        <v>109.75438596491229</v>
      </c>
      <c r="Q33" s="493">
        <f ca="1">IF(SUM($F33:P33)&lt;$C33*1000,MIN(+$C33*$E33*1000,$C33*1000-SUM($F33:P33)),0)</f>
        <v>109.75438596491229</v>
      </c>
      <c r="R33" s="493">
        <f ca="1">IF(SUM($F33:Q33)&lt;$C33*1000,MIN(+$C33*$E33*1000,$C33*1000-SUM($F33:Q33)),0)</f>
        <v>109.75438596491229</v>
      </c>
      <c r="S33" s="493">
        <f ca="1">IF(SUM($F33:R33)&lt;$C33*1000,MIN(+$C33*$E33*1000,$C33*1000-SUM($F33:R33)),0)</f>
        <v>109.75438596491229</v>
      </c>
      <c r="T33" s="493">
        <f ca="1">IF(SUM($F33:S33)&lt;$C33*1000,MIN(+$C33*$E33*1000,$C33*1000-SUM($F33:S33)),0)</f>
        <v>109.75438596491229</v>
      </c>
      <c r="U33" s="493">
        <f ca="1">IF(SUM($F33:T33)&lt;$C33*1000,MIN(+$C33*$E33*1000,$C33*1000-SUM($F33:T33)),0)</f>
        <v>109.75438596491229</v>
      </c>
      <c r="V33" s="493">
        <f ca="1">IF(SUM($F33:U33)&lt;$C33*1000,MIN(+$C33*$E33*1000,$C33*1000-SUM($F33:U33)),0)</f>
        <v>109.75438596491229</v>
      </c>
      <c r="W33" s="493">
        <f ca="1">IF(SUM($F33:V33)&lt;$C33*1000,MIN(+$C33*$E33*1000,$C33*1000-SUM($F33:V33)),0)</f>
        <v>109.75438596491229</v>
      </c>
      <c r="X33" s="493">
        <f ca="1">IF(SUM($F33:W33)&lt;$C33*1000,MIN(+$C33*$E33*1000,$C33*1000-SUM($F33:W33)),0)</f>
        <v>109.75438596491229</v>
      </c>
      <c r="Y33" s="493">
        <f ca="1">IF(SUM($F33:X33)&lt;$C33*1000,MIN(+$C33*$E33*1000,$C33*1000-SUM($F33:X33)),0)</f>
        <v>109.75438596491229</v>
      </c>
      <c r="Z33" s="493"/>
      <c r="AA33" s="498">
        <f ca="1">SUM(F33:Y33)-C33*1000</f>
        <v>-978.64327485380136</v>
      </c>
    </row>
    <row r="34" spans="1:27" ht="16.2">
      <c r="A34" s="494"/>
      <c r="B34" s="488"/>
      <c r="C34" s="496"/>
      <c r="D34" s="488"/>
      <c r="E34" s="497"/>
      <c r="F34" s="495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  <c r="AA34" s="498">
        <f>SUM(F34:Y34)-C34*1000</f>
        <v>0</v>
      </c>
    </row>
    <row r="35" spans="1:27" ht="16.2">
      <c r="A35" s="494" t="str">
        <f ca="1">'TAXDEPR 144A'!A35</f>
        <v>Soft Costs</v>
      </c>
      <c r="B35" s="488"/>
      <c r="C35" s="496"/>
      <c r="D35" s="488"/>
      <c r="E35" s="497"/>
      <c r="F35" s="495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  <c r="AA35" s="498"/>
    </row>
    <row r="36" spans="1:27" ht="16.2">
      <c r="A36" s="494" t="str">
        <f ca="1">'TAXDEPR 144A'!A36</f>
        <v>Development Cost Budget</v>
      </c>
      <c r="B36" s="488">
        <v>1</v>
      </c>
      <c r="C36" s="496">
        <f>IF(B36=1,'ASSUM 2'!E33,0)</f>
        <v>2.2999999999999998</v>
      </c>
      <c r="D36" s="488">
        <f>'ASSUM 2'!M33</f>
        <v>6</v>
      </c>
      <c r="E36" s="497">
        <f>IF(D36=1,'ASSUM 1'!H10,IF(D36=2,'ASSUM 1'!H11,IF(D36=3,'ASSUM 1'!H12,IF(D36=4,'ASSUM 1'!H13,IF(D36=5,'ASSUM 1'!H14,IF(D36=6,'ASSUM 1'!H15,'ASSUM 1'!H21))))))</f>
        <v>3.5087719298245612E-2</v>
      </c>
      <c r="F36" s="495">
        <f t="shared" ref="F36:F55" ca="1" si="3">$C36*$E36*1000*F$9/12</f>
        <v>47.076023391812861</v>
      </c>
      <c r="G36" s="493">
        <f ca="1">IF(SUM($F36:F36)&lt;$C36*1000,MIN(+$C36*$E36*1000,$C36*1000-SUM($F36:F36)),0)</f>
        <v>80.701754385964904</v>
      </c>
      <c r="H36" s="493">
        <f ca="1">IF(SUM($F36:G36)&lt;$C36*1000,MIN(+$C36*$E36*1000,$C36*1000-SUM($F36:G36)),0)</f>
        <v>80.701754385964904</v>
      </c>
      <c r="I36" s="493">
        <f ca="1">IF(SUM($F36:H36)&lt;$C36*1000,MIN(+$C36*$E36*1000,$C36*1000-SUM($F36:H36)),0)</f>
        <v>80.701754385964904</v>
      </c>
      <c r="J36" s="493">
        <f ca="1">IF(SUM($F36:I36)&lt;$C36*1000,MIN(+$C36*$E36*1000,$C36*1000-SUM($F36:I36)),0)</f>
        <v>80.701754385964904</v>
      </c>
      <c r="K36" s="493">
        <f ca="1">IF(SUM($F36:J36)&lt;$C36*1000,MIN(+$C36*$E36*1000,$C36*1000-SUM($F36:J36)),0)</f>
        <v>80.701754385964904</v>
      </c>
      <c r="L36" s="493">
        <f ca="1">IF(SUM($F36:K36)&lt;$C36*1000,MIN(+$C36*$E36*1000,$C36*1000-SUM($F36:K36)),0)</f>
        <v>80.701754385964904</v>
      </c>
      <c r="M36" s="493">
        <f ca="1">IF(SUM($F36:L36)&lt;$C36*1000,MIN(+$C36*$E36*1000,$C36*1000-SUM($F36:L36)),0)</f>
        <v>80.701754385964904</v>
      </c>
      <c r="N36" s="493">
        <f ca="1">IF(SUM($F36:M36)&lt;$C36*1000,MIN(+$C36*$E36*1000,$C36*1000-SUM($F36:M36)),0)</f>
        <v>80.701754385964904</v>
      </c>
      <c r="O36" s="493">
        <f ca="1">IF(SUM($F36:N36)&lt;$C36*1000,MIN(+$C36*$E36*1000,$C36*1000-SUM($F36:N36)),0)</f>
        <v>80.701754385964904</v>
      </c>
      <c r="P36" s="493">
        <f ca="1">IF(SUM($F36:O36)&lt;$C36*1000,MIN(+$C36*$E36*1000,$C36*1000-SUM($F36:O36)),0)</f>
        <v>80.701754385964904</v>
      </c>
      <c r="Q36" s="493">
        <f ca="1">IF(SUM($F36:P36)&lt;$C36*1000,MIN(+$C36*$E36*1000,$C36*1000-SUM($F36:P36)),0)</f>
        <v>80.701754385964904</v>
      </c>
      <c r="R36" s="493">
        <f ca="1">IF(SUM($F36:Q36)&lt;$C36*1000,MIN(+$C36*$E36*1000,$C36*1000-SUM($F36:Q36)),0)</f>
        <v>80.701754385964904</v>
      </c>
      <c r="S36" s="493">
        <f ca="1">IF(SUM($F36:R36)&lt;$C36*1000,MIN(+$C36*$E36*1000,$C36*1000-SUM($F36:R36)),0)</f>
        <v>80.701754385964904</v>
      </c>
      <c r="T36" s="493">
        <f ca="1">IF(SUM($F36:S36)&lt;$C36*1000,MIN(+$C36*$E36*1000,$C36*1000-SUM($F36:S36)),0)</f>
        <v>80.701754385964904</v>
      </c>
      <c r="U36" s="493">
        <f ca="1">IF(SUM($F36:T36)&lt;$C36*1000,MIN(+$C36*$E36*1000,$C36*1000-SUM($F36:T36)),0)</f>
        <v>80.701754385964904</v>
      </c>
      <c r="V36" s="493">
        <f ca="1">IF(SUM($F36:U36)&lt;$C36*1000,MIN(+$C36*$E36*1000,$C36*1000-SUM($F36:U36)),0)</f>
        <v>80.701754385964904</v>
      </c>
      <c r="W36" s="493">
        <f ca="1">IF(SUM($F36:V36)&lt;$C36*1000,MIN(+$C36*$E36*1000,$C36*1000-SUM($F36:V36)),0)</f>
        <v>80.701754385964904</v>
      </c>
      <c r="X36" s="493">
        <f ca="1">IF(SUM($F36:W36)&lt;$C36*1000,MIN(+$C36*$E36*1000,$C36*1000-SUM($F36:W36)),0)</f>
        <v>80.701754385964904</v>
      </c>
      <c r="Y36" s="493">
        <f ca="1">IF(SUM($F36:X36)&lt;$C36*1000,MIN(+$C36*$E36*1000,$C36*1000-SUM($F36:X36)),0)</f>
        <v>80.701754385964904</v>
      </c>
      <c r="Z36" s="493"/>
      <c r="AA36" s="498">
        <f t="shared" ref="AA36:AA55" ca="1" si="4">SUM(F36:Y36)-C36*1000</f>
        <v>-719.59064327485362</v>
      </c>
    </row>
    <row r="37" spans="1:27" ht="16.2">
      <c r="A37" s="494" t="str">
        <f ca="1">'TAXDEPR 144A'!A37</f>
        <v>Construction Over-site budget</v>
      </c>
      <c r="B37" s="488">
        <v>1</v>
      </c>
      <c r="C37" s="496">
        <f>IF(B37=1,'ASSUM 2'!E34,0)</f>
        <v>1.1559999999999999</v>
      </c>
      <c r="D37" s="488">
        <f>'ASSUM 2'!M34</f>
        <v>6</v>
      </c>
      <c r="E37" s="497">
        <f>IF(D37=1,'ASSUM 1'!H10,IF(D37=2,'ASSUM 1'!H11,IF(D37=3,'ASSUM 1'!H12,IF(D37=4,'ASSUM 1'!H13,IF(D37=5,'ASSUM 1'!H14,IF(D37=6,'ASSUM 1'!H15,'ASSUM 1'!H21))))))</f>
        <v>3.5087719298245612E-2</v>
      </c>
      <c r="F37" s="495">
        <f t="shared" ca="1" si="3"/>
        <v>23.660818713450286</v>
      </c>
      <c r="G37" s="493">
        <f ca="1">IF(SUM($F37:F37)&lt;$C37*1000,MIN(+$C37*$E37*1000,$C37*1000-SUM($F37:F37)),0)</f>
        <v>40.561403508771924</v>
      </c>
      <c r="H37" s="493">
        <f ca="1">IF(SUM($F37:G37)&lt;$C37*1000,MIN(+$C37*$E37*1000,$C37*1000-SUM($F37:G37)),0)</f>
        <v>40.561403508771924</v>
      </c>
      <c r="I37" s="493">
        <f ca="1">IF(SUM($F37:H37)&lt;$C37*1000,MIN(+$C37*$E37*1000,$C37*1000-SUM($F37:H37)),0)</f>
        <v>40.561403508771924</v>
      </c>
      <c r="J37" s="493">
        <f ca="1">IF(SUM($F37:I37)&lt;$C37*1000,MIN(+$C37*$E37*1000,$C37*1000-SUM($F37:I37)),0)</f>
        <v>40.561403508771924</v>
      </c>
      <c r="K37" s="493">
        <f ca="1">IF(SUM($F37:J37)&lt;$C37*1000,MIN(+$C37*$E37*1000,$C37*1000-SUM($F37:J37)),0)</f>
        <v>40.561403508771924</v>
      </c>
      <c r="L37" s="493">
        <f ca="1">IF(SUM($F37:K37)&lt;$C37*1000,MIN(+$C37*$E37*1000,$C37*1000-SUM($F37:K37)),0)</f>
        <v>40.561403508771924</v>
      </c>
      <c r="M37" s="493">
        <f ca="1">IF(SUM($F37:L37)&lt;$C37*1000,MIN(+$C37*$E37*1000,$C37*1000-SUM($F37:L37)),0)</f>
        <v>40.561403508771924</v>
      </c>
      <c r="N37" s="493">
        <f ca="1">IF(SUM($F37:M37)&lt;$C37*1000,MIN(+$C37*$E37*1000,$C37*1000-SUM($F37:M37)),0)</f>
        <v>40.561403508771924</v>
      </c>
      <c r="O37" s="493">
        <f ca="1">IF(SUM($F37:N37)&lt;$C37*1000,MIN(+$C37*$E37*1000,$C37*1000-SUM($F37:N37)),0)</f>
        <v>40.561403508771924</v>
      </c>
      <c r="P37" s="493">
        <f ca="1">IF(SUM($F37:O37)&lt;$C37*1000,MIN(+$C37*$E37*1000,$C37*1000-SUM($F37:O37)),0)</f>
        <v>40.561403508771924</v>
      </c>
      <c r="Q37" s="493">
        <f ca="1">IF(SUM($F37:P37)&lt;$C37*1000,MIN(+$C37*$E37*1000,$C37*1000-SUM($F37:P37)),0)</f>
        <v>40.561403508771924</v>
      </c>
      <c r="R37" s="493">
        <f ca="1">IF(SUM($F37:Q37)&lt;$C37*1000,MIN(+$C37*$E37*1000,$C37*1000-SUM($F37:Q37)),0)</f>
        <v>40.561403508771924</v>
      </c>
      <c r="S37" s="493">
        <f ca="1">IF(SUM($F37:R37)&lt;$C37*1000,MIN(+$C37*$E37*1000,$C37*1000-SUM($F37:R37)),0)</f>
        <v>40.561403508771924</v>
      </c>
      <c r="T37" s="493">
        <f ca="1">IF(SUM($F37:S37)&lt;$C37*1000,MIN(+$C37*$E37*1000,$C37*1000-SUM($F37:S37)),0)</f>
        <v>40.561403508771924</v>
      </c>
      <c r="U37" s="493">
        <f ca="1">IF(SUM($F37:T37)&lt;$C37*1000,MIN(+$C37*$E37*1000,$C37*1000-SUM($F37:T37)),0)</f>
        <v>40.561403508771924</v>
      </c>
      <c r="V37" s="493">
        <f ca="1">IF(SUM($F37:U37)&lt;$C37*1000,MIN(+$C37*$E37*1000,$C37*1000-SUM($F37:U37)),0)</f>
        <v>40.561403508771924</v>
      </c>
      <c r="W37" s="493">
        <f ca="1">IF(SUM($F37:V37)&lt;$C37*1000,MIN(+$C37*$E37*1000,$C37*1000-SUM($F37:V37)),0)</f>
        <v>40.561403508771924</v>
      </c>
      <c r="X37" s="493">
        <f ca="1">IF(SUM($F37:W37)&lt;$C37*1000,MIN(+$C37*$E37*1000,$C37*1000-SUM($F37:W37)),0)</f>
        <v>40.561403508771924</v>
      </c>
      <c r="Y37" s="493">
        <f ca="1">IF(SUM($F37:X37)&lt;$C37*1000,MIN(+$C37*$E37*1000,$C37*1000-SUM($F37:X37)),0)</f>
        <v>40.561403508771924</v>
      </c>
      <c r="Z37" s="493"/>
      <c r="AA37" s="498">
        <f t="shared" ca="1" si="4"/>
        <v>-361.67251461988292</v>
      </c>
    </row>
    <row r="38" spans="1:27" ht="16.2">
      <c r="A38" s="494" t="str">
        <f ca="1">'TAXDEPR 144A'!A38</f>
        <v>Other</v>
      </c>
      <c r="B38" s="488">
        <v>1</v>
      </c>
      <c r="C38" s="496">
        <f>IF(B38=1,'ASSUM 2'!E35,0)</f>
        <v>0</v>
      </c>
      <c r="D38" s="488">
        <f>'ASSUM 2'!M35</f>
        <v>6</v>
      </c>
      <c r="E38" s="497">
        <f>IF(D38=1,'ASSUM 1'!H10,IF(D38=2,'ASSUM 1'!H11,IF(D38=3,'ASSUM 1'!H12,IF(D38=4,'ASSUM 1'!H13,IF(D38=5,'ASSUM 1'!H14,IF(D38=6,'ASSUM 1'!H15,'ASSUM 1'!H21))))))</f>
        <v>3.5087719298245612E-2</v>
      </c>
      <c r="F38" s="495">
        <f t="shared" ca="1" si="3"/>
        <v>0</v>
      </c>
      <c r="G38" s="493">
        <f ca="1">IF(SUM($F38:F38)&lt;$C38*1000,MIN(+$C38*$E38*1000,$C38*1000-SUM($F38:F38)),0)</f>
        <v>0</v>
      </c>
      <c r="H38" s="493">
        <f ca="1">IF(SUM($F38:G38)&lt;$C38*1000,MIN(+$C38*$E38*1000,$C38*1000-SUM($F38:G38)),0)</f>
        <v>0</v>
      </c>
      <c r="I38" s="493">
        <f ca="1">IF(SUM($F38:H38)&lt;$C38*1000,MIN(+$C38*$E38*1000,$C38*1000-SUM($F38:H38)),0)</f>
        <v>0</v>
      </c>
      <c r="J38" s="493">
        <f ca="1">IF(SUM($F38:I38)&lt;$C38*1000,MIN(+$C38*$E38*1000,$C38*1000-SUM($F38:I38)),0)</f>
        <v>0</v>
      </c>
      <c r="K38" s="493">
        <f ca="1">IF(SUM($F38:J38)&lt;$C38*1000,MIN(+$C38*$E38*1000,$C38*1000-SUM($F38:J38)),0)</f>
        <v>0</v>
      </c>
      <c r="L38" s="493">
        <f ca="1">IF(SUM($F38:K38)&lt;$C38*1000,MIN(+$C38*$E38*1000,$C38*1000-SUM($F38:K38)),0)</f>
        <v>0</v>
      </c>
      <c r="M38" s="493">
        <f ca="1">IF(SUM($F38:L38)&lt;$C38*1000,MIN(+$C38*$E38*1000,$C38*1000-SUM($F38:L38)),0)</f>
        <v>0</v>
      </c>
      <c r="N38" s="493">
        <f ca="1">IF(SUM($F38:M38)&lt;$C38*1000,MIN(+$C38*$E38*1000,$C38*1000-SUM($F38:M38)),0)</f>
        <v>0</v>
      </c>
      <c r="O38" s="493">
        <f ca="1">IF(SUM($F38:N38)&lt;$C38*1000,MIN(+$C38*$E38*1000,$C38*1000-SUM($F38:N38)),0)</f>
        <v>0</v>
      </c>
      <c r="P38" s="493">
        <f ca="1">IF(SUM($F38:O38)&lt;$C38*1000,MIN(+$C38*$E38*1000,$C38*1000-SUM($F38:O38)),0)</f>
        <v>0</v>
      </c>
      <c r="Q38" s="493">
        <f ca="1">IF(SUM($F38:P38)&lt;$C38*1000,MIN(+$C38*$E38*1000,$C38*1000-SUM($F38:P38)),0)</f>
        <v>0</v>
      </c>
      <c r="R38" s="493">
        <f ca="1">IF(SUM($F38:Q38)&lt;$C38*1000,MIN(+$C38*$E38*1000,$C38*1000-SUM($F38:Q38)),0)</f>
        <v>0</v>
      </c>
      <c r="S38" s="493">
        <f ca="1">IF(SUM($F38:R38)&lt;$C38*1000,MIN(+$C38*$E38*1000,$C38*1000-SUM($F38:R38)),0)</f>
        <v>0</v>
      </c>
      <c r="T38" s="493">
        <f ca="1">IF(SUM($F38:S38)&lt;$C38*1000,MIN(+$C38*$E38*1000,$C38*1000-SUM($F38:S38)),0)</f>
        <v>0</v>
      </c>
      <c r="U38" s="493">
        <f ca="1">IF(SUM($F38:T38)&lt;$C38*1000,MIN(+$C38*$E38*1000,$C38*1000-SUM($F38:T38)),0)</f>
        <v>0</v>
      </c>
      <c r="V38" s="493">
        <f ca="1">IF(SUM($F38:U38)&lt;$C38*1000,MIN(+$C38*$E38*1000,$C38*1000-SUM($F38:U38)),0)</f>
        <v>0</v>
      </c>
      <c r="W38" s="493">
        <f ca="1">IF(SUM($F38:V38)&lt;$C38*1000,MIN(+$C38*$E38*1000,$C38*1000-SUM($F38:V38)),0)</f>
        <v>0</v>
      </c>
      <c r="X38" s="493">
        <f ca="1">IF(SUM($F38:W38)&lt;$C38*1000,MIN(+$C38*$E38*1000,$C38*1000-SUM($F38:W38)),0)</f>
        <v>0</v>
      </c>
      <c r="Y38" s="493">
        <f ca="1">IF(SUM($F38:X38)&lt;$C38*1000,MIN(+$C38*$E38*1000,$C38*1000-SUM($F38:X38)),0)</f>
        <v>0</v>
      </c>
      <c r="Z38" s="493"/>
      <c r="AA38" s="498">
        <f t="shared" ca="1" si="4"/>
        <v>0</v>
      </c>
    </row>
    <row r="39" spans="1:27" ht="16.2">
      <c r="A39" s="494" t="str">
        <f ca="1">'TAXDEPR 144A'!A39</f>
        <v xml:space="preserve">Other </v>
      </c>
      <c r="B39" s="488">
        <v>1</v>
      </c>
      <c r="C39" s="496">
        <f>IF(B39=1,'ASSUM 2'!E36,0)</f>
        <v>0</v>
      </c>
      <c r="D39" s="488">
        <f>'ASSUM 2'!M36</f>
        <v>6</v>
      </c>
      <c r="E39" s="497">
        <f>IF(D39=1,'ASSUM 1'!H10,IF(D39=2,'ASSUM 1'!H11,IF(D39=3,'ASSUM 1'!H12,IF(D39=4,'ASSUM 1'!H13,IF(D39=5,'ASSUM 1'!H14,IF(D39=6,'ASSUM 1'!H15,'ASSUM 1'!H21))))))</f>
        <v>3.5087719298245612E-2</v>
      </c>
      <c r="F39" s="495">
        <f t="shared" ca="1" si="3"/>
        <v>0</v>
      </c>
      <c r="G39" s="493">
        <f ca="1">IF(SUM($F39:F39)&lt;$C39*1000,MIN(+$C39*$E39*1000,$C39*1000-SUM($F39:F39)),0)</f>
        <v>0</v>
      </c>
      <c r="H39" s="493">
        <f ca="1">IF(SUM($F39:G39)&lt;$C39*1000,MIN(+$C39*$E39*1000,$C39*1000-SUM($F39:G39)),0)</f>
        <v>0</v>
      </c>
      <c r="I39" s="493">
        <f ca="1">IF(SUM($F39:H39)&lt;$C39*1000,MIN(+$C39*$E39*1000,$C39*1000-SUM($F39:H39)),0)</f>
        <v>0</v>
      </c>
      <c r="J39" s="493">
        <f ca="1">IF(SUM($F39:I39)&lt;$C39*1000,MIN(+$C39*$E39*1000,$C39*1000-SUM($F39:I39)),0)</f>
        <v>0</v>
      </c>
      <c r="K39" s="493">
        <f ca="1">IF(SUM($F39:J39)&lt;$C39*1000,MIN(+$C39*$E39*1000,$C39*1000-SUM($F39:J39)),0)</f>
        <v>0</v>
      </c>
      <c r="L39" s="493">
        <f ca="1">IF(SUM($F39:K39)&lt;$C39*1000,MIN(+$C39*$E39*1000,$C39*1000-SUM($F39:K39)),0)</f>
        <v>0</v>
      </c>
      <c r="M39" s="493">
        <f ca="1">IF(SUM($F39:L39)&lt;$C39*1000,MIN(+$C39*$E39*1000,$C39*1000-SUM($F39:L39)),0)</f>
        <v>0</v>
      </c>
      <c r="N39" s="493">
        <f ca="1">IF(SUM($F39:M39)&lt;$C39*1000,MIN(+$C39*$E39*1000,$C39*1000-SUM($F39:M39)),0)</f>
        <v>0</v>
      </c>
      <c r="O39" s="493">
        <f ca="1">IF(SUM($F39:N39)&lt;$C39*1000,MIN(+$C39*$E39*1000,$C39*1000-SUM($F39:N39)),0)</f>
        <v>0</v>
      </c>
      <c r="P39" s="493">
        <f ca="1">IF(SUM($F39:O39)&lt;$C39*1000,MIN(+$C39*$E39*1000,$C39*1000-SUM($F39:O39)),0)</f>
        <v>0</v>
      </c>
      <c r="Q39" s="493">
        <f ca="1">IF(SUM($F39:P39)&lt;$C39*1000,MIN(+$C39*$E39*1000,$C39*1000-SUM($F39:P39)),0)</f>
        <v>0</v>
      </c>
      <c r="R39" s="493">
        <f ca="1">IF(SUM($F39:Q39)&lt;$C39*1000,MIN(+$C39*$E39*1000,$C39*1000-SUM($F39:Q39)),0)</f>
        <v>0</v>
      </c>
      <c r="S39" s="493">
        <f ca="1">IF(SUM($F39:R39)&lt;$C39*1000,MIN(+$C39*$E39*1000,$C39*1000-SUM($F39:R39)),0)</f>
        <v>0</v>
      </c>
      <c r="T39" s="493">
        <f ca="1">IF(SUM($F39:S39)&lt;$C39*1000,MIN(+$C39*$E39*1000,$C39*1000-SUM($F39:S39)),0)</f>
        <v>0</v>
      </c>
      <c r="U39" s="493">
        <f ca="1">IF(SUM($F39:T39)&lt;$C39*1000,MIN(+$C39*$E39*1000,$C39*1000-SUM($F39:T39)),0)</f>
        <v>0</v>
      </c>
      <c r="V39" s="493">
        <f ca="1">IF(SUM($F39:U39)&lt;$C39*1000,MIN(+$C39*$E39*1000,$C39*1000-SUM($F39:U39)),0)</f>
        <v>0</v>
      </c>
      <c r="W39" s="493">
        <f ca="1">IF(SUM($F39:V39)&lt;$C39*1000,MIN(+$C39*$E39*1000,$C39*1000-SUM($F39:V39)),0)</f>
        <v>0</v>
      </c>
      <c r="X39" s="493">
        <f ca="1">IF(SUM($F39:W39)&lt;$C39*1000,MIN(+$C39*$E39*1000,$C39*1000-SUM($F39:W39)),0)</f>
        <v>0</v>
      </c>
      <c r="Y39" s="493">
        <f ca="1">IF(SUM($F39:X39)&lt;$C39*1000,MIN(+$C39*$E39*1000,$C39*1000-SUM($F39:X39)),0)</f>
        <v>0</v>
      </c>
      <c r="Z39" s="493"/>
      <c r="AA39" s="498">
        <f t="shared" ca="1" si="4"/>
        <v>0</v>
      </c>
    </row>
    <row r="40" spans="1:27" ht="16.2">
      <c r="A40" s="494" t="str">
        <f ca="1">'TAXDEPR 144A'!A40</f>
        <v>Other</v>
      </c>
      <c r="B40" s="488">
        <v>1</v>
      </c>
      <c r="C40" s="496">
        <f>IF(B40=1,'ASSUM 2'!E37,0)</f>
        <v>0</v>
      </c>
      <c r="D40" s="488">
        <f>'ASSUM 2'!M37</f>
        <v>6</v>
      </c>
      <c r="E40" s="497">
        <f>IF(D40=1,'ASSUM 1'!H10,IF(D40=2,'ASSUM 1'!H11,IF(D40=3,'ASSUM 1'!H12,IF(D40=4,'ASSUM 1'!H13,IF(D40=5,'ASSUM 1'!H14,IF(D40=6,'ASSUM 1'!H15,'ASSUM 1'!H21))))))</f>
        <v>3.5087719298245612E-2</v>
      </c>
      <c r="F40" s="495">
        <f t="shared" ca="1" si="3"/>
        <v>0</v>
      </c>
      <c r="G40" s="493">
        <f ca="1">IF(SUM($F40:F40)&lt;$C40*1000,MIN(+$C40*$E40*1000,$C40*1000-SUM($F40:F40)),0)</f>
        <v>0</v>
      </c>
      <c r="H40" s="493">
        <f ca="1">IF(SUM($F40:G40)&lt;$C40*1000,MIN(+$C40*$E40*1000,$C40*1000-SUM($F40:G40)),0)</f>
        <v>0</v>
      </c>
      <c r="I40" s="493">
        <f ca="1">IF(SUM($F40:H40)&lt;$C40*1000,MIN(+$C40*$E40*1000,$C40*1000-SUM($F40:H40)),0)</f>
        <v>0</v>
      </c>
      <c r="J40" s="493">
        <f ca="1">IF(SUM($F40:I40)&lt;$C40*1000,MIN(+$C40*$E40*1000,$C40*1000-SUM($F40:I40)),0)</f>
        <v>0</v>
      </c>
      <c r="K40" s="493">
        <f ca="1">IF(SUM($F40:J40)&lt;$C40*1000,MIN(+$C40*$E40*1000,$C40*1000-SUM($F40:J40)),0)</f>
        <v>0</v>
      </c>
      <c r="L40" s="493">
        <f ca="1">IF(SUM($F40:K40)&lt;$C40*1000,MIN(+$C40*$E40*1000,$C40*1000-SUM($F40:K40)),0)</f>
        <v>0</v>
      </c>
      <c r="M40" s="493">
        <f ca="1">IF(SUM($F40:L40)&lt;$C40*1000,MIN(+$C40*$E40*1000,$C40*1000-SUM($F40:L40)),0)</f>
        <v>0</v>
      </c>
      <c r="N40" s="493">
        <f ca="1">IF(SUM($F40:M40)&lt;$C40*1000,MIN(+$C40*$E40*1000,$C40*1000-SUM($F40:M40)),0)</f>
        <v>0</v>
      </c>
      <c r="O40" s="493">
        <f ca="1">IF(SUM($F40:N40)&lt;$C40*1000,MIN(+$C40*$E40*1000,$C40*1000-SUM($F40:N40)),0)</f>
        <v>0</v>
      </c>
      <c r="P40" s="493">
        <f ca="1">IF(SUM($F40:O40)&lt;$C40*1000,MIN(+$C40*$E40*1000,$C40*1000-SUM($F40:O40)),0)</f>
        <v>0</v>
      </c>
      <c r="Q40" s="493">
        <f ca="1">IF(SUM($F40:P40)&lt;$C40*1000,MIN(+$C40*$E40*1000,$C40*1000-SUM($F40:P40)),0)</f>
        <v>0</v>
      </c>
      <c r="R40" s="493">
        <f ca="1">IF(SUM($F40:Q40)&lt;$C40*1000,MIN(+$C40*$E40*1000,$C40*1000-SUM($F40:Q40)),0)</f>
        <v>0</v>
      </c>
      <c r="S40" s="493">
        <f ca="1">IF(SUM($F40:R40)&lt;$C40*1000,MIN(+$C40*$E40*1000,$C40*1000-SUM($F40:R40)),0)</f>
        <v>0</v>
      </c>
      <c r="T40" s="493">
        <f ca="1">IF(SUM($F40:S40)&lt;$C40*1000,MIN(+$C40*$E40*1000,$C40*1000-SUM($F40:S40)),0)</f>
        <v>0</v>
      </c>
      <c r="U40" s="493">
        <f ca="1">IF(SUM($F40:T40)&lt;$C40*1000,MIN(+$C40*$E40*1000,$C40*1000-SUM($F40:T40)),0)</f>
        <v>0</v>
      </c>
      <c r="V40" s="493">
        <f ca="1">IF(SUM($F40:U40)&lt;$C40*1000,MIN(+$C40*$E40*1000,$C40*1000-SUM($F40:U40)),0)</f>
        <v>0</v>
      </c>
      <c r="W40" s="493">
        <f ca="1">IF(SUM($F40:V40)&lt;$C40*1000,MIN(+$C40*$E40*1000,$C40*1000-SUM($F40:V40)),0)</f>
        <v>0</v>
      </c>
      <c r="X40" s="493">
        <f ca="1">IF(SUM($F40:W40)&lt;$C40*1000,MIN(+$C40*$E40*1000,$C40*1000-SUM($F40:W40)),0)</f>
        <v>0</v>
      </c>
      <c r="Y40" s="493">
        <f ca="1">IF(SUM($F40:X40)&lt;$C40*1000,MIN(+$C40*$E40*1000,$C40*1000-SUM($F40:X40)),0)</f>
        <v>0</v>
      </c>
      <c r="Z40" s="493"/>
      <c r="AA40" s="498">
        <f t="shared" ca="1" si="4"/>
        <v>0</v>
      </c>
    </row>
    <row r="41" spans="1:27" ht="16.2">
      <c r="A41" s="494" t="str">
        <f ca="1">'TAXDEPR 144A'!A41</f>
        <v>Financing Fees</v>
      </c>
      <c r="B41" s="488">
        <v>1</v>
      </c>
      <c r="C41" s="496">
        <f>IF(B41=1,'ASSUM 2'!E38,0)</f>
        <v>2.7</v>
      </c>
      <c r="D41" s="488">
        <f>'ASSUM 2'!M38</f>
        <v>6</v>
      </c>
      <c r="E41" s="497">
        <f>IF(D41=1,'ASSUM 1'!H10,IF(D41=2,'ASSUM 1'!H11,IF(D41=3,'ASSUM 1'!H12,IF(D41=4,'ASSUM 1'!H13,IF(D41=5,'ASSUM 1'!H14,IF(D41=6,'ASSUM 1'!H15,'ASSUM 1'!H21))))))</f>
        <v>3.5087719298245612E-2</v>
      </c>
      <c r="F41" s="495">
        <f t="shared" ca="1" si="3"/>
        <v>55.26315789473685</v>
      </c>
      <c r="G41" s="493">
        <f ca="1">IF(SUM($F41:F41)&lt;$C41*1000,MIN(+$C41*$E41*1000,$C41*1000-SUM($F41:F41)),0)</f>
        <v>94.736842105263165</v>
      </c>
      <c r="H41" s="493">
        <f ca="1">IF(SUM($F41:G41)&lt;$C41*1000,MIN(+$C41*$E41*1000,$C41*1000-SUM($F41:G41)),0)</f>
        <v>94.736842105263165</v>
      </c>
      <c r="I41" s="493">
        <f ca="1">IF(SUM($F41:H41)&lt;$C41*1000,MIN(+$C41*$E41*1000,$C41*1000-SUM($F41:H41)),0)</f>
        <v>94.736842105263165</v>
      </c>
      <c r="J41" s="493">
        <f ca="1">IF(SUM($F41:I41)&lt;$C41*1000,MIN(+$C41*$E41*1000,$C41*1000-SUM($F41:I41)),0)</f>
        <v>94.736842105263165</v>
      </c>
      <c r="K41" s="493">
        <f ca="1">IF(SUM($F41:J41)&lt;$C41*1000,MIN(+$C41*$E41*1000,$C41*1000-SUM($F41:J41)),0)</f>
        <v>94.736842105263165</v>
      </c>
      <c r="L41" s="493">
        <f ca="1">IF(SUM($F41:K41)&lt;$C41*1000,MIN(+$C41*$E41*1000,$C41*1000-SUM($F41:K41)),0)</f>
        <v>94.736842105263165</v>
      </c>
      <c r="M41" s="493">
        <f ca="1">IF(SUM($F41:L41)&lt;$C41*1000,MIN(+$C41*$E41*1000,$C41*1000-SUM($F41:L41)),0)</f>
        <v>94.736842105263165</v>
      </c>
      <c r="N41" s="493">
        <f ca="1">IF(SUM($F41:M41)&lt;$C41*1000,MIN(+$C41*$E41*1000,$C41*1000-SUM($F41:M41)),0)</f>
        <v>94.736842105263165</v>
      </c>
      <c r="O41" s="493">
        <f ca="1">IF(SUM($F41:N41)&lt;$C41*1000,MIN(+$C41*$E41*1000,$C41*1000-SUM($F41:N41)),0)</f>
        <v>94.736842105263165</v>
      </c>
      <c r="P41" s="493">
        <f ca="1">IF(SUM($F41:O41)&lt;$C41*1000,MIN(+$C41*$E41*1000,$C41*1000-SUM($F41:O41)),0)</f>
        <v>94.736842105263165</v>
      </c>
      <c r="Q41" s="493">
        <f ca="1">IF(SUM($F41:P41)&lt;$C41*1000,MIN(+$C41*$E41*1000,$C41*1000-SUM($F41:P41)),0)</f>
        <v>94.736842105263165</v>
      </c>
      <c r="R41" s="493">
        <f ca="1">IF(SUM($F41:Q41)&lt;$C41*1000,MIN(+$C41*$E41*1000,$C41*1000-SUM($F41:Q41)),0)</f>
        <v>94.736842105263165</v>
      </c>
      <c r="S41" s="493">
        <f ca="1">IF(SUM($F41:R41)&lt;$C41*1000,MIN(+$C41*$E41*1000,$C41*1000-SUM($F41:R41)),0)</f>
        <v>94.736842105263165</v>
      </c>
      <c r="T41" s="493">
        <f ca="1">IF(SUM($F41:S41)&lt;$C41*1000,MIN(+$C41*$E41*1000,$C41*1000-SUM($F41:S41)),0)</f>
        <v>94.736842105263165</v>
      </c>
      <c r="U41" s="493">
        <f ca="1">IF(SUM($F41:T41)&lt;$C41*1000,MIN(+$C41*$E41*1000,$C41*1000-SUM($F41:T41)),0)</f>
        <v>94.736842105263165</v>
      </c>
      <c r="V41" s="493">
        <f ca="1">IF(SUM($F41:U41)&lt;$C41*1000,MIN(+$C41*$E41*1000,$C41*1000-SUM($F41:U41)),0)</f>
        <v>94.736842105263165</v>
      </c>
      <c r="W41" s="493">
        <f ca="1">IF(SUM($F41:V41)&lt;$C41*1000,MIN(+$C41*$E41*1000,$C41*1000-SUM($F41:V41)),0)</f>
        <v>94.736842105263165</v>
      </c>
      <c r="X41" s="493">
        <f ca="1">IF(SUM($F41:W41)&lt;$C41*1000,MIN(+$C41*$E41*1000,$C41*1000-SUM($F41:W41)),0)</f>
        <v>94.736842105263165</v>
      </c>
      <c r="Y41" s="493">
        <f ca="1">IF(SUM($F41:X41)&lt;$C41*1000,MIN(+$C41*$E41*1000,$C41*1000-SUM($F41:X41)),0)</f>
        <v>94.736842105263165</v>
      </c>
      <c r="Z41" s="493"/>
      <c r="AA41" s="498">
        <f t="shared" ca="1" si="4"/>
        <v>-844.73684210526358</v>
      </c>
    </row>
    <row r="42" spans="1:27" ht="16.2">
      <c r="A42" s="494" t="str">
        <f ca="1">'TAXDEPR 144A'!A42</f>
        <v>Commitment Fees</v>
      </c>
      <c r="B42" s="488">
        <v>1</v>
      </c>
      <c r="C42" s="496">
        <f>IF(B42=1,'ASSUM 2'!E39,0)</f>
        <v>0</v>
      </c>
      <c r="D42" s="488">
        <f>'ASSUM 2'!M39</f>
        <v>6</v>
      </c>
      <c r="E42" s="497">
        <f>IF(D42=1,'ASSUM 1'!H10,IF(D42=2,'ASSUM 1'!H11,IF(D42=3,'ASSUM 1'!H12,IF(D42=4,'ASSUM 1'!H13,IF(D42=5,'ASSUM 1'!H14,IF(D42=6,'ASSUM 1'!H15,'ASSUM 1'!H21))))))</f>
        <v>3.5087719298245612E-2</v>
      </c>
      <c r="F42" s="495">
        <f t="shared" ca="1" si="3"/>
        <v>0</v>
      </c>
      <c r="G42" s="493">
        <f ca="1">IF(SUM($F42:F42)&lt;$C42*1000,MIN(+$C42*$E42*1000,$C42*1000-SUM($F42:F42)),0)</f>
        <v>0</v>
      </c>
      <c r="H42" s="493">
        <f ca="1">IF(SUM($F42:G42)&lt;$C42*1000,MIN(+$C42*$E42*1000,$C42*1000-SUM($F42:G42)),0)</f>
        <v>0</v>
      </c>
      <c r="I42" s="493">
        <f ca="1">IF(SUM($F42:H42)&lt;$C42*1000,MIN(+$C42*$E42*1000,$C42*1000-SUM($F42:H42)),0)</f>
        <v>0</v>
      </c>
      <c r="J42" s="493">
        <f ca="1">IF(SUM($F42:I42)&lt;$C42*1000,MIN(+$C42*$E42*1000,$C42*1000-SUM($F42:I42)),0)</f>
        <v>0</v>
      </c>
      <c r="K42" s="493">
        <f ca="1">IF(SUM($F42:J42)&lt;$C42*1000,MIN(+$C42*$E42*1000,$C42*1000-SUM($F42:J42)),0)</f>
        <v>0</v>
      </c>
      <c r="L42" s="493">
        <f ca="1">IF(SUM($F42:K42)&lt;$C42*1000,MIN(+$C42*$E42*1000,$C42*1000-SUM($F42:K42)),0)</f>
        <v>0</v>
      </c>
      <c r="M42" s="493">
        <f ca="1">IF(SUM($F42:L42)&lt;$C42*1000,MIN(+$C42*$E42*1000,$C42*1000-SUM($F42:L42)),0)</f>
        <v>0</v>
      </c>
      <c r="N42" s="493">
        <f ca="1">IF(SUM($F42:M42)&lt;$C42*1000,MIN(+$C42*$E42*1000,$C42*1000-SUM($F42:M42)),0)</f>
        <v>0</v>
      </c>
      <c r="O42" s="493">
        <f ca="1">IF(SUM($F42:N42)&lt;$C42*1000,MIN(+$C42*$E42*1000,$C42*1000-SUM($F42:N42)),0)</f>
        <v>0</v>
      </c>
      <c r="P42" s="493">
        <f ca="1">IF(SUM($F42:O42)&lt;$C42*1000,MIN(+$C42*$E42*1000,$C42*1000-SUM($F42:O42)),0)</f>
        <v>0</v>
      </c>
      <c r="Q42" s="493">
        <f ca="1">IF(SUM($F42:P42)&lt;$C42*1000,MIN(+$C42*$E42*1000,$C42*1000-SUM($F42:P42)),0)</f>
        <v>0</v>
      </c>
      <c r="R42" s="493">
        <f ca="1">IF(SUM($F42:Q42)&lt;$C42*1000,MIN(+$C42*$E42*1000,$C42*1000-SUM($F42:Q42)),0)</f>
        <v>0</v>
      </c>
      <c r="S42" s="493">
        <f ca="1">IF(SUM($F42:R42)&lt;$C42*1000,MIN(+$C42*$E42*1000,$C42*1000-SUM($F42:R42)),0)</f>
        <v>0</v>
      </c>
      <c r="T42" s="493">
        <f ca="1">IF(SUM($F42:S42)&lt;$C42*1000,MIN(+$C42*$E42*1000,$C42*1000-SUM($F42:S42)),0)</f>
        <v>0</v>
      </c>
      <c r="U42" s="493">
        <f ca="1">IF(SUM($F42:T42)&lt;$C42*1000,MIN(+$C42*$E42*1000,$C42*1000-SUM($F42:T42)),0)</f>
        <v>0</v>
      </c>
      <c r="V42" s="493">
        <f ca="1">IF(SUM($F42:U42)&lt;$C42*1000,MIN(+$C42*$E42*1000,$C42*1000-SUM($F42:U42)),0)</f>
        <v>0</v>
      </c>
      <c r="W42" s="493">
        <f ca="1">IF(SUM($F42:V42)&lt;$C42*1000,MIN(+$C42*$E42*1000,$C42*1000-SUM($F42:V42)),0)</f>
        <v>0</v>
      </c>
      <c r="X42" s="493">
        <f ca="1">IF(SUM($F42:W42)&lt;$C42*1000,MIN(+$C42*$E42*1000,$C42*1000-SUM($F42:W42)),0)</f>
        <v>0</v>
      </c>
      <c r="Y42" s="493">
        <f ca="1">IF(SUM($F42:X42)&lt;$C42*1000,MIN(+$C42*$E42*1000,$C42*1000-SUM($F42:X42)),0)</f>
        <v>0</v>
      </c>
      <c r="Z42" s="493"/>
      <c r="AA42" s="498">
        <f t="shared" ca="1" si="4"/>
        <v>0</v>
      </c>
    </row>
    <row r="43" spans="1:27" ht="16.2">
      <c r="A43" s="494" t="str">
        <f ca="1">'TAXDEPR 144A'!A43</f>
        <v>Other</v>
      </c>
      <c r="B43" s="488">
        <v>1</v>
      </c>
      <c r="C43" s="496">
        <f>IF(B43=1,'ASSUM 2'!E40,0)</f>
        <v>0</v>
      </c>
      <c r="D43" s="488">
        <f>'ASSUM 2'!M40</f>
        <v>6</v>
      </c>
      <c r="E43" s="497">
        <f>IF(D43=1,'ASSUM 1'!H10,IF(D43=2,'ASSUM 1'!H11,IF(D43=3,'ASSUM 1'!H12,IF(D43=4,'ASSUM 1'!H13,IF(D43=5,'ASSUM 1'!H14,IF(D43=6,'ASSUM 1'!H15,'ASSUM 1'!H21))))))</f>
        <v>3.5087719298245612E-2</v>
      </c>
      <c r="F43" s="495">
        <f t="shared" ca="1" si="3"/>
        <v>0</v>
      </c>
      <c r="G43" s="493">
        <f ca="1">IF(SUM($F43:F43)&lt;$C43*1000,MIN(+$C43*$E43*1000,$C43*1000-SUM($F43:F43)),0)</f>
        <v>0</v>
      </c>
      <c r="H43" s="493">
        <f ca="1">IF(SUM($F43:G43)&lt;$C43*1000,MIN(+$C43*$E43*1000,$C43*1000-SUM($F43:G43)),0)</f>
        <v>0</v>
      </c>
      <c r="I43" s="493">
        <f ca="1">IF(SUM($F43:H43)&lt;$C43*1000,MIN(+$C43*$E43*1000,$C43*1000-SUM($F43:H43)),0)</f>
        <v>0</v>
      </c>
      <c r="J43" s="493">
        <f ca="1">IF(SUM($F43:I43)&lt;$C43*1000,MIN(+$C43*$E43*1000,$C43*1000-SUM($F43:I43)),0)</f>
        <v>0</v>
      </c>
      <c r="K43" s="493">
        <f ca="1">IF(SUM($F43:J43)&lt;$C43*1000,MIN(+$C43*$E43*1000,$C43*1000-SUM($F43:J43)),0)</f>
        <v>0</v>
      </c>
      <c r="L43" s="493">
        <f ca="1">IF(SUM($F43:K43)&lt;$C43*1000,MIN(+$C43*$E43*1000,$C43*1000-SUM($F43:K43)),0)</f>
        <v>0</v>
      </c>
      <c r="M43" s="493">
        <f ca="1">IF(SUM($F43:L43)&lt;$C43*1000,MIN(+$C43*$E43*1000,$C43*1000-SUM($F43:L43)),0)</f>
        <v>0</v>
      </c>
      <c r="N43" s="493">
        <f ca="1">IF(SUM($F43:M43)&lt;$C43*1000,MIN(+$C43*$E43*1000,$C43*1000-SUM($F43:M43)),0)</f>
        <v>0</v>
      </c>
      <c r="O43" s="493">
        <f ca="1">IF(SUM($F43:N43)&lt;$C43*1000,MIN(+$C43*$E43*1000,$C43*1000-SUM($F43:N43)),0)</f>
        <v>0</v>
      </c>
      <c r="P43" s="493">
        <f ca="1">IF(SUM($F43:O43)&lt;$C43*1000,MIN(+$C43*$E43*1000,$C43*1000-SUM($F43:O43)),0)</f>
        <v>0</v>
      </c>
      <c r="Q43" s="493">
        <f ca="1">IF(SUM($F43:P43)&lt;$C43*1000,MIN(+$C43*$E43*1000,$C43*1000-SUM($F43:P43)),0)</f>
        <v>0</v>
      </c>
      <c r="R43" s="493">
        <f ca="1">IF(SUM($F43:Q43)&lt;$C43*1000,MIN(+$C43*$E43*1000,$C43*1000-SUM($F43:Q43)),0)</f>
        <v>0</v>
      </c>
      <c r="S43" s="493">
        <f ca="1">IF(SUM($F43:R43)&lt;$C43*1000,MIN(+$C43*$E43*1000,$C43*1000-SUM($F43:R43)),0)</f>
        <v>0</v>
      </c>
      <c r="T43" s="493">
        <f ca="1">IF(SUM($F43:S43)&lt;$C43*1000,MIN(+$C43*$E43*1000,$C43*1000-SUM($F43:S43)),0)</f>
        <v>0</v>
      </c>
      <c r="U43" s="493">
        <f ca="1">IF(SUM($F43:T43)&lt;$C43*1000,MIN(+$C43*$E43*1000,$C43*1000-SUM($F43:T43)),0)</f>
        <v>0</v>
      </c>
      <c r="V43" s="493">
        <f ca="1">IF(SUM($F43:U43)&lt;$C43*1000,MIN(+$C43*$E43*1000,$C43*1000-SUM($F43:U43)),0)</f>
        <v>0</v>
      </c>
      <c r="W43" s="493">
        <f ca="1">IF(SUM($F43:V43)&lt;$C43*1000,MIN(+$C43*$E43*1000,$C43*1000-SUM($F43:V43)),0)</f>
        <v>0</v>
      </c>
      <c r="X43" s="493">
        <f ca="1">IF(SUM($F43:W43)&lt;$C43*1000,MIN(+$C43*$E43*1000,$C43*1000-SUM($F43:W43)),0)</f>
        <v>0</v>
      </c>
      <c r="Y43" s="493">
        <f ca="1">IF(SUM($F43:X43)&lt;$C43*1000,MIN(+$C43*$E43*1000,$C43*1000-SUM($F43:X43)),0)</f>
        <v>0</v>
      </c>
      <c r="Z43" s="493"/>
      <c r="AA43" s="498">
        <f t="shared" ca="1" si="4"/>
        <v>0</v>
      </c>
    </row>
    <row r="44" spans="1:27" ht="16.2">
      <c r="A44" s="494" t="str">
        <f ca="1">'TAXDEPR 144A'!A44</f>
        <v>Spares and Tools</v>
      </c>
      <c r="B44" s="488">
        <v>1</v>
      </c>
      <c r="C44" s="496">
        <f>IF(B44=1,'ASSUM 2'!E41,0)</f>
        <v>1.5</v>
      </c>
      <c r="D44" s="488">
        <f>'ASSUM 2'!M41</f>
        <v>6</v>
      </c>
      <c r="E44" s="497">
        <f>IF(D44=1,'ASSUM 1'!H10,IF(D44=2,'ASSUM 1'!H11,IF(D44=3,'ASSUM 1'!H12,IF(D44=4,'ASSUM 1'!H13,IF(D44=5,'ASSUM 1'!H14,IF(D44=6,'ASSUM 1'!H15,'ASSUM 1'!H21))))))</f>
        <v>3.5087719298245612E-2</v>
      </c>
      <c r="F44" s="495">
        <f t="shared" ca="1" si="3"/>
        <v>30.701754385964907</v>
      </c>
      <c r="G44" s="493">
        <f ca="1">IF(SUM($F44:F44)&lt;$C44*1000,MIN(+$C44*$E44*1000,$C44*1000-SUM($F44:F44)),0)</f>
        <v>52.631578947368418</v>
      </c>
      <c r="H44" s="493">
        <f ca="1">IF(SUM($F44:G44)&lt;$C44*1000,MIN(+$C44*$E44*1000,$C44*1000-SUM($F44:G44)),0)</f>
        <v>52.631578947368418</v>
      </c>
      <c r="I44" s="493">
        <f ca="1">IF(SUM($F44:H44)&lt;$C44*1000,MIN(+$C44*$E44*1000,$C44*1000-SUM($F44:H44)),0)</f>
        <v>52.631578947368418</v>
      </c>
      <c r="J44" s="493">
        <f ca="1">IF(SUM($F44:I44)&lt;$C44*1000,MIN(+$C44*$E44*1000,$C44*1000-SUM($F44:I44)),0)</f>
        <v>52.631578947368418</v>
      </c>
      <c r="K44" s="493">
        <f ca="1">IF(SUM($F44:J44)&lt;$C44*1000,MIN(+$C44*$E44*1000,$C44*1000-SUM($F44:J44)),0)</f>
        <v>52.631578947368418</v>
      </c>
      <c r="L44" s="493">
        <f ca="1">IF(SUM($F44:K44)&lt;$C44*1000,MIN(+$C44*$E44*1000,$C44*1000-SUM($F44:K44)),0)</f>
        <v>52.631578947368418</v>
      </c>
      <c r="M44" s="493">
        <f ca="1">IF(SUM($F44:L44)&lt;$C44*1000,MIN(+$C44*$E44*1000,$C44*1000-SUM($F44:L44)),0)</f>
        <v>52.631578947368418</v>
      </c>
      <c r="N44" s="493">
        <f ca="1">IF(SUM($F44:M44)&lt;$C44*1000,MIN(+$C44*$E44*1000,$C44*1000-SUM($F44:M44)),0)</f>
        <v>52.631578947368418</v>
      </c>
      <c r="O44" s="493">
        <f ca="1">IF(SUM($F44:N44)&lt;$C44*1000,MIN(+$C44*$E44*1000,$C44*1000-SUM($F44:N44)),0)</f>
        <v>52.631578947368418</v>
      </c>
      <c r="P44" s="493">
        <f ca="1">IF(SUM($F44:O44)&lt;$C44*1000,MIN(+$C44*$E44*1000,$C44*1000-SUM($F44:O44)),0)</f>
        <v>52.631578947368418</v>
      </c>
      <c r="Q44" s="493">
        <f ca="1">IF(SUM($F44:P44)&lt;$C44*1000,MIN(+$C44*$E44*1000,$C44*1000-SUM($F44:P44)),0)</f>
        <v>52.631578947368418</v>
      </c>
      <c r="R44" s="493">
        <f ca="1">IF(SUM($F44:Q44)&lt;$C44*1000,MIN(+$C44*$E44*1000,$C44*1000-SUM($F44:Q44)),0)</f>
        <v>52.631578947368418</v>
      </c>
      <c r="S44" s="493">
        <f ca="1">IF(SUM($F44:R44)&lt;$C44*1000,MIN(+$C44*$E44*1000,$C44*1000-SUM($F44:R44)),0)</f>
        <v>52.631578947368418</v>
      </c>
      <c r="T44" s="493">
        <f ca="1">IF(SUM($F44:S44)&lt;$C44*1000,MIN(+$C44*$E44*1000,$C44*1000-SUM($F44:S44)),0)</f>
        <v>52.631578947368418</v>
      </c>
      <c r="U44" s="493">
        <f ca="1">IF(SUM($F44:T44)&lt;$C44*1000,MIN(+$C44*$E44*1000,$C44*1000-SUM($F44:T44)),0)</f>
        <v>52.631578947368418</v>
      </c>
      <c r="V44" s="493">
        <f ca="1">IF(SUM($F44:U44)&lt;$C44*1000,MIN(+$C44*$E44*1000,$C44*1000-SUM($F44:U44)),0)</f>
        <v>52.631578947368418</v>
      </c>
      <c r="W44" s="493">
        <f ca="1">IF(SUM($F44:V44)&lt;$C44*1000,MIN(+$C44*$E44*1000,$C44*1000-SUM($F44:V44)),0)</f>
        <v>52.631578947368418</v>
      </c>
      <c r="X44" s="493">
        <f ca="1">IF(SUM($F44:W44)&lt;$C44*1000,MIN(+$C44*$E44*1000,$C44*1000-SUM($F44:W44)),0)</f>
        <v>52.631578947368418</v>
      </c>
      <c r="Y44" s="493">
        <f ca="1">IF(SUM($F44:X44)&lt;$C44*1000,MIN(+$C44*$E44*1000,$C44*1000-SUM($F44:X44)),0)</f>
        <v>52.631578947368418</v>
      </c>
      <c r="Z44" s="493"/>
      <c r="AA44" s="498">
        <f t="shared" ca="1" si="4"/>
        <v>-469.29824561403484</v>
      </c>
    </row>
    <row r="45" spans="1:27" ht="16.2">
      <c r="A45" s="494" t="str">
        <f ca="1">'TAXDEPR 144A'!A45</f>
        <v>Builders Risk Insurance</v>
      </c>
      <c r="B45" s="488">
        <v>1</v>
      </c>
      <c r="C45" s="496">
        <f>IF(B45=1,'ASSUM 2'!E42,0)</f>
        <v>0.41087218150457139</v>
      </c>
      <c r="D45" s="488">
        <f>'ASSUM 2'!M42</f>
        <v>6</v>
      </c>
      <c r="E45" s="497">
        <f>IF(D45=1,'ASSUM 1'!H10,IF(D45=2,'ASSUM 1'!H11,IF(D45=3,'ASSUM 1'!H12,IF(D45=4,'ASSUM 1'!H13,IF(D45=5,'ASSUM 1'!H14,IF(D45=6,'ASSUM 1'!H15,'ASSUM 1'!H21))))))</f>
        <v>3.5087719298245612E-2</v>
      </c>
      <c r="F45" s="495">
        <f t="shared" ca="1" si="3"/>
        <v>8.4096645337192975</v>
      </c>
      <c r="G45" s="493">
        <f ca="1">IF(SUM($F45:F45)&lt;$C45*1000,MIN(+$C45*$E45*1000,$C45*1000-SUM($F45:F45)),0)</f>
        <v>14.416567772090223</v>
      </c>
      <c r="H45" s="493">
        <f ca="1">IF(SUM($F45:G45)&lt;$C45*1000,MIN(+$C45*$E45*1000,$C45*1000-SUM($F45:G45)),0)</f>
        <v>14.416567772090223</v>
      </c>
      <c r="I45" s="493">
        <f ca="1">IF(SUM($F45:H45)&lt;$C45*1000,MIN(+$C45*$E45*1000,$C45*1000-SUM($F45:H45)),0)</f>
        <v>14.416567772090223</v>
      </c>
      <c r="J45" s="493">
        <f ca="1">IF(SUM($F45:I45)&lt;$C45*1000,MIN(+$C45*$E45*1000,$C45*1000-SUM($F45:I45)),0)</f>
        <v>14.416567772090223</v>
      </c>
      <c r="K45" s="493">
        <f ca="1">IF(SUM($F45:J45)&lt;$C45*1000,MIN(+$C45*$E45*1000,$C45*1000-SUM($F45:J45)),0)</f>
        <v>14.416567772090223</v>
      </c>
      <c r="L45" s="493">
        <f ca="1">IF(SUM($F45:K45)&lt;$C45*1000,MIN(+$C45*$E45*1000,$C45*1000-SUM($F45:K45)),0)</f>
        <v>14.416567772090223</v>
      </c>
      <c r="M45" s="493">
        <f ca="1">IF(SUM($F45:L45)&lt;$C45*1000,MIN(+$C45*$E45*1000,$C45*1000-SUM($F45:L45)),0)</f>
        <v>14.416567772090223</v>
      </c>
      <c r="N45" s="493">
        <f ca="1">IF(SUM($F45:M45)&lt;$C45*1000,MIN(+$C45*$E45*1000,$C45*1000-SUM($F45:M45)),0)</f>
        <v>14.416567772090223</v>
      </c>
      <c r="O45" s="493">
        <f ca="1">IF(SUM($F45:N45)&lt;$C45*1000,MIN(+$C45*$E45*1000,$C45*1000-SUM($F45:N45)),0)</f>
        <v>14.416567772090223</v>
      </c>
      <c r="P45" s="493">
        <f ca="1">IF(SUM($F45:O45)&lt;$C45*1000,MIN(+$C45*$E45*1000,$C45*1000-SUM($F45:O45)),0)</f>
        <v>14.416567772090223</v>
      </c>
      <c r="Q45" s="493">
        <f ca="1">IF(SUM($F45:P45)&lt;$C45*1000,MIN(+$C45*$E45*1000,$C45*1000-SUM($F45:P45)),0)</f>
        <v>14.416567772090223</v>
      </c>
      <c r="R45" s="493">
        <f ca="1">IF(SUM($F45:Q45)&lt;$C45*1000,MIN(+$C45*$E45*1000,$C45*1000-SUM($F45:Q45)),0)</f>
        <v>14.416567772090223</v>
      </c>
      <c r="S45" s="493">
        <f ca="1">IF(SUM($F45:R45)&lt;$C45*1000,MIN(+$C45*$E45*1000,$C45*1000-SUM($F45:R45)),0)</f>
        <v>14.416567772090223</v>
      </c>
      <c r="T45" s="493">
        <f ca="1">IF(SUM($F45:S45)&lt;$C45*1000,MIN(+$C45*$E45*1000,$C45*1000-SUM($F45:S45)),0)</f>
        <v>14.416567772090223</v>
      </c>
      <c r="U45" s="493">
        <f ca="1">IF(SUM($F45:T45)&lt;$C45*1000,MIN(+$C45*$E45*1000,$C45*1000-SUM($F45:T45)),0)</f>
        <v>14.416567772090223</v>
      </c>
      <c r="V45" s="493">
        <f ca="1">IF(SUM($F45:U45)&lt;$C45*1000,MIN(+$C45*$E45*1000,$C45*1000-SUM($F45:U45)),0)</f>
        <v>14.416567772090223</v>
      </c>
      <c r="W45" s="493">
        <f ca="1">IF(SUM($F45:V45)&lt;$C45*1000,MIN(+$C45*$E45*1000,$C45*1000-SUM($F45:V45)),0)</f>
        <v>14.416567772090223</v>
      </c>
      <c r="X45" s="493">
        <f ca="1">IF(SUM($F45:W45)&lt;$C45*1000,MIN(+$C45*$E45*1000,$C45*1000-SUM($F45:W45)),0)</f>
        <v>14.416567772090223</v>
      </c>
      <c r="Y45" s="493">
        <f ca="1">IF(SUM($F45:X45)&lt;$C45*1000,MIN(+$C45*$E45*1000,$C45*1000-SUM($F45:X45)),0)</f>
        <v>14.416567772090223</v>
      </c>
      <c r="Z45" s="493"/>
      <c r="AA45" s="498">
        <f t="shared" ca="1" si="4"/>
        <v>-128.54772930113791</v>
      </c>
    </row>
    <row r="46" spans="1:27" ht="16.2">
      <c r="A46" s="494" t="str">
        <f ca="1">'TAXDEPR 144A'!A46</f>
        <v>O&amp;M Mobilization</v>
      </c>
      <c r="B46" s="488">
        <v>1</v>
      </c>
      <c r="C46" s="496">
        <f>IF(B46=1,'ASSUM 2'!E43,0)</f>
        <v>0.8</v>
      </c>
      <c r="D46" s="488">
        <f>'ASSUM 2'!M43</f>
        <v>6</v>
      </c>
      <c r="E46" s="497">
        <f>IF(D46=1,'ASSUM 1'!H10,IF(D46=2,'ASSUM 1'!H11,IF(D46=3,'ASSUM 1'!H12,IF(D46=4,'ASSUM 1'!H13,IF(D46=5,'ASSUM 1'!H14,IF(D46=6,'ASSUM 1'!H15,'ASSUM 1'!H21))))))</f>
        <v>3.5087719298245612E-2</v>
      </c>
      <c r="F46" s="495">
        <f t="shared" ca="1" si="3"/>
        <v>16.374269005847953</v>
      </c>
      <c r="G46" s="493">
        <f ca="1">IF(SUM($F46:F46)&lt;$C46*1000,MIN(+$C46*$E46*1000,$C46*1000-SUM($F46:F46)),0)</f>
        <v>28.070175438596493</v>
      </c>
      <c r="H46" s="493">
        <f ca="1">IF(SUM($F46:G46)&lt;$C46*1000,MIN(+$C46*$E46*1000,$C46*1000-SUM($F46:G46)),0)</f>
        <v>28.070175438596493</v>
      </c>
      <c r="I46" s="493">
        <f ca="1">IF(SUM($F46:H46)&lt;$C46*1000,MIN(+$C46*$E46*1000,$C46*1000-SUM($F46:H46)),0)</f>
        <v>28.070175438596493</v>
      </c>
      <c r="J46" s="493">
        <f ca="1">IF(SUM($F46:I46)&lt;$C46*1000,MIN(+$C46*$E46*1000,$C46*1000-SUM($F46:I46)),0)</f>
        <v>28.070175438596493</v>
      </c>
      <c r="K46" s="493">
        <f ca="1">IF(SUM($F46:J46)&lt;$C46*1000,MIN(+$C46*$E46*1000,$C46*1000-SUM($F46:J46)),0)</f>
        <v>28.070175438596493</v>
      </c>
      <c r="L46" s="493">
        <f ca="1">IF(SUM($F46:K46)&lt;$C46*1000,MIN(+$C46*$E46*1000,$C46*1000-SUM($F46:K46)),0)</f>
        <v>28.070175438596493</v>
      </c>
      <c r="M46" s="493">
        <f ca="1">IF(SUM($F46:L46)&lt;$C46*1000,MIN(+$C46*$E46*1000,$C46*1000-SUM($F46:L46)),0)</f>
        <v>28.070175438596493</v>
      </c>
      <c r="N46" s="493">
        <f ca="1">IF(SUM($F46:M46)&lt;$C46*1000,MIN(+$C46*$E46*1000,$C46*1000-SUM($F46:M46)),0)</f>
        <v>28.070175438596493</v>
      </c>
      <c r="O46" s="493">
        <f ca="1">IF(SUM($F46:N46)&lt;$C46*1000,MIN(+$C46*$E46*1000,$C46*1000-SUM($F46:N46)),0)</f>
        <v>28.070175438596493</v>
      </c>
      <c r="P46" s="493">
        <f ca="1">IF(SUM($F46:O46)&lt;$C46*1000,MIN(+$C46*$E46*1000,$C46*1000-SUM($F46:O46)),0)</f>
        <v>28.070175438596493</v>
      </c>
      <c r="Q46" s="493">
        <f ca="1">IF(SUM($F46:P46)&lt;$C46*1000,MIN(+$C46*$E46*1000,$C46*1000-SUM($F46:P46)),0)</f>
        <v>28.070175438596493</v>
      </c>
      <c r="R46" s="493">
        <f ca="1">IF(SUM($F46:Q46)&lt;$C46*1000,MIN(+$C46*$E46*1000,$C46*1000-SUM($F46:Q46)),0)</f>
        <v>28.070175438596493</v>
      </c>
      <c r="S46" s="493">
        <f ca="1">IF(SUM($F46:R46)&lt;$C46*1000,MIN(+$C46*$E46*1000,$C46*1000-SUM($F46:R46)),0)</f>
        <v>28.070175438596493</v>
      </c>
      <c r="T46" s="493">
        <f ca="1">IF(SUM($F46:S46)&lt;$C46*1000,MIN(+$C46*$E46*1000,$C46*1000-SUM($F46:S46)),0)</f>
        <v>28.070175438596493</v>
      </c>
      <c r="U46" s="493">
        <f ca="1">IF(SUM($F46:T46)&lt;$C46*1000,MIN(+$C46*$E46*1000,$C46*1000-SUM($F46:T46)),0)</f>
        <v>28.070175438596493</v>
      </c>
      <c r="V46" s="493">
        <f ca="1">IF(SUM($F46:U46)&lt;$C46*1000,MIN(+$C46*$E46*1000,$C46*1000-SUM($F46:U46)),0)</f>
        <v>28.070175438596493</v>
      </c>
      <c r="W46" s="493">
        <f ca="1">IF(SUM($F46:V46)&lt;$C46*1000,MIN(+$C46*$E46*1000,$C46*1000-SUM($F46:V46)),0)</f>
        <v>28.070175438596493</v>
      </c>
      <c r="X46" s="493">
        <f ca="1">IF(SUM($F46:W46)&lt;$C46*1000,MIN(+$C46*$E46*1000,$C46*1000-SUM($F46:W46)),0)</f>
        <v>28.070175438596493</v>
      </c>
      <c r="Y46" s="493">
        <f ca="1">IF(SUM($F46:X46)&lt;$C46*1000,MIN(+$C46*$E46*1000,$C46*1000-SUM($F46:X46)),0)</f>
        <v>28.070175438596493</v>
      </c>
      <c r="Z46" s="493"/>
      <c r="AA46" s="498">
        <f t="shared" ca="1" si="4"/>
        <v>-250.29239766081866</v>
      </c>
    </row>
    <row r="47" spans="1:27" ht="16.2">
      <c r="A47" s="494" t="str">
        <f ca="1">'TAXDEPR 144A'!A47</f>
        <v>Lender Legal</v>
      </c>
      <c r="B47" s="488">
        <v>1</v>
      </c>
      <c r="C47" s="496">
        <f>IF(B47=1,'ASSUM 2'!E44,0)</f>
        <v>1</v>
      </c>
      <c r="D47" s="488">
        <f>'ASSUM 2'!M44</f>
        <v>6</v>
      </c>
      <c r="E47" s="497">
        <f>IF(D47=1,'ASSUM 1'!H10,IF(D47=2,'ASSUM 1'!H11,IF(D47=3,'ASSUM 1'!H12,IF(D47=4,'ASSUM 1'!H13,IF(D47=5,'ASSUM 1'!H14,IF(D47=6,'ASSUM 1'!H15,'ASSUM 1'!H21))))))</f>
        <v>3.5087719298245612E-2</v>
      </c>
      <c r="F47" s="495">
        <f t="shared" ca="1" si="3"/>
        <v>20.467836257309937</v>
      </c>
      <c r="G47" s="493">
        <f ca="1">IF(SUM($F47:F47)&lt;$C47*1000,MIN(+$C47*$E47*1000,$C47*1000-SUM($F47:F47)),0)</f>
        <v>35.087719298245609</v>
      </c>
      <c r="H47" s="493">
        <f ca="1">IF(SUM($F47:G47)&lt;$C47*1000,MIN(+$C47*$E47*1000,$C47*1000-SUM($F47:G47)),0)</f>
        <v>35.087719298245609</v>
      </c>
      <c r="I47" s="493">
        <f ca="1">IF(SUM($F47:H47)&lt;$C47*1000,MIN(+$C47*$E47*1000,$C47*1000-SUM($F47:H47)),0)</f>
        <v>35.087719298245609</v>
      </c>
      <c r="J47" s="493">
        <f ca="1">IF(SUM($F47:I47)&lt;$C47*1000,MIN(+$C47*$E47*1000,$C47*1000-SUM($F47:I47)),0)</f>
        <v>35.087719298245609</v>
      </c>
      <c r="K47" s="493">
        <f ca="1">IF(SUM($F47:J47)&lt;$C47*1000,MIN(+$C47*$E47*1000,$C47*1000-SUM($F47:J47)),0)</f>
        <v>35.087719298245609</v>
      </c>
      <c r="L47" s="493">
        <f ca="1">IF(SUM($F47:K47)&lt;$C47*1000,MIN(+$C47*$E47*1000,$C47*1000-SUM($F47:K47)),0)</f>
        <v>35.087719298245609</v>
      </c>
      <c r="M47" s="493">
        <f ca="1">IF(SUM($F47:L47)&lt;$C47*1000,MIN(+$C47*$E47*1000,$C47*1000-SUM($F47:L47)),0)</f>
        <v>35.087719298245609</v>
      </c>
      <c r="N47" s="493">
        <f ca="1">IF(SUM($F47:M47)&lt;$C47*1000,MIN(+$C47*$E47*1000,$C47*1000-SUM($F47:M47)),0)</f>
        <v>35.087719298245609</v>
      </c>
      <c r="O47" s="493">
        <f ca="1">IF(SUM($F47:N47)&lt;$C47*1000,MIN(+$C47*$E47*1000,$C47*1000-SUM($F47:N47)),0)</f>
        <v>35.087719298245609</v>
      </c>
      <c r="P47" s="493">
        <f ca="1">IF(SUM($F47:O47)&lt;$C47*1000,MIN(+$C47*$E47*1000,$C47*1000-SUM($F47:O47)),0)</f>
        <v>35.087719298245609</v>
      </c>
      <c r="Q47" s="493">
        <f ca="1">IF(SUM($F47:P47)&lt;$C47*1000,MIN(+$C47*$E47*1000,$C47*1000-SUM($F47:P47)),0)</f>
        <v>35.087719298245609</v>
      </c>
      <c r="R47" s="493">
        <f ca="1">IF(SUM($F47:Q47)&lt;$C47*1000,MIN(+$C47*$E47*1000,$C47*1000-SUM($F47:Q47)),0)</f>
        <v>35.087719298245609</v>
      </c>
      <c r="S47" s="493">
        <f ca="1">IF(SUM($F47:R47)&lt;$C47*1000,MIN(+$C47*$E47*1000,$C47*1000-SUM($F47:R47)),0)</f>
        <v>35.087719298245609</v>
      </c>
      <c r="T47" s="493">
        <f ca="1">IF(SUM($F47:S47)&lt;$C47*1000,MIN(+$C47*$E47*1000,$C47*1000-SUM($F47:S47)),0)</f>
        <v>35.087719298245609</v>
      </c>
      <c r="U47" s="493">
        <f ca="1">IF(SUM($F47:T47)&lt;$C47*1000,MIN(+$C47*$E47*1000,$C47*1000-SUM($F47:T47)),0)</f>
        <v>35.087719298245609</v>
      </c>
      <c r="V47" s="493">
        <f ca="1">IF(SUM($F47:U47)&lt;$C47*1000,MIN(+$C47*$E47*1000,$C47*1000-SUM($F47:U47)),0)</f>
        <v>35.087719298245609</v>
      </c>
      <c r="W47" s="493">
        <f ca="1">IF(SUM($F47:V47)&lt;$C47*1000,MIN(+$C47*$E47*1000,$C47*1000-SUM($F47:V47)),0)</f>
        <v>35.087719298245609</v>
      </c>
      <c r="X47" s="493">
        <f ca="1">IF(SUM($F47:W47)&lt;$C47*1000,MIN(+$C47*$E47*1000,$C47*1000-SUM($F47:W47)),0)</f>
        <v>35.087719298245609</v>
      </c>
      <c r="Y47" s="493">
        <f ca="1">IF(SUM($F47:X47)&lt;$C47*1000,MIN(+$C47*$E47*1000,$C47*1000-SUM($F47:X47)),0)</f>
        <v>35.087719298245609</v>
      </c>
      <c r="Z47" s="493"/>
      <c r="AA47" s="498">
        <f t="shared" ca="1" si="4"/>
        <v>-312.86549707602364</v>
      </c>
    </row>
    <row r="48" spans="1:27" ht="16.2">
      <c r="A48" s="494" t="str">
        <f ca="1">'TAXDEPR 144A'!A48</f>
        <v>Vehicles</v>
      </c>
      <c r="B48" s="488">
        <v>1</v>
      </c>
      <c r="C48" s="496">
        <f>IF(B48=1,'ASSUM 2'!E45,0)</f>
        <v>0.1</v>
      </c>
      <c r="D48" s="488">
        <f>'ASSUM 2'!M45</f>
        <v>6</v>
      </c>
      <c r="E48" s="497">
        <f>IF(D48=1,'ASSUM 1'!H10,IF(D48=2,'ASSUM 1'!H11,IF(D48=3,'ASSUM 1'!H12,IF(D48=4,'ASSUM 1'!H13,IF(D48=5,'ASSUM 1'!H14,IF(D48=6,'ASSUM 1'!H15,'ASSUM 1'!H21))))))</f>
        <v>3.5087719298245612E-2</v>
      </c>
      <c r="F48" s="495">
        <f t="shared" ca="1" si="3"/>
        <v>2.0467836257309941</v>
      </c>
      <c r="G48" s="493">
        <f ca="1">IF(SUM($F48:F48)&lt;$C48*1000,MIN(+$C48*$E48*1000,$C48*1000-SUM($F48:F48)),0)</f>
        <v>3.5087719298245617</v>
      </c>
      <c r="H48" s="493">
        <f ca="1">IF(SUM($F48:G48)&lt;$C48*1000,MIN(+$C48*$E48*1000,$C48*1000-SUM($F48:G48)),0)</f>
        <v>3.5087719298245617</v>
      </c>
      <c r="I48" s="493">
        <f ca="1">IF(SUM($F48:H48)&lt;$C48*1000,MIN(+$C48*$E48*1000,$C48*1000-SUM($F48:H48)),0)</f>
        <v>3.5087719298245617</v>
      </c>
      <c r="J48" s="493">
        <f ca="1">IF(SUM($F48:I48)&lt;$C48*1000,MIN(+$C48*$E48*1000,$C48*1000-SUM($F48:I48)),0)</f>
        <v>3.5087719298245617</v>
      </c>
      <c r="K48" s="493">
        <f ca="1">IF(SUM($F48:J48)&lt;$C48*1000,MIN(+$C48*$E48*1000,$C48*1000-SUM($F48:J48)),0)</f>
        <v>3.5087719298245617</v>
      </c>
      <c r="L48" s="493">
        <f ca="1">IF(SUM($F48:K48)&lt;$C48*1000,MIN(+$C48*$E48*1000,$C48*1000-SUM($F48:K48)),0)</f>
        <v>3.5087719298245617</v>
      </c>
      <c r="M48" s="493">
        <f ca="1">IF(SUM($F48:L48)&lt;$C48*1000,MIN(+$C48*$E48*1000,$C48*1000-SUM($F48:L48)),0)</f>
        <v>3.5087719298245617</v>
      </c>
      <c r="N48" s="493">
        <f ca="1">IF(SUM($F48:M48)&lt;$C48*1000,MIN(+$C48*$E48*1000,$C48*1000-SUM($F48:M48)),0)</f>
        <v>3.5087719298245617</v>
      </c>
      <c r="O48" s="493">
        <f ca="1">IF(SUM($F48:N48)&lt;$C48*1000,MIN(+$C48*$E48*1000,$C48*1000-SUM($F48:N48)),0)</f>
        <v>3.5087719298245617</v>
      </c>
      <c r="P48" s="493">
        <f ca="1">IF(SUM($F48:O48)&lt;$C48*1000,MIN(+$C48*$E48*1000,$C48*1000-SUM($F48:O48)),0)</f>
        <v>3.5087719298245617</v>
      </c>
      <c r="Q48" s="493">
        <f ca="1">IF(SUM($F48:P48)&lt;$C48*1000,MIN(+$C48*$E48*1000,$C48*1000-SUM($F48:P48)),0)</f>
        <v>3.5087719298245617</v>
      </c>
      <c r="R48" s="493">
        <f ca="1">IF(SUM($F48:Q48)&lt;$C48*1000,MIN(+$C48*$E48*1000,$C48*1000-SUM($F48:Q48)),0)</f>
        <v>3.5087719298245617</v>
      </c>
      <c r="S48" s="493">
        <f ca="1">IF(SUM($F48:R48)&lt;$C48*1000,MIN(+$C48*$E48*1000,$C48*1000-SUM($F48:R48)),0)</f>
        <v>3.5087719298245617</v>
      </c>
      <c r="T48" s="493">
        <f ca="1">IF(SUM($F48:S48)&lt;$C48*1000,MIN(+$C48*$E48*1000,$C48*1000-SUM($F48:S48)),0)</f>
        <v>3.5087719298245617</v>
      </c>
      <c r="U48" s="493">
        <f ca="1">IF(SUM($F48:T48)&lt;$C48*1000,MIN(+$C48*$E48*1000,$C48*1000-SUM($F48:T48)),0)</f>
        <v>3.5087719298245617</v>
      </c>
      <c r="V48" s="493">
        <f ca="1">IF(SUM($F48:U48)&lt;$C48*1000,MIN(+$C48*$E48*1000,$C48*1000-SUM($F48:U48)),0)</f>
        <v>3.5087719298245617</v>
      </c>
      <c r="W48" s="493">
        <f ca="1">IF(SUM($F48:V48)&lt;$C48*1000,MIN(+$C48*$E48*1000,$C48*1000-SUM($F48:V48)),0)</f>
        <v>3.5087719298245617</v>
      </c>
      <c r="X48" s="493">
        <f ca="1">IF(SUM($F48:W48)&lt;$C48*1000,MIN(+$C48*$E48*1000,$C48*1000-SUM($F48:W48)),0)</f>
        <v>3.5087719298245617</v>
      </c>
      <c r="Y48" s="493">
        <f ca="1">IF(SUM($F48:X48)&lt;$C48*1000,MIN(+$C48*$E48*1000,$C48*1000-SUM($F48:X48)),0)</f>
        <v>3.5087719298245617</v>
      </c>
      <c r="Z48" s="493"/>
      <c r="AA48" s="498">
        <f t="shared" ca="1" si="4"/>
        <v>-31.286549707602333</v>
      </c>
    </row>
    <row r="49" spans="1:27" ht="16.2">
      <c r="A49" s="494" t="str">
        <f ca="1">'TAXDEPR 144A'!A49</f>
        <v>Document Recording Tax (State of VA tax)</v>
      </c>
      <c r="B49" s="488">
        <v>1</v>
      </c>
      <c r="C49" s="496">
        <f>IF(B49=1,'ASSUM 2'!E46,0)</f>
        <v>7.4999999999999997E-3</v>
      </c>
      <c r="D49" s="488">
        <f>'ASSUM 2'!M46</f>
        <v>6</v>
      </c>
      <c r="E49" s="497">
        <f>IF(D49=1,'ASSUM 1'!H10,IF(D49=2,'ASSUM 1'!H11,IF(D49=3,'ASSUM 1'!H12,IF(D49=4,'ASSUM 1'!H13,IF(D49=5,'ASSUM 1'!H14,IF(D49=6,'ASSUM 1'!H15,'ASSUM 1'!H21))))))</f>
        <v>3.5087719298245612E-2</v>
      </c>
      <c r="F49" s="495">
        <f t="shared" ca="1" si="3"/>
        <v>0.15350877192982457</v>
      </c>
      <c r="G49" s="493">
        <f ca="1">IF(SUM($F49:F49)&lt;$C49*1000,MIN(+$C49*$E49*1000,$C49*1000-SUM($F49:F49)),0)</f>
        <v>0.26315789473684209</v>
      </c>
      <c r="H49" s="493">
        <f ca="1">IF(SUM($F49:G49)&lt;$C49*1000,MIN(+$C49*$E49*1000,$C49*1000-SUM($F49:G49)),0)</f>
        <v>0.26315789473684209</v>
      </c>
      <c r="I49" s="493">
        <f ca="1">IF(SUM($F49:H49)&lt;$C49*1000,MIN(+$C49*$E49*1000,$C49*1000-SUM($F49:H49)),0)</f>
        <v>0.26315789473684209</v>
      </c>
      <c r="J49" s="493">
        <f ca="1">IF(SUM($F49:I49)&lt;$C49*1000,MIN(+$C49*$E49*1000,$C49*1000-SUM($F49:I49)),0)</f>
        <v>0.26315789473684209</v>
      </c>
      <c r="K49" s="493">
        <f ca="1">IF(SUM($F49:J49)&lt;$C49*1000,MIN(+$C49*$E49*1000,$C49*1000-SUM($F49:J49)),0)</f>
        <v>0.26315789473684209</v>
      </c>
      <c r="L49" s="493">
        <f ca="1">IF(SUM($F49:K49)&lt;$C49*1000,MIN(+$C49*$E49*1000,$C49*1000-SUM($F49:K49)),0)</f>
        <v>0.26315789473684209</v>
      </c>
      <c r="M49" s="493">
        <f ca="1">IF(SUM($F49:L49)&lt;$C49*1000,MIN(+$C49*$E49*1000,$C49*1000-SUM($F49:L49)),0)</f>
        <v>0.26315789473684209</v>
      </c>
      <c r="N49" s="493">
        <f ca="1">IF(SUM($F49:M49)&lt;$C49*1000,MIN(+$C49*$E49*1000,$C49*1000-SUM($F49:M49)),0)</f>
        <v>0.26315789473684209</v>
      </c>
      <c r="O49" s="493">
        <f ca="1">IF(SUM($F49:N49)&lt;$C49*1000,MIN(+$C49*$E49*1000,$C49*1000-SUM($F49:N49)),0)</f>
        <v>0.26315789473684209</v>
      </c>
      <c r="P49" s="493">
        <f ca="1">IF(SUM($F49:O49)&lt;$C49*1000,MIN(+$C49*$E49*1000,$C49*1000-SUM($F49:O49)),0)</f>
        <v>0.26315789473684209</v>
      </c>
      <c r="Q49" s="493">
        <f ca="1">IF(SUM($F49:P49)&lt;$C49*1000,MIN(+$C49*$E49*1000,$C49*1000-SUM($F49:P49)),0)</f>
        <v>0.26315789473684209</v>
      </c>
      <c r="R49" s="493">
        <f ca="1">IF(SUM($F49:Q49)&lt;$C49*1000,MIN(+$C49*$E49*1000,$C49*1000-SUM($F49:Q49)),0)</f>
        <v>0.26315789473684209</v>
      </c>
      <c r="S49" s="493">
        <f ca="1">IF(SUM($F49:R49)&lt;$C49*1000,MIN(+$C49*$E49*1000,$C49*1000-SUM($F49:R49)),0)</f>
        <v>0.26315789473684209</v>
      </c>
      <c r="T49" s="493">
        <f ca="1">IF(SUM($F49:S49)&lt;$C49*1000,MIN(+$C49*$E49*1000,$C49*1000-SUM($F49:S49)),0)</f>
        <v>0.26315789473684209</v>
      </c>
      <c r="U49" s="493">
        <f ca="1">IF(SUM($F49:T49)&lt;$C49*1000,MIN(+$C49*$E49*1000,$C49*1000-SUM($F49:T49)),0)</f>
        <v>0.26315789473684209</v>
      </c>
      <c r="V49" s="493">
        <f ca="1">IF(SUM($F49:U49)&lt;$C49*1000,MIN(+$C49*$E49*1000,$C49*1000-SUM($F49:U49)),0)</f>
        <v>0.26315789473684209</v>
      </c>
      <c r="W49" s="493">
        <f ca="1">IF(SUM($F49:V49)&lt;$C49*1000,MIN(+$C49*$E49*1000,$C49*1000-SUM($F49:V49)),0)</f>
        <v>0.26315789473684209</v>
      </c>
      <c r="X49" s="493">
        <f ca="1">IF(SUM($F49:W49)&lt;$C49*1000,MIN(+$C49*$E49*1000,$C49*1000-SUM($F49:W49)),0)</f>
        <v>0.26315789473684209</v>
      </c>
      <c r="Y49" s="493">
        <f ca="1">IF(SUM($F49:X49)&lt;$C49*1000,MIN(+$C49*$E49*1000,$C49*1000-SUM($F49:X49)),0)</f>
        <v>0.26315789473684209</v>
      </c>
      <c r="Z49" s="493"/>
      <c r="AA49" s="498">
        <f t="shared" ca="1" si="4"/>
        <v>-2.3464912280701746</v>
      </c>
    </row>
    <row r="50" spans="1:27" ht="16.2">
      <c r="A50" s="494" t="str">
        <f ca="1">'TAXDEPR 144A'!A50</f>
        <v>Working Capital</v>
      </c>
      <c r="B50" s="488">
        <v>0</v>
      </c>
      <c r="C50" s="496">
        <f>IF(B50=1,'ASSUM 2'!E47,0)</f>
        <v>0</v>
      </c>
      <c r="D50" s="488">
        <f>'ASSUM 2'!M47</f>
        <v>0</v>
      </c>
      <c r="E50" s="497">
        <f>IF(D50=1,'ASSUM 1'!H10,IF(D50=2,'ASSUM 1'!H11,IF(D50=3,'ASSUM 1'!H12,IF(D50=4,'ASSUM 1'!H13,IF(D50=5,'ASSUM 1'!H14,IF(D50=6,'ASSUM 1'!H15,'ASSUM 1'!H21))))))</f>
        <v>0.2</v>
      </c>
      <c r="F50" s="495">
        <f t="shared" ca="1" si="3"/>
        <v>0</v>
      </c>
      <c r="G50" s="493">
        <f ca="1">IF(SUM($F50:F50)&lt;$C50*1000,MIN(+$C50*$E50*1000,$C50*1000-SUM($F50:F50)),0)</f>
        <v>0</v>
      </c>
      <c r="H50" s="493">
        <f ca="1">IF(SUM($F50:G50)&lt;$C50*1000,MIN(+$C50*$E50*1000,$C50*1000-SUM($F50:G50)),0)</f>
        <v>0</v>
      </c>
      <c r="I50" s="493">
        <f ca="1">IF(SUM($F50:H50)&lt;$C50*1000,MIN(+$C50*$E50*1000,$C50*1000-SUM($F50:H50)),0)</f>
        <v>0</v>
      </c>
      <c r="J50" s="493">
        <f ca="1">IF(SUM($F50:I50)&lt;$C50*1000,MIN(+$C50*$E50*1000,$C50*1000-SUM($F50:I50)),0)</f>
        <v>0</v>
      </c>
      <c r="K50" s="493">
        <f ca="1">IF(SUM($F50:J50)&lt;$C50*1000,MIN(+$C50*$E50*1000,$C50*1000-SUM($F50:J50)),0)</f>
        <v>0</v>
      </c>
      <c r="L50" s="493">
        <f ca="1">IF(SUM($F50:K50)&lt;$C50*1000,MIN(+$C50*$E50*1000,$C50*1000-SUM($F50:K50)),0)</f>
        <v>0</v>
      </c>
      <c r="M50" s="493">
        <f ca="1">IF(SUM($F50:L50)&lt;$C50*1000,MIN(+$C50*$E50*1000,$C50*1000-SUM($F50:L50)),0)</f>
        <v>0</v>
      </c>
      <c r="N50" s="493">
        <f ca="1">IF(SUM($F50:M50)&lt;$C50*1000,MIN(+$C50*$E50*1000,$C50*1000-SUM($F50:M50)),0)</f>
        <v>0</v>
      </c>
      <c r="O50" s="493">
        <f ca="1">IF(SUM($F50:N50)&lt;$C50*1000,MIN(+$C50*$E50*1000,$C50*1000-SUM($F50:N50)),0)</f>
        <v>0</v>
      </c>
      <c r="P50" s="493">
        <f ca="1">IF(SUM($F50:O50)&lt;$C50*1000,MIN(+$C50*$E50*1000,$C50*1000-SUM($F50:O50)),0)</f>
        <v>0</v>
      </c>
      <c r="Q50" s="493">
        <f ca="1">IF(SUM($F50:P50)&lt;$C50*1000,MIN(+$C50*$E50*1000,$C50*1000-SUM($F50:P50)),0)</f>
        <v>0</v>
      </c>
      <c r="R50" s="493">
        <f ca="1">IF(SUM($F50:Q50)&lt;$C50*1000,MIN(+$C50*$E50*1000,$C50*1000-SUM($F50:Q50)),0)</f>
        <v>0</v>
      </c>
      <c r="S50" s="493">
        <f ca="1">IF(SUM($F50:R50)&lt;$C50*1000,MIN(+$C50*$E50*1000,$C50*1000-SUM($F50:R50)),0)</f>
        <v>0</v>
      </c>
      <c r="T50" s="493">
        <f ca="1">IF(SUM($F50:S50)&lt;$C50*1000,MIN(+$C50*$E50*1000,$C50*1000-SUM($F50:S50)),0)</f>
        <v>0</v>
      </c>
      <c r="U50" s="493">
        <f ca="1">IF(SUM($F50:T50)&lt;$C50*1000,MIN(+$C50*$E50*1000,$C50*1000-SUM($F50:T50)),0)</f>
        <v>0</v>
      </c>
      <c r="V50" s="493">
        <f ca="1">IF(SUM($F50:U50)&lt;$C50*1000,MIN(+$C50*$E50*1000,$C50*1000-SUM($F50:U50)),0)</f>
        <v>0</v>
      </c>
      <c r="W50" s="493">
        <f ca="1">IF(SUM($F50:V50)&lt;$C50*1000,MIN(+$C50*$E50*1000,$C50*1000-SUM($F50:V50)),0)</f>
        <v>0</v>
      </c>
      <c r="X50" s="493">
        <f ca="1">IF(SUM($F50:W50)&lt;$C50*1000,MIN(+$C50*$E50*1000,$C50*1000-SUM($F50:W50)),0)</f>
        <v>0</v>
      </c>
      <c r="Y50" s="493">
        <f ca="1">IF(SUM($F50:X50)&lt;$C50*1000,MIN(+$C50*$E50*1000,$C50*1000-SUM($F50:X50)),0)</f>
        <v>0</v>
      </c>
      <c r="Z50" s="493"/>
      <c r="AA50" s="498">
        <f t="shared" ca="1" si="4"/>
        <v>0</v>
      </c>
    </row>
    <row r="51" spans="1:27" ht="16.2">
      <c r="A51" s="494" t="str">
        <f ca="1">'TAXDEPR 144A'!A51</f>
        <v>Other</v>
      </c>
      <c r="B51" s="488">
        <v>1</v>
      </c>
      <c r="C51" s="496">
        <f>IF(B51=1,'ASSUM 2'!E48,0)</f>
        <v>0</v>
      </c>
      <c r="D51" s="488">
        <f>'ASSUM 2'!M48</f>
        <v>6</v>
      </c>
      <c r="E51" s="497">
        <f>IF(D51=1,'ASSUM 1'!H10,IF(D51=2,'ASSUM 1'!H11,IF(D51=3,'ASSUM 1'!H12,IF(D51=4,'ASSUM 1'!H13,IF(D51=5,'ASSUM 1'!H14,IF(D51=6,'ASSUM 1'!H15,'ASSUM 1'!H21))))))</f>
        <v>3.5087719298245612E-2</v>
      </c>
      <c r="F51" s="495">
        <f t="shared" ca="1" si="3"/>
        <v>0</v>
      </c>
      <c r="G51" s="493">
        <f ca="1">IF(SUM($F51:F51)&lt;$C51*1000,MIN(+$C51*$E51*1000,$C51*1000-SUM($F51:F51)),0)</f>
        <v>0</v>
      </c>
      <c r="H51" s="493">
        <f ca="1">IF(SUM($F51:G51)&lt;$C51*1000,MIN(+$C51*$E51*1000,$C51*1000-SUM($F51:G51)),0)</f>
        <v>0</v>
      </c>
      <c r="I51" s="493">
        <f ca="1">IF(SUM($F51:H51)&lt;$C51*1000,MIN(+$C51*$E51*1000,$C51*1000-SUM($F51:H51)),0)</f>
        <v>0</v>
      </c>
      <c r="J51" s="493">
        <f ca="1">IF(SUM($F51:I51)&lt;$C51*1000,MIN(+$C51*$E51*1000,$C51*1000-SUM($F51:I51)),0)</f>
        <v>0</v>
      </c>
      <c r="K51" s="493">
        <f ca="1">IF(SUM($F51:J51)&lt;$C51*1000,MIN(+$C51*$E51*1000,$C51*1000-SUM($F51:J51)),0)</f>
        <v>0</v>
      </c>
      <c r="L51" s="493">
        <f ca="1">IF(SUM($F51:K51)&lt;$C51*1000,MIN(+$C51*$E51*1000,$C51*1000-SUM($F51:K51)),0)</f>
        <v>0</v>
      </c>
      <c r="M51" s="493">
        <f ca="1">IF(SUM($F51:L51)&lt;$C51*1000,MIN(+$C51*$E51*1000,$C51*1000-SUM($F51:L51)),0)</f>
        <v>0</v>
      </c>
      <c r="N51" s="493">
        <f ca="1">IF(SUM($F51:M51)&lt;$C51*1000,MIN(+$C51*$E51*1000,$C51*1000-SUM($F51:M51)),0)</f>
        <v>0</v>
      </c>
      <c r="O51" s="493">
        <f ca="1">IF(SUM($F51:N51)&lt;$C51*1000,MIN(+$C51*$E51*1000,$C51*1000-SUM($F51:N51)),0)</f>
        <v>0</v>
      </c>
      <c r="P51" s="493">
        <f ca="1">IF(SUM($F51:O51)&lt;$C51*1000,MIN(+$C51*$E51*1000,$C51*1000-SUM($F51:O51)),0)</f>
        <v>0</v>
      </c>
      <c r="Q51" s="493">
        <f ca="1">IF(SUM($F51:P51)&lt;$C51*1000,MIN(+$C51*$E51*1000,$C51*1000-SUM($F51:P51)),0)</f>
        <v>0</v>
      </c>
      <c r="R51" s="493">
        <f ca="1">IF(SUM($F51:Q51)&lt;$C51*1000,MIN(+$C51*$E51*1000,$C51*1000-SUM($F51:Q51)),0)</f>
        <v>0</v>
      </c>
      <c r="S51" s="493">
        <f ca="1">IF(SUM($F51:R51)&lt;$C51*1000,MIN(+$C51*$E51*1000,$C51*1000-SUM($F51:R51)),0)</f>
        <v>0</v>
      </c>
      <c r="T51" s="493">
        <f ca="1">IF(SUM($F51:S51)&lt;$C51*1000,MIN(+$C51*$E51*1000,$C51*1000-SUM($F51:S51)),0)</f>
        <v>0</v>
      </c>
      <c r="U51" s="493">
        <f ca="1">IF(SUM($F51:T51)&lt;$C51*1000,MIN(+$C51*$E51*1000,$C51*1000-SUM($F51:T51)),0)</f>
        <v>0</v>
      </c>
      <c r="V51" s="493">
        <f ca="1">IF(SUM($F51:U51)&lt;$C51*1000,MIN(+$C51*$E51*1000,$C51*1000-SUM($F51:U51)),0)</f>
        <v>0</v>
      </c>
      <c r="W51" s="493">
        <f ca="1">IF(SUM($F51:V51)&lt;$C51*1000,MIN(+$C51*$E51*1000,$C51*1000-SUM($F51:V51)),0)</f>
        <v>0</v>
      </c>
      <c r="X51" s="493">
        <f ca="1">IF(SUM($F51:W51)&lt;$C51*1000,MIN(+$C51*$E51*1000,$C51*1000-SUM($F51:W51)),0)</f>
        <v>0</v>
      </c>
      <c r="Y51" s="493">
        <f ca="1">IF(SUM($F51:X51)&lt;$C51*1000,MIN(+$C51*$E51*1000,$C51*1000-SUM($F51:X51)),0)</f>
        <v>0</v>
      </c>
      <c r="Z51" s="493"/>
      <c r="AA51" s="498">
        <f t="shared" ca="1" si="4"/>
        <v>0</v>
      </c>
    </row>
    <row r="52" spans="1:27" ht="16.2">
      <c r="A52" s="494" t="str">
        <f ca="1">'TAXDEPR 144A'!A52</f>
        <v xml:space="preserve">Debt Reserve </v>
      </c>
      <c r="B52" s="488">
        <v>0</v>
      </c>
      <c r="C52" s="496">
        <f>IF(B52=1,'ASSUM 2'!E49,0)</f>
        <v>0</v>
      </c>
      <c r="D52" s="488">
        <f>'ASSUM 2'!M49</f>
        <v>0</v>
      </c>
      <c r="E52" s="497">
        <f>IF(D52=1,'ASSUM 1'!H10,IF(D52=2,'ASSUM 1'!H11,IF(D52=3,'ASSUM 1'!H12,IF(D52=4,'ASSUM 1'!H13,IF(D52=5,'ASSUM 1'!H14,IF(D52=6,'ASSUM 1'!H15,'ASSUM 1'!H21))))))</f>
        <v>0.2</v>
      </c>
      <c r="F52" s="495">
        <f t="shared" ca="1" si="3"/>
        <v>0</v>
      </c>
      <c r="G52" s="493">
        <f ca="1">IF(SUM($F52:F52)&lt;$C52*1000,MIN(+$C52*$E52*1000,$C52*1000-SUM($F52:F52)),0)</f>
        <v>0</v>
      </c>
      <c r="H52" s="493">
        <f ca="1">IF(SUM($F52:G52)&lt;$C52*1000,MIN(+$C52*$E52*1000,$C52*1000-SUM($F52:G52)),0)</f>
        <v>0</v>
      </c>
      <c r="I52" s="493">
        <f ca="1">IF(SUM($F52:H52)&lt;$C52*1000,MIN(+$C52*$E52*1000,$C52*1000-SUM($F52:H52)),0)</f>
        <v>0</v>
      </c>
      <c r="J52" s="493">
        <f ca="1">IF(SUM($F52:I52)&lt;$C52*1000,MIN(+$C52*$E52*1000,$C52*1000-SUM($F52:I52)),0)</f>
        <v>0</v>
      </c>
      <c r="K52" s="493">
        <f ca="1">IF(SUM($F52:J52)&lt;$C52*1000,MIN(+$C52*$E52*1000,$C52*1000-SUM($F52:J52)),0)</f>
        <v>0</v>
      </c>
      <c r="L52" s="493">
        <f ca="1">IF(SUM($F52:K52)&lt;$C52*1000,MIN(+$C52*$E52*1000,$C52*1000-SUM($F52:K52)),0)</f>
        <v>0</v>
      </c>
      <c r="M52" s="493">
        <f ca="1">IF(SUM($F52:L52)&lt;$C52*1000,MIN(+$C52*$E52*1000,$C52*1000-SUM($F52:L52)),0)</f>
        <v>0</v>
      </c>
      <c r="N52" s="493">
        <f ca="1">IF(SUM($F52:M52)&lt;$C52*1000,MIN(+$C52*$E52*1000,$C52*1000-SUM($F52:M52)),0)</f>
        <v>0</v>
      </c>
      <c r="O52" s="493">
        <f ca="1">IF(SUM($F52:N52)&lt;$C52*1000,MIN(+$C52*$E52*1000,$C52*1000-SUM($F52:N52)),0)</f>
        <v>0</v>
      </c>
      <c r="P52" s="493">
        <f ca="1">IF(SUM($F52:O52)&lt;$C52*1000,MIN(+$C52*$E52*1000,$C52*1000-SUM($F52:O52)),0)</f>
        <v>0</v>
      </c>
      <c r="Q52" s="493">
        <f ca="1">IF(SUM($F52:P52)&lt;$C52*1000,MIN(+$C52*$E52*1000,$C52*1000-SUM($F52:P52)),0)</f>
        <v>0</v>
      </c>
      <c r="R52" s="493">
        <f ca="1">IF(SUM($F52:Q52)&lt;$C52*1000,MIN(+$C52*$E52*1000,$C52*1000-SUM($F52:Q52)),0)</f>
        <v>0</v>
      </c>
      <c r="S52" s="493">
        <f ca="1">IF(SUM($F52:R52)&lt;$C52*1000,MIN(+$C52*$E52*1000,$C52*1000-SUM($F52:R52)),0)</f>
        <v>0</v>
      </c>
      <c r="T52" s="493">
        <f ca="1">IF(SUM($F52:S52)&lt;$C52*1000,MIN(+$C52*$E52*1000,$C52*1000-SUM($F52:S52)),0)</f>
        <v>0</v>
      </c>
      <c r="U52" s="493">
        <f ca="1">IF(SUM($F52:T52)&lt;$C52*1000,MIN(+$C52*$E52*1000,$C52*1000-SUM($F52:T52)),0)</f>
        <v>0</v>
      </c>
      <c r="V52" s="493">
        <f ca="1">IF(SUM($F52:U52)&lt;$C52*1000,MIN(+$C52*$E52*1000,$C52*1000-SUM($F52:U52)),0)</f>
        <v>0</v>
      </c>
      <c r="W52" s="493">
        <f ca="1">IF(SUM($F52:V52)&lt;$C52*1000,MIN(+$C52*$E52*1000,$C52*1000-SUM($F52:V52)),0)</f>
        <v>0</v>
      </c>
      <c r="X52" s="493">
        <f ca="1">IF(SUM($F52:W52)&lt;$C52*1000,MIN(+$C52*$E52*1000,$C52*1000-SUM($F52:W52)),0)</f>
        <v>0</v>
      </c>
      <c r="Y52" s="493">
        <f ca="1">IF(SUM($F52:X52)&lt;$C52*1000,MIN(+$C52*$E52*1000,$C52*1000-SUM($F52:X52)),0)</f>
        <v>0</v>
      </c>
      <c r="Z52" s="493"/>
      <c r="AA52" s="498">
        <f t="shared" ca="1" si="4"/>
        <v>0</v>
      </c>
    </row>
    <row r="53" spans="1:27" ht="16.2">
      <c r="A53" s="494" t="str">
        <f ca="1">'TAXDEPR 144A'!A53</f>
        <v>Other</v>
      </c>
      <c r="B53" s="488">
        <v>1</v>
      </c>
      <c r="C53" s="496">
        <f>IF(B53=1,'ASSUM 2'!E50,0)</f>
        <v>0</v>
      </c>
      <c r="D53" s="488">
        <f>'ASSUM 2'!M50</f>
        <v>6</v>
      </c>
      <c r="E53" s="497">
        <f>IF(D53=1,'ASSUM 1'!H10,IF(D53=2,'ASSUM 1'!H11,IF(D53=3,'ASSUM 1'!H12,IF(D53=4,'ASSUM 1'!H13,IF(D53=5,'ASSUM 1'!H14,IF(D53=6,'ASSUM 1'!H15,'ASSUM 1'!H21))))))</f>
        <v>3.5087719298245612E-2</v>
      </c>
      <c r="F53" s="495">
        <f t="shared" ca="1" si="3"/>
        <v>0</v>
      </c>
      <c r="G53" s="493">
        <f ca="1">IF(SUM($F53:F53)&lt;$C53*1000,MIN(+$C53*$E53*1000,$C53*1000-SUM($F53:F53)),0)</f>
        <v>0</v>
      </c>
      <c r="H53" s="493">
        <f ca="1">IF(SUM($F53:G53)&lt;$C53*1000,MIN(+$C53*$E53*1000,$C53*1000-SUM($F53:G53)),0)</f>
        <v>0</v>
      </c>
      <c r="I53" s="493">
        <f ca="1">IF(SUM($F53:H53)&lt;$C53*1000,MIN(+$C53*$E53*1000,$C53*1000-SUM($F53:H53)),0)</f>
        <v>0</v>
      </c>
      <c r="J53" s="493">
        <f ca="1">IF(SUM($F53:I53)&lt;$C53*1000,MIN(+$C53*$E53*1000,$C53*1000-SUM($F53:I53)),0)</f>
        <v>0</v>
      </c>
      <c r="K53" s="493">
        <f ca="1">IF(SUM($F53:J53)&lt;$C53*1000,MIN(+$C53*$E53*1000,$C53*1000-SUM($F53:J53)),0)</f>
        <v>0</v>
      </c>
      <c r="L53" s="493">
        <f ca="1">IF(SUM($F53:K53)&lt;$C53*1000,MIN(+$C53*$E53*1000,$C53*1000-SUM($F53:K53)),0)</f>
        <v>0</v>
      </c>
      <c r="M53" s="493">
        <f ca="1">IF(SUM($F53:L53)&lt;$C53*1000,MIN(+$C53*$E53*1000,$C53*1000-SUM($F53:L53)),0)</f>
        <v>0</v>
      </c>
      <c r="N53" s="493">
        <f ca="1">IF(SUM($F53:M53)&lt;$C53*1000,MIN(+$C53*$E53*1000,$C53*1000-SUM($F53:M53)),0)</f>
        <v>0</v>
      </c>
      <c r="O53" s="493">
        <f ca="1">IF(SUM($F53:N53)&lt;$C53*1000,MIN(+$C53*$E53*1000,$C53*1000-SUM($F53:N53)),0)</f>
        <v>0</v>
      </c>
      <c r="P53" s="493">
        <f ca="1">IF(SUM($F53:O53)&lt;$C53*1000,MIN(+$C53*$E53*1000,$C53*1000-SUM($F53:O53)),0)</f>
        <v>0</v>
      </c>
      <c r="Q53" s="493">
        <f ca="1">IF(SUM($F53:P53)&lt;$C53*1000,MIN(+$C53*$E53*1000,$C53*1000-SUM($F53:P53)),0)</f>
        <v>0</v>
      </c>
      <c r="R53" s="493">
        <f ca="1">IF(SUM($F53:Q53)&lt;$C53*1000,MIN(+$C53*$E53*1000,$C53*1000-SUM($F53:Q53)),0)</f>
        <v>0</v>
      </c>
      <c r="S53" s="493">
        <f ca="1">IF(SUM($F53:R53)&lt;$C53*1000,MIN(+$C53*$E53*1000,$C53*1000-SUM($F53:R53)),0)</f>
        <v>0</v>
      </c>
      <c r="T53" s="493">
        <f ca="1">IF(SUM($F53:S53)&lt;$C53*1000,MIN(+$C53*$E53*1000,$C53*1000-SUM($F53:S53)),0)</f>
        <v>0</v>
      </c>
      <c r="U53" s="493">
        <f ca="1">IF(SUM($F53:T53)&lt;$C53*1000,MIN(+$C53*$E53*1000,$C53*1000-SUM($F53:T53)),0)</f>
        <v>0</v>
      </c>
      <c r="V53" s="493">
        <f ca="1">IF(SUM($F53:U53)&lt;$C53*1000,MIN(+$C53*$E53*1000,$C53*1000-SUM($F53:U53)),0)</f>
        <v>0</v>
      </c>
      <c r="W53" s="493">
        <f ca="1">IF(SUM($F53:V53)&lt;$C53*1000,MIN(+$C53*$E53*1000,$C53*1000-SUM($F53:V53)),0)</f>
        <v>0</v>
      </c>
      <c r="X53" s="493">
        <f ca="1">IF(SUM($F53:W53)&lt;$C53*1000,MIN(+$C53*$E53*1000,$C53*1000-SUM($F53:W53)),0)</f>
        <v>0</v>
      </c>
      <c r="Y53" s="493">
        <f ca="1">IF(SUM($F53:X53)&lt;$C53*1000,MIN(+$C53*$E53*1000,$C53*1000-SUM($F53:X53)),0)</f>
        <v>0</v>
      </c>
      <c r="Z53" s="493"/>
      <c r="AA53" s="498">
        <f t="shared" ca="1" si="4"/>
        <v>0</v>
      </c>
    </row>
    <row r="54" spans="1:27" ht="16.2">
      <c r="A54" s="494" t="str">
        <f ca="1">'TAXDEPR 144A'!A54</f>
        <v>Environmental Impact Assessment</v>
      </c>
      <c r="B54" s="488">
        <v>1</v>
      </c>
      <c r="C54" s="496">
        <f>IF(B54=1,'ASSUM 2'!E51,0)</f>
        <v>0.05</v>
      </c>
      <c r="D54" s="488">
        <f>'ASSUM 2'!M51</f>
        <v>6</v>
      </c>
      <c r="E54" s="497">
        <f>IF(D54=1,'ASSUM 1'!H10,IF(D54=2,'ASSUM 1'!H11,IF(D54=3,'ASSUM 1'!H12,IF(D54=4,'ASSUM 1'!H13,IF(D54=5,'ASSUM 1'!H14,IF(D54=6,'ASSUM 1'!H15,'ASSUM 1'!H21))))))</f>
        <v>3.5087719298245612E-2</v>
      </c>
      <c r="F54" s="495">
        <f t="shared" ca="1" si="3"/>
        <v>1.0233918128654971</v>
      </c>
      <c r="G54" s="493">
        <f ca="1">IF(SUM($F54:F54)&lt;$C54*1000,MIN(+$C54*$E54*1000,$C54*1000-SUM($F54:F54)),0)</f>
        <v>1.7543859649122808</v>
      </c>
      <c r="H54" s="493">
        <f ca="1">IF(SUM($F54:G54)&lt;$C54*1000,MIN(+$C54*$E54*1000,$C54*1000-SUM($F54:G54)),0)</f>
        <v>1.7543859649122808</v>
      </c>
      <c r="I54" s="493">
        <f ca="1">IF(SUM($F54:H54)&lt;$C54*1000,MIN(+$C54*$E54*1000,$C54*1000-SUM($F54:H54)),0)</f>
        <v>1.7543859649122808</v>
      </c>
      <c r="J54" s="493">
        <f ca="1">IF(SUM($F54:I54)&lt;$C54*1000,MIN(+$C54*$E54*1000,$C54*1000-SUM($F54:I54)),0)</f>
        <v>1.7543859649122808</v>
      </c>
      <c r="K54" s="493">
        <f ca="1">IF(SUM($F54:J54)&lt;$C54*1000,MIN(+$C54*$E54*1000,$C54*1000-SUM($F54:J54)),0)</f>
        <v>1.7543859649122808</v>
      </c>
      <c r="L54" s="493">
        <f ca="1">IF(SUM($F54:K54)&lt;$C54*1000,MIN(+$C54*$E54*1000,$C54*1000-SUM($F54:K54)),0)</f>
        <v>1.7543859649122808</v>
      </c>
      <c r="M54" s="493">
        <f ca="1">IF(SUM($F54:L54)&lt;$C54*1000,MIN(+$C54*$E54*1000,$C54*1000-SUM($F54:L54)),0)</f>
        <v>1.7543859649122808</v>
      </c>
      <c r="N54" s="493">
        <f ca="1">IF(SUM($F54:M54)&lt;$C54*1000,MIN(+$C54*$E54*1000,$C54*1000-SUM($F54:M54)),0)</f>
        <v>1.7543859649122808</v>
      </c>
      <c r="O54" s="493">
        <f ca="1">IF(SUM($F54:N54)&lt;$C54*1000,MIN(+$C54*$E54*1000,$C54*1000-SUM($F54:N54)),0)</f>
        <v>1.7543859649122808</v>
      </c>
      <c r="P54" s="493">
        <f ca="1">IF(SUM($F54:O54)&lt;$C54*1000,MIN(+$C54*$E54*1000,$C54*1000-SUM($F54:O54)),0)</f>
        <v>1.7543859649122808</v>
      </c>
      <c r="Q54" s="493">
        <f ca="1">IF(SUM($F54:P54)&lt;$C54*1000,MIN(+$C54*$E54*1000,$C54*1000-SUM($F54:P54)),0)</f>
        <v>1.7543859649122808</v>
      </c>
      <c r="R54" s="493">
        <f ca="1">IF(SUM($F54:Q54)&lt;$C54*1000,MIN(+$C54*$E54*1000,$C54*1000-SUM($F54:Q54)),0)</f>
        <v>1.7543859649122808</v>
      </c>
      <c r="S54" s="493">
        <f ca="1">IF(SUM($F54:R54)&lt;$C54*1000,MIN(+$C54*$E54*1000,$C54*1000-SUM($F54:R54)),0)</f>
        <v>1.7543859649122808</v>
      </c>
      <c r="T54" s="493">
        <f ca="1">IF(SUM($F54:S54)&lt;$C54*1000,MIN(+$C54*$E54*1000,$C54*1000-SUM($F54:S54)),0)</f>
        <v>1.7543859649122808</v>
      </c>
      <c r="U54" s="493">
        <f ca="1">IF(SUM($F54:T54)&lt;$C54*1000,MIN(+$C54*$E54*1000,$C54*1000-SUM($F54:T54)),0)</f>
        <v>1.7543859649122808</v>
      </c>
      <c r="V54" s="493">
        <f ca="1">IF(SUM($F54:U54)&lt;$C54*1000,MIN(+$C54*$E54*1000,$C54*1000-SUM($F54:U54)),0)</f>
        <v>1.7543859649122808</v>
      </c>
      <c r="W54" s="493">
        <f ca="1">IF(SUM($F54:V54)&lt;$C54*1000,MIN(+$C54*$E54*1000,$C54*1000-SUM($F54:V54)),0)</f>
        <v>1.7543859649122808</v>
      </c>
      <c r="X54" s="493">
        <f ca="1">IF(SUM($F54:W54)&lt;$C54*1000,MIN(+$C54*$E54*1000,$C54*1000-SUM($F54:W54)),0)</f>
        <v>1.7543859649122808</v>
      </c>
      <c r="Y54" s="493">
        <f ca="1">IF(SUM($F54:X54)&lt;$C54*1000,MIN(+$C54*$E54*1000,$C54*1000-SUM($F54:X54)),0)</f>
        <v>1.7543859649122808</v>
      </c>
      <c r="Z54" s="493"/>
      <c r="AA54" s="498">
        <f t="shared" ca="1" si="4"/>
        <v>-15.643274853801167</v>
      </c>
    </row>
    <row r="55" spans="1:27" ht="16.2">
      <c r="A55" s="494" t="str">
        <f ca="1">'TAXDEPR 144A'!A55</f>
        <v xml:space="preserve">Other </v>
      </c>
      <c r="B55" s="488">
        <v>1</v>
      </c>
      <c r="C55" s="496">
        <f>IF(B55=1,'ASSUM 2'!E52,0)</f>
        <v>0</v>
      </c>
      <c r="D55" s="488">
        <f>'ASSUM 2'!M52</f>
        <v>6</v>
      </c>
      <c r="E55" s="497">
        <f>IF(D55=1,'ASSUM 1'!H10,IF(D55=2,'ASSUM 1'!H11,IF(D55=3,'ASSUM 1'!H12,IF(D55=4,'ASSUM 1'!H13,IF(D55=5,'ASSUM 1'!H14,IF(D55=6,'ASSUM 1'!H15,'ASSUM 1'!H21))))))</f>
        <v>3.5087719298245612E-2</v>
      </c>
      <c r="F55" s="495">
        <f t="shared" ca="1" si="3"/>
        <v>0</v>
      </c>
      <c r="G55" s="493">
        <f ca="1">IF(SUM($F55:F55)&lt;$C55*1000,MIN(+$C55*$E55*1000,$C55*1000-SUM($F55:F55)),0)</f>
        <v>0</v>
      </c>
      <c r="H55" s="493">
        <f ca="1">IF(SUM($F55:G55)&lt;$C55*1000,MIN(+$C55*$E55*1000,$C55*1000-SUM($F55:G55)),0)</f>
        <v>0</v>
      </c>
      <c r="I55" s="493">
        <f ca="1">IF(SUM($F55:H55)&lt;$C55*1000,MIN(+$C55*$E55*1000,$C55*1000-SUM($F55:H55)),0)</f>
        <v>0</v>
      </c>
      <c r="J55" s="493">
        <f ca="1">IF(SUM($F55:I55)&lt;$C55*1000,MIN(+$C55*$E55*1000,$C55*1000-SUM($F55:I55)),0)</f>
        <v>0</v>
      </c>
      <c r="K55" s="493">
        <f ca="1">IF(SUM($F55:J55)&lt;$C55*1000,MIN(+$C55*$E55*1000,$C55*1000-SUM($F55:J55)),0)</f>
        <v>0</v>
      </c>
      <c r="L55" s="493">
        <f ca="1">IF(SUM($F55:K55)&lt;$C55*1000,MIN(+$C55*$E55*1000,$C55*1000-SUM($F55:K55)),0)</f>
        <v>0</v>
      </c>
      <c r="M55" s="493">
        <f ca="1">IF(SUM($F55:L55)&lt;$C55*1000,MIN(+$C55*$E55*1000,$C55*1000-SUM($F55:L55)),0)</f>
        <v>0</v>
      </c>
      <c r="N55" s="493">
        <f ca="1">IF(SUM($F55:M55)&lt;$C55*1000,MIN(+$C55*$E55*1000,$C55*1000-SUM($F55:M55)),0)</f>
        <v>0</v>
      </c>
      <c r="O55" s="493">
        <f ca="1">IF(SUM($F55:N55)&lt;$C55*1000,MIN(+$C55*$E55*1000,$C55*1000-SUM($F55:N55)),0)</f>
        <v>0</v>
      </c>
      <c r="P55" s="493">
        <f ca="1">IF(SUM($F55:O55)&lt;$C55*1000,MIN(+$C55*$E55*1000,$C55*1000-SUM($F55:O55)),0)</f>
        <v>0</v>
      </c>
      <c r="Q55" s="493">
        <f ca="1">IF(SUM($F55:P55)&lt;$C55*1000,MIN(+$C55*$E55*1000,$C55*1000-SUM($F55:P55)),0)</f>
        <v>0</v>
      </c>
      <c r="R55" s="493">
        <f ca="1">IF(SUM($F55:Q55)&lt;$C55*1000,MIN(+$C55*$E55*1000,$C55*1000-SUM($F55:Q55)),0)</f>
        <v>0</v>
      </c>
      <c r="S55" s="493">
        <f ca="1">IF(SUM($F55:R55)&lt;$C55*1000,MIN(+$C55*$E55*1000,$C55*1000-SUM($F55:R55)),0)</f>
        <v>0</v>
      </c>
      <c r="T55" s="493">
        <f ca="1">IF(SUM($F55:S55)&lt;$C55*1000,MIN(+$C55*$E55*1000,$C55*1000-SUM($F55:S55)),0)</f>
        <v>0</v>
      </c>
      <c r="U55" s="493">
        <f ca="1">IF(SUM($F55:T55)&lt;$C55*1000,MIN(+$C55*$E55*1000,$C55*1000-SUM($F55:T55)),0)</f>
        <v>0</v>
      </c>
      <c r="V55" s="493">
        <f ca="1">IF(SUM($F55:U55)&lt;$C55*1000,MIN(+$C55*$E55*1000,$C55*1000-SUM($F55:U55)),0)</f>
        <v>0</v>
      </c>
      <c r="W55" s="493">
        <f ca="1">IF(SUM($F55:V55)&lt;$C55*1000,MIN(+$C55*$E55*1000,$C55*1000-SUM($F55:V55)),0)</f>
        <v>0</v>
      </c>
      <c r="X55" s="493">
        <f ca="1">IF(SUM($F55:W55)&lt;$C55*1000,MIN(+$C55*$E55*1000,$C55*1000-SUM($F55:W55)),0)</f>
        <v>0</v>
      </c>
      <c r="Y55" s="493">
        <f ca="1">IF(SUM($F55:X55)&lt;$C55*1000,MIN(+$C55*$E55*1000,$C55*1000-SUM($F55:X55)),0)</f>
        <v>0</v>
      </c>
      <c r="Z55" s="493"/>
      <c r="AA55" s="498">
        <f t="shared" ca="1" si="4"/>
        <v>0</v>
      </c>
    </row>
    <row r="56" spans="1:27" ht="16.2">
      <c r="A56" s="494"/>
      <c r="B56" s="488"/>
      <c r="C56" s="496"/>
      <c r="D56" s="488"/>
      <c r="E56" s="497"/>
      <c r="F56" s="495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  <c r="AA56" s="498"/>
    </row>
    <row r="57" spans="1:27" ht="16.2">
      <c r="A57" s="494" t="str">
        <f ca="1">'TAXDEPR 144A'!A57</f>
        <v>Contingency</v>
      </c>
      <c r="B57" s="488"/>
      <c r="C57" s="496"/>
      <c r="D57" s="488"/>
      <c r="E57" s="497"/>
      <c r="F57" s="495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  <c r="AA57" s="498"/>
    </row>
    <row r="58" spans="1:27" ht="16.2">
      <c r="A58" s="494" t="str">
        <f ca="1">'TAXDEPR 144A'!A58</f>
        <v>Major Equipment</v>
      </c>
      <c r="B58" s="488">
        <v>1</v>
      </c>
      <c r="C58" s="496">
        <f>IF(B58=1,'ASSUM 2'!E56,0)</f>
        <v>4.1087218150457137</v>
      </c>
      <c r="D58" s="488">
        <f>'ASSUM 2'!M56</f>
        <v>6</v>
      </c>
      <c r="E58" s="497">
        <f>IF(D58=1,'ASSUM 1'!H10,IF(D58=2,'ASSUM 1'!H11,IF(D58=3,'ASSUM 1'!H12,IF(D58=4,'ASSUM 1'!H13,IF(D58=5,'ASSUM 1'!H14,IF(D58=6,'ASSUM 1'!H15,'ASSUM 1'!H21))))))</f>
        <v>3.5087719298245612E-2</v>
      </c>
      <c r="F58" s="495">
        <f ca="1">$C58*$E58*1000*F$9/12</f>
        <v>84.096645337192953</v>
      </c>
      <c r="G58" s="493">
        <f ca="1">IF(SUM($F58:F58)&lt;$C58*1000,MIN(+$C58*$E58*1000,$C58*1000-SUM($F58:F58)),0)</f>
        <v>144.16567772090221</v>
      </c>
      <c r="H58" s="493">
        <f ca="1">IF(SUM($F58:G58)&lt;$C58*1000,MIN(+$C58*$E58*1000,$C58*1000-SUM($F58:G58)),0)</f>
        <v>144.16567772090221</v>
      </c>
      <c r="I58" s="493">
        <f ca="1">IF(SUM($F58:H58)&lt;$C58*1000,MIN(+$C58*$E58*1000,$C58*1000-SUM($F58:H58)),0)</f>
        <v>144.16567772090221</v>
      </c>
      <c r="J58" s="493">
        <f ca="1">IF(SUM($F58:I58)&lt;$C58*1000,MIN(+$C58*$E58*1000,$C58*1000-SUM($F58:I58)),0)</f>
        <v>144.16567772090221</v>
      </c>
      <c r="K58" s="493">
        <f ca="1">IF(SUM($F58:J58)&lt;$C58*1000,MIN(+$C58*$E58*1000,$C58*1000-SUM($F58:J58)),0)</f>
        <v>144.16567772090221</v>
      </c>
      <c r="L58" s="493">
        <f ca="1">IF(SUM($F58:K58)&lt;$C58*1000,MIN(+$C58*$E58*1000,$C58*1000-SUM($F58:K58)),0)</f>
        <v>144.16567772090221</v>
      </c>
      <c r="M58" s="493">
        <f ca="1">IF(SUM($F58:L58)&lt;$C58*1000,MIN(+$C58*$E58*1000,$C58*1000-SUM($F58:L58)),0)</f>
        <v>144.16567772090221</v>
      </c>
      <c r="N58" s="493">
        <f ca="1">IF(SUM($F58:M58)&lt;$C58*1000,MIN(+$C58*$E58*1000,$C58*1000-SUM($F58:M58)),0)</f>
        <v>144.16567772090221</v>
      </c>
      <c r="O58" s="493">
        <f ca="1">IF(SUM($F58:N58)&lt;$C58*1000,MIN(+$C58*$E58*1000,$C58*1000-SUM($F58:N58)),0)</f>
        <v>144.16567772090221</v>
      </c>
      <c r="P58" s="493">
        <f ca="1">IF(SUM($F58:O58)&lt;$C58*1000,MIN(+$C58*$E58*1000,$C58*1000-SUM($F58:O58)),0)</f>
        <v>144.16567772090221</v>
      </c>
      <c r="Q58" s="493">
        <f ca="1">IF(SUM($F58:P58)&lt;$C58*1000,MIN(+$C58*$E58*1000,$C58*1000-SUM($F58:P58)),0)</f>
        <v>144.16567772090221</v>
      </c>
      <c r="R58" s="493">
        <f ca="1">IF(SUM($F58:Q58)&lt;$C58*1000,MIN(+$C58*$E58*1000,$C58*1000-SUM($F58:Q58)),0)</f>
        <v>144.16567772090221</v>
      </c>
      <c r="S58" s="493">
        <f ca="1">IF(SUM($F58:R58)&lt;$C58*1000,MIN(+$C58*$E58*1000,$C58*1000-SUM($F58:R58)),0)</f>
        <v>144.16567772090221</v>
      </c>
      <c r="T58" s="493">
        <f ca="1">IF(SUM($F58:S58)&lt;$C58*1000,MIN(+$C58*$E58*1000,$C58*1000-SUM($F58:S58)),0)</f>
        <v>144.16567772090221</v>
      </c>
      <c r="U58" s="493">
        <f ca="1">IF(SUM($F58:T58)&lt;$C58*1000,MIN(+$C58*$E58*1000,$C58*1000-SUM($F58:T58)),0)</f>
        <v>144.16567772090221</v>
      </c>
      <c r="V58" s="493">
        <f ca="1">IF(SUM($F58:U58)&lt;$C58*1000,MIN(+$C58*$E58*1000,$C58*1000-SUM($F58:U58)),0)</f>
        <v>144.16567772090221</v>
      </c>
      <c r="W58" s="493">
        <f ca="1">IF(SUM($F58:V58)&lt;$C58*1000,MIN(+$C58*$E58*1000,$C58*1000-SUM($F58:V58)),0)</f>
        <v>144.16567772090221</v>
      </c>
      <c r="X58" s="493">
        <f ca="1">IF(SUM($F58:W58)&lt;$C58*1000,MIN(+$C58*$E58*1000,$C58*1000-SUM($F58:W58)),0)</f>
        <v>144.16567772090221</v>
      </c>
      <c r="Y58" s="493">
        <f ca="1">IF(SUM($F58:X58)&lt;$C58*1000,MIN(+$C58*$E58*1000,$C58*1000-SUM($F58:X58)),0)</f>
        <v>144.16567772090221</v>
      </c>
      <c r="Z58" s="493"/>
      <c r="AA58" s="498">
        <f ca="1">SUM(F58:Y58)-C58*1000</f>
        <v>-1285.4772930113782</v>
      </c>
    </row>
    <row r="59" spans="1:27" ht="16.2">
      <c r="A59" s="494" t="str">
        <f ca="1">'TAXDEPR 144A'!A59</f>
        <v>Engineering / Construction</v>
      </c>
      <c r="B59" s="488">
        <v>1</v>
      </c>
      <c r="C59" s="496">
        <f>IF(B59=1,'ASSUM 2'!E57,0)</f>
        <v>0</v>
      </c>
      <c r="D59" s="488">
        <f>'ASSUM 2'!M57</f>
        <v>6</v>
      </c>
      <c r="E59" s="497">
        <f>IF(D59=1,'ASSUM 1'!H10,IF(D59=2,'ASSUM 1'!H11,IF(D59=3,'ASSUM 1'!H12,IF(D59=4,'ASSUM 1'!H13,IF(D59=5,'ASSUM 1'!H14,IF(D59=6,'ASSUM 1'!H15,'ASSUM 1'!H21))))))</f>
        <v>3.5087719298245612E-2</v>
      </c>
      <c r="F59" s="495">
        <f ca="1">$C59*$E59*1000*F$9/12</f>
        <v>0</v>
      </c>
      <c r="G59" s="493">
        <f ca="1">IF(SUM($F59:F59)&lt;$C59*1000,MIN(+$C59*$E59*1000,$C59*1000-SUM($F59:F59)),0)</f>
        <v>0</v>
      </c>
      <c r="H59" s="493">
        <f ca="1">IF(SUM($F59:G59)&lt;$C59*1000,MIN(+$C59*$E59*1000,$C59*1000-SUM($F59:G59)),0)</f>
        <v>0</v>
      </c>
      <c r="I59" s="493">
        <f ca="1">IF(SUM($F59:H59)&lt;$C59*1000,MIN(+$C59*$E59*1000,$C59*1000-SUM($F59:H59)),0)</f>
        <v>0</v>
      </c>
      <c r="J59" s="493">
        <f ca="1">IF(SUM($F59:I59)&lt;$C59*1000,MIN(+$C59*$E59*1000,$C59*1000-SUM($F59:I59)),0)</f>
        <v>0</v>
      </c>
      <c r="K59" s="493">
        <f ca="1">IF(SUM($F59:J59)&lt;$C59*1000,MIN(+$C59*$E59*1000,$C59*1000-SUM($F59:J59)),0)</f>
        <v>0</v>
      </c>
      <c r="L59" s="493">
        <f ca="1">IF(SUM($F59:K59)&lt;$C59*1000,MIN(+$C59*$E59*1000,$C59*1000-SUM($F59:K59)),0)</f>
        <v>0</v>
      </c>
      <c r="M59" s="493">
        <f ca="1">IF(SUM($F59:L59)&lt;$C59*1000,MIN(+$C59*$E59*1000,$C59*1000-SUM($F59:L59)),0)</f>
        <v>0</v>
      </c>
      <c r="N59" s="493">
        <f ca="1">IF(SUM($F59:M59)&lt;$C59*1000,MIN(+$C59*$E59*1000,$C59*1000-SUM($F59:M59)),0)</f>
        <v>0</v>
      </c>
      <c r="O59" s="493">
        <f ca="1">IF(SUM($F59:N59)&lt;$C59*1000,MIN(+$C59*$E59*1000,$C59*1000-SUM($F59:N59)),0)</f>
        <v>0</v>
      </c>
      <c r="P59" s="493">
        <f ca="1">IF(SUM($F59:O59)&lt;$C59*1000,MIN(+$C59*$E59*1000,$C59*1000-SUM($F59:O59)),0)</f>
        <v>0</v>
      </c>
      <c r="Q59" s="493">
        <f ca="1">IF(SUM($F59:P59)&lt;$C59*1000,MIN(+$C59*$E59*1000,$C59*1000-SUM($F59:P59)),0)</f>
        <v>0</v>
      </c>
      <c r="R59" s="493">
        <f ca="1">IF(SUM($F59:Q59)&lt;$C59*1000,MIN(+$C59*$E59*1000,$C59*1000-SUM($F59:Q59)),0)</f>
        <v>0</v>
      </c>
      <c r="S59" s="493">
        <f ca="1">IF(SUM($F59:R59)&lt;$C59*1000,MIN(+$C59*$E59*1000,$C59*1000-SUM($F59:R59)),0)</f>
        <v>0</v>
      </c>
      <c r="T59" s="493">
        <f ca="1">IF(SUM($F59:S59)&lt;$C59*1000,MIN(+$C59*$E59*1000,$C59*1000-SUM($F59:S59)),0)</f>
        <v>0</v>
      </c>
      <c r="U59" s="493">
        <f ca="1">IF(SUM($F59:T59)&lt;$C59*1000,MIN(+$C59*$E59*1000,$C59*1000-SUM($F59:T59)),0)</f>
        <v>0</v>
      </c>
      <c r="V59" s="493">
        <f ca="1">IF(SUM($F59:U59)&lt;$C59*1000,MIN(+$C59*$E59*1000,$C59*1000-SUM($F59:U59)),0)</f>
        <v>0</v>
      </c>
      <c r="W59" s="493">
        <f ca="1">IF(SUM($F59:V59)&lt;$C59*1000,MIN(+$C59*$E59*1000,$C59*1000-SUM($F59:V59)),0)</f>
        <v>0</v>
      </c>
      <c r="X59" s="493">
        <f ca="1">IF(SUM($F59:W59)&lt;$C59*1000,MIN(+$C59*$E59*1000,$C59*1000-SUM($F59:W59)),0)</f>
        <v>0</v>
      </c>
      <c r="Y59" s="493">
        <f ca="1">IF(SUM($F59:X59)&lt;$C59*1000,MIN(+$C59*$E59*1000,$C59*1000-SUM($F59:X59)),0)</f>
        <v>0</v>
      </c>
      <c r="Z59" s="493"/>
      <c r="AA59" s="498">
        <f ca="1">SUM(F59:Y59)-C59*1000</f>
        <v>0</v>
      </c>
    </row>
    <row r="60" spans="1:27" ht="16.2">
      <c r="A60" s="494" t="str">
        <f ca="1">'TAXDEPR 144A'!A60</f>
        <v>Other</v>
      </c>
      <c r="B60" s="488">
        <v>1</v>
      </c>
      <c r="C60" s="496">
        <f>IF(B60=1,'ASSUM 2'!E58,0)</f>
        <v>0.19485</v>
      </c>
      <c r="D60" s="488">
        <f>'ASSUM 2'!M58</f>
        <v>6</v>
      </c>
      <c r="E60" s="497">
        <f>IF(D60=1,'ASSUM 1'!H10,IF(D60=2,'ASSUM 1'!H11,IF(D60=3,'ASSUM 1'!H12,IF(D60=4,'ASSUM 1'!H13,IF(D60=5,'ASSUM 1'!H14,IF(D60=6,'ASSUM 1'!H15,'ASSUM 1'!H21))))))</f>
        <v>3.5087719298245612E-2</v>
      </c>
      <c r="F60" s="495">
        <f ca="1">$C60*$E60*1000*F$9/12</f>
        <v>3.9881578947368421</v>
      </c>
      <c r="G60" s="493">
        <f ca="1">IF(SUM($F60:F60)&lt;$C60*1000,MIN(+$C60*$E60*1000,$C60*1000-SUM($F60:F60)),0)</f>
        <v>6.8368421052631581</v>
      </c>
      <c r="H60" s="493">
        <f ca="1">IF(SUM($F60:G60)&lt;$C60*1000,MIN(+$C60*$E60*1000,$C60*1000-SUM($F60:G60)),0)</f>
        <v>6.8368421052631581</v>
      </c>
      <c r="I60" s="493">
        <f ca="1">IF(SUM($F60:H60)&lt;$C60*1000,MIN(+$C60*$E60*1000,$C60*1000-SUM($F60:H60)),0)</f>
        <v>6.8368421052631581</v>
      </c>
      <c r="J60" s="493">
        <f ca="1">IF(SUM($F60:I60)&lt;$C60*1000,MIN(+$C60*$E60*1000,$C60*1000-SUM($F60:I60)),0)</f>
        <v>6.8368421052631581</v>
      </c>
      <c r="K60" s="493">
        <f ca="1">IF(SUM($F60:J60)&lt;$C60*1000,MIN(+$C60*$E60*1000,$C60*1000-SUM($F60:J60)),0)</f>
        <v>6.8368421052631581</v>
      </c>
      <c r="L60" s="493">
        <f ca="1">IF(SUM($F60:K60)&lt;$C60*1000,MIN(+$C60*$E60*1000,$C60*1000-SUM($F60:K60)),0)</f>
        <v>6.8368421052631581</v>
      </c>
      <c r="M60" s="493">
        <f ca="1">IF(SUM($F60:L60)&lt;$C60*1000,MIN(+$C60*$E60*1000,$C60*1000-SUM($F60:L60)),0)</f>
        <v>6.8368421052631581</v>
      </c>
      <c r="N60" s="493">
        <f ca="1">IF(SUM($F60:M60)&lt;$C60*1000,MIN(+$C60*$E60*1000,$C60*1000-SUM($F60:M60)),0)</f>
        <v>6.8368421052631581</v>
      </c>
      <c r="O60" s="493">
        <f ca="1">IF(SUM($F60:N60)&lt;$C60*1000,MIN(+$C60*$E60*1000,$C60*1000-SUM($F60:N60)),0)</f>
        <v>6.8368421052631581</v>
      </c>
      <c r="P60" s="493">
        <f ca="1">IF(SUM($F60:O60)&lt;$C60*1000,MIN(+$C60*$E60*1000,$C60*1000-SUM($F60:O60)),0)</f>
        <v>6.8368421052631581</v>
      </c>
      <c r="Q60" s="493">
        <f ca="1">IF(SUM($F60:P60)&lt;$C60*1000,MIN(+$C60*$E60*1000,$C60*1000-SUM($F60:P60)),0)</f>
        <v>6.8368421052631581</v>
      </c>
      <c r="R60" s="493">
        <f ca="1">IF(SUM($F60:Q60)&lt;$C60*1000,MIN(+$C60*$E60*1000,$C60*1000-SUM($F60:Q60)),0)</f>
        <v>6.8368421052631581</v>
      </c>
      <c r="S60" s="493">
        <f ca="1">IF(SUM($F60:R60)&lt;$C60*1000,MIN(+$C60*$E60*1000,$C60*1000-SUM($F60:R60)),0)</f>
        <v>6.8368421052631581</v>
      </c>
      <c r="T60" s="493">
        <f ca="1">IF(SUM($F60:S60)&lt;$C60*1000,MIN(+$C60*$E60*1000,$C60*1000-SUM($F60:S60)),0)</f>
        <v>6.8368421052631581</v>
      </c>
      <c r="U60" s="493">
        <f ca="1">IF(SUM($F60:T60)&lt;$C60*1000,MIN(+$C60*$E60*1000,$C60*1000-SUM($F60:T60)),0)</f>
        <v>6.8368421052631581</v>
      </c>
      <c r="V60" s="493">
        <f ca="1">IF(SUM($F60:U60)&lt;$C60*1000,MIN(+$C60*$E60*1000,$C60*1000-SUM($F60:U60)),0)</f>
        <v>6.8368421052631581</v>
      </c>
      <c r="W60" s="493">
        <f ca="1">IF(SUM($F60:V60)&lt;$C60*1000,MIN(+$C60*$E60*1000,$C60*1000-SUM($F60:V60)),0)</f>
        <v>6.8368421052631581</v>
      </c>
      <c r="X60" s="493">
        <f ca="1">IF(SUM($F60:W60)&lt;$C60*1000,MIN(+$C60*$E60*1000,$C60*1000-SUM($F60:W60)),0)</f>
        <v>6.8368421052631581</v>
      </c>
      <c r="Y60" s="493">
        <f ca="1">IF(SUM($F60:X60)&lt;$C60*1000,MIN(+$C60*$E60*1000,$C60*1000-SUM($F60:X60)),0)</f>
        <v>6.8368421052631581</v>
      </c>
      <c r="Z60" s="493"/>
      <c r="AA60" s="498">
        <f ca="1">SUM(F60:Y60)-C60*1000</f>
        <v>-60.961842105263145</v>
      </c>
    </row>
    <row r="61" spans="1:27" ht="16.2">
      <c r="A61" s="494" t="str">
        <f ca="1">'TAXDEPR 144A'!A61</f>
        <v>Soft Costs</v>
      </c>
      <c r="B61" s="488">
        <v>1</v>
      </c>
      <c r="C61" s="496">
        <f>IF(B61=1,'ASSUM 2'!E59,0)</f>
        <v>0.71848413029071168</v>
      </c>
      <c r="D61" s="488">
        <f>'ASSUM 2'!M59</f>
        <v>6</v>
      </c>
      <c r="E61" s="497">
        <f>IF(D61=1,'ASSUM 1'!H10,IF(D61=2,'ASSUM 1'!H11,IF(D61=3,'ASSUM 1'!H12,IF(D61=4,'ASSUM 1'!H13,IF(D61=5,'ASSUM 1'!H14,IF(D61=6,'ASSUM 1'!H15,'ASSUM 1'!H21))))))</f>
        <v>3.5087719298245612E-2</v>
      </c>
      <c r="F61" s="495">
        <f ca="1">$C61*$E61*1000*F$9/12</f>
        <v>14.705815532266028</v>
      </c>
      <c r="G61" s="493">
        <f ca="1">IF(SUM($F61:F61)&lt;$C61*1000,MIN(+$C61*$E61*1000,$C61*1000-SUM($F61:F61)),0)</f>
        <v>25.209969483884617</v>
      </c>
      <c r="H61" s="493">
        <f ca="1">IF(SUM($F61:G61)&lt;$C61*1000,MIN(+$C61*$E61*1000,$C61*1000-SUM($F61:G61)),0)</f>
        <v>25.209969483884617</v>
      </c>
      <c r="I61" s="493">
        <f ca="1">IF(SUM($F61:H61)&lt;$C61*1000,MIN(+$C61*$E61*1000,$C61*1000-SUM($F61:H61)),0)</f>
        <v>25.209969483884617</v>
      </c>
      <c r="J61" s="493">
        <f ca="1">IF(SUM($F61:I61)&lt;$C61*1000,MIN(+$C61*$E61*1000,$C61*1000-SUM($F61:I61)),0)</f>
        <v>25.209969483884617</v>
      </c>
      <c r="K61" s="493">
        <f ca="1">IF(SUM($F61:J61)&lt;$C61*1000,MIN(+$C61*$E61*1000,$C61*1000-SUM($F61:J61)),0)</f>
        <v>25.209969483884617</v>
      </c>
      <c r="L61" s="493">
        <f ca="1">IF(SUM($F61:K61)&lt;$C61*1000,MIN(+$C61*$E61*1000,$C61*1000-SUM($F61:K61)),0)</f>
        <v>25.209969483884617</v>
      </c>
      <c r="M61" s="493">
        <f ca="1">IF(SUM($F61:L61)&lt;$C61*1000,MIN(+$C61*$E61*1000,$C61*1000-SUM($F61:L61)),0)</f>
        <v>25.209969483884617</v>
      </c>
      <c r="N61" s="493">
        <f ca="1">IF(SUM($F61:M61)&lt;$C61*1000,MIN(+$C61*$E61*1000,$C61*1000-SUM($F61:M61)),0)</f>
        <v>25.209969483884617</v>
      </c>
      <c r="O61" s="493">
        <f ca="1">IF(SUM($F61:N61)&lt;$C61*1000,MIN(+$C61*$E61*1000,$C61*1000-SUM($F61:N61)),0)</f>
        <v>25.209969483884617</v>
      </c>
      <c r="P61" s="493">
        <f ca="1">IF(SUM($F61:O61)&lt;$C61*1000,MIN(+$C61*$E61*1000,$C61*1000-SUM($F61:O61)),0)</f>
        <v>25.209969483884617</v>
      </c>
      <c r="Q61" s="493">
        <f ca="1">IF(SUM($F61:P61)&lt;$C61*1000,MIN(+$C61*$E61*1000,$C61*1000-SUM($F61:P61)),0)</f>
        <v>25.209969483884617</v>
      </c>
      <c r="R61" s="493">
        <f ca="1">IF(SUM($F61:Q61)&lt;$C61*1000,MIN(+$C61*$E61*1000,$C61*1000-SUM($F61:Q61)),0)</f>
        <v>25.209969483884617</v>
      </c>
      <c r="S61" s="493">
        <f ca="1">IF(SUM($F61:R61)&lt;$C61*1000,MIN(+$C61*$E61*1000,$C61*1000-SUM($F61:R61)),0)</f>
        <v>25.209969483884617</v>
      </c>
      <c r="T61" s="493">
        <f ca="1">IF(SUM($F61:S61)&lt;$C61*1000,MIN(+$C61*$E61*1000,$C61*1000-SUM($F61:S61)),0)</f>
        <v>25.209969483884617</v>
      </c>
      <c r="U61" s="493">
        <f ca="1">IF(SUM($F61:T61)&lt;$C61*1000,MIN(+$C61*$E61*1000,$C61*1000-SUM($F61:T61)),0)</f>
        <v>25.209969483884617</v>
      </c>
      <c r="V61" s="493">
        <f ca="1">IF(SUM($F61:U61)&lt;$C61*1000,MIN(+$C61*$E61*1000,$C61*1000-SUM($F61:U61)),0)</f>
        <v>25.209969483884617</v>
      </c>
      <c r="W61" s="493">
        <f ca="1">IF(SUM($F61:V61)&lt;$C61*1000,MIN(+$C61*$E61*1000,$C61*1000-SUM($F61:V61)),0)</f>
        <v>25.209969483884617</v>
      </c>
      <c r="X61" s="493">
        <f ca="1">IF(SUM($F61:W61)&lt;$C61*1000,MIN(+$C61*$E61*1000,$C61*1000-SUM($F61:W61)),0)</f>
        <v>25.209969483884617</v>
      </c>
      <c r="Y61" s="493">
        <f ca="1">IF(SUM($F61:X61)&lt;$C61*1000,MIN(+$C61*$E61*1000,$C61*1000-SUM($F61:X61)),0)</f>
        <v>25.209969483884617</v>
      </c>
      <c r="Z61" s="493"/>
      <c r="AA61" s="498">
        <f ca="1">SUM(F61:Y61)-C61*1000</f>
        <v>-224.78889456463799</v>
      </c>
    </row>
    <row r="62" spans="1:27" ht="16.2">
      <c r="A62" s="494"/>
      <c r="B62" s="488"/>
      <c r="C62" s="496"/>
      <c r="D62" s="488"/>
      <c r="E62" s="497"/>
      <c r="F62" s="495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  <c r="AA62" s="498"/>
    </row>
    <row r="63" spans="1:27" ht="16.2">
      <c r="A63" s="494" t="str">
        <f ca="1">'TAXDEPR 144A'!A63</f>
        <v>Interest During Construction</v>
      </c>
      <c r="B63" s="488">
        <v>1</v>
      </c>
      <c r="C63" s="496">
        <f ca="1">IF(B63=1,'ASSUM 2'!E62,0)</f>
        <v>3.3229778392593738</v>
      </c>
      <c r="D63" s="488">
        <f>'ASSUM 2'!M62</f>
        <v>1</v>
      </c>
      <c r="E63" s="497">
        <f>IF(D63=1,'ASSUM 1'!H10,IF(D63=2,'ASSUM 1'!H11,IF(D63=3,'ASSUM 1'!H12,IF(D63=4,'ASSUM 1'!H13,IF(D63=5,'ASSUM 1'!H14,IF(D63=6,'ASSUM 1'!H15,'ASSUM 1'!H21))))))</f>
        <v>3.5087719298245612E-2</v>
      </c>
      <c r="F63" s="499">
        <f ca="1">$C63*$E63*1000*F$9/12</f>
        <v>68.01416630063045</v>
      </c>
      <c r="G63" s="500">
        <f ca="1">IF(SUM($F63:F63)&lt;$C63*1000,MIN(+$C63*$E63*1000,$C63*1000-SUM($F63:F63)),0)</f>
        <v>116.59571365822363</v>
      </c>
      <c r="H63" s="500">
        <f ca="1">IF(SUM($F63:G63)&lt;$C63*1000,MIN(+$C63*$E63*1000,$C63*1000-SUM($F63:G63)),0)</f>
        <v>116.59571365822363</v>
      </c>
      <c r="I63" s="500">
        <f ca="1">IF(SUM($F63:H63)&lt;$C63*1000,MIN(+$C63*$E63*1000,$C63*1000-SUM($F63:H63)),0)</f>
        <v>116.59571365822363</v>
      </c>
      <c r="J63" s="500">
        <f ca="1">IF(SUM($F63:I63)&lt;$C63*1000,MIN(+$C63*$E63*1000,$C63*1000-SUM($F63:I63)),0)</f>
        <v>116.59571365822363</v>
      </c>
      <c r="K63" s="500">
        <f ca="1">IF(SUM($F63:J63)&lt;$C63*1000,MIN(+$C63*$E63*1000,$C63*1000-SUM($F63:J63)),0)</f>
        <v>116.59571365822363</v>
      </c>
      <c r="L63" s="500">
        <f ca="1">IF(SUM($F63:K63)&lt;$C63*1000,MIN(+$C63*$E63*1000,$C63*1000-SUM($F63:K63)),0)</f>
        <v>116.59571365822363</v>
      </c>
      <c r="M63" s="500">
        <f ca="1">IF(SUM($F63:L63)&lt;$C63*1000,MIN(+$C63*$E63*1000,$C63*1000-SUM($F63:L63)),0)</f>
        <v>116.59571365822363</v>
      </c>
      <c r="N63" s="500">
        <f ca="1">IF(SUM($F63:M63)&lt;$C63*1000,MIN(+$C63*$E63*1000,$C63*1000-SUM($F63:M63)),0)</f>
        <v>116.59571365822363</v>
      </c>
      <c r="O63" s="500">
        <f ca="1">IF(SUM($F63:N63)&lt;$C63*1000,MIN(+$C63*$E63*1000,$C63*1000-SUM($F63:N63)),0)</f>
        <v>116.59571365822363</v>
      </c>
      <c r="P63" s="500">
        <f ca="1">IF(SUM($F63:O63)&lt;$C63*1000,MIN(+$C63*$E63*1000,$C63*1000-SUM($F63:O63)),0)</f>
        <v>116.59571365822363</v>
      </c>
      <c r="Q63" s="500">
        <f ca="1">IF(SUM($F63:P63)&lt;$C63*1000,MIN(+$C63*$E63*1000,$C63*1000-SUM($F63:P63)),0)</f>
        <v>116.59571365822363</v>
      </c>
      <c r="R63" s="500">
        <f ca="1">IF(SUM($F63:Q63)&lt;$C63*1000,MIN(+$C63*$E63*1000,$C63*1000-SUM($F63:Q63)),0)</f>
        <v>116.59571365822363</v>
      </c>
      <c r="S63" s="500">
        <f ca="1">IF(SUM($F63:R63)&lt;$C63*1000,MIN(+$C63*$E63*1000,$C63*1000-SUM($F63:R63)),0)</f>
        <v>116.59571365822363</v>
      </c>
      <c r="T63" s="500">
        <f ca="1">IF(SUM($F63:S63)&lt;$C63*1000,MIN(+$C63*$E63*1000,$C63*1000-SUM($F63:S63)),0)</f>
        <v>116.59571365822363</v>
      </c>
      <c r="U63" s="500">
        <f ca="1">IF(SUM($F63:T63)&lt;$C63*1000,MIN(+$C63*$E63*1000,$C63*1000-SUM($F63:T63)),0)</f>
        <v>116.59571365822363</v>
      </c>
      <c r="V63" s="500">
        <f ca="1">IF(SUM($F63:U63)&lt;$C63*1000,MIN(+$C63*$E63*1000,$C63*1000-SUM($F63:U63)),0)</f>
        <v>116.59571365822363</v>
      </c>
      <c r="W63" s="500">
        <f ca="1">IF(SUM($F63:V63)&lt;$C63*1000,MIN(+$C63*$E63*1000,$C63*1000-SUM($F63:V63)),0)</f>
        <v>116.59571365822363</v>
      </c>
      <c r="X63" s="500">
        <f ca="1">IF(SUM($F63:W63)&lt;$C63*1000,MIN(+$C63*$E63*1000,$C63*1000-SUM($F63:W63)),0)</f>
        <v>116.59571365822363</v>
      </c>
      <c r="Y63" s="500">
        <f ca="1">IF(SUM($F63:X63)&lt;$C63*1000,MIN(+$C63*$E63*1000,$C63*1000-SUM($F63:X63)),0)</f>
        <v>116.59571365822363</v>
      </c>
      <c r="Z63" s="500"/>
      <c r="AA63" s="498">
        <f ca="1">SUM(F63:Y63)-C63*1000</f>
        <v>-1039.645113452495</v>
      </c>
    </row>
    <row r="64" spans="1:27" ht="16.2">
      <c r="A64" s="494"/>
      <c r="B64" s="488"/>
      <c r="C64" s="496"/>
      <c r="D64" s="488"/>
      <c r="E64" s="488"/>
      <c r="F64" s="484"/>
      <c r="G64" s="484"/>
      <c r="H64" s="484"/>
      <c r="I64" s="484"/>
      <c r="J64" s="484"/>
      <c r="K64" s="484"/>
      <c r="L64" s="484"/>
      <c r="M64" s="484"/>
      <c r="N64" s="484"/>
      <c r="O64" s="484"/>
      <c r="P64" s="484"/>
      <c r="Q64" s="484"/>
      <c r="R64" s="484"/>
      <c r="S64" s="484"/>
      <c r="T64" s="484"/>
      <c r="U64" s="484"/>
      <c r="V64" s="484"/>
      <c r="W64" s="484"/>
      <c r="X64" s="484"/>
      <c r="Y64" s="484"/>
      <c r="Z64" s="484"/>
      <c r="AA64" s="498"/>
    </row>
    <row r="65" spans="1:27" ht="16.2">
      <c r="A65" s="494"/>
      <c r="B65" s="488"/>
      <c r="C65" s="496"/>
      <c r="D65" s="488"/>
      <c r="E65" s="488"/>
      <c r="F65" s="484"/>
      <c r="G65" s="484"/>
      <c r="H65" s="484"/>
      <c r="I65" s="484"/>
      <c r="J65" s="484"/>
      <c r="K65" s="484"/>
      <c r="L65" s="484"/>
      <c r="M65" s="484"/>
      <c r="N65" s="484"/>
      <c r="O65" s="484"/>
      <c r="P65" s="484"/>
      <c r="Q65" s="484"/>
      <c r="R65" s="484"/>
      <c r="S65" s="484"/>
      <c r="T65" s="484"/>
      <c r="U65" s="484"/>
      <c r="V65" s="484"/>
      <c r="W65" s="484"/>
      <c r="X65" s="484"/>
      <c r="Y65" s="484"/>
      <c r="Z65" s="484"/>
      <c r="AA65" s="498"/>
    </row>
    <row r="66" spans="1:27" ht="16.2">
      <c r="A66" s="625" t="str">
        <f>'TAXDEPR 144A'!A66</f>
        <v>TOTAL TAX DEPRECIATION</v>
      </c>
      <c r="B66" s="626"/>
      <c r="C66" s="627"/>
      <c r="D66" s="628"/>
      <c r="E66" s="628"/>
      <c r="F66" s="629"/>
      <c r="G66" s="629"/>
      <c r="H66" s="629"/>
      <c r="I66" s="629"/>
      <c r="J66" s="629"/>
      <c r="K66" s="629"/>
      <c r="L66" s="629"/>
      <c r="M66" s="629"/>
      <c r="N66" s="629"/>
      <c r="O66" s="629"/>
      <c r="P66" s="629"/>
      <c r="Q66" s="629"/>
      <c r="R66" s="629"/>
      <c r="S66" s="629"/>
      <c r="T66" s="629"/>
      <c r="U66" s="629"/>
      <c r="V66" s="629"/>
      <c r="W66" s="629"/>
      <c r="X66" s="629"/>
      <c r="Y66" s="629"/>
      <c r="Z66" s="629"/>
      <c r="AA66" s="498"/>
    </row>
    <row r="67" spans="1:27" ht="16.2">
      <c r="A67" s="630" t="str">
        <f>'TAXDEPR 144A'!A67</f>
        <v xml:space="preserve">   &amp; AMORTIZATION</v>
      </c>
      <c r="B67" s="631"/>
      <c r="C67" s="632"/>
      <c r="D67" s="632"/>
      <c r="E67" s="632"/>
      <c r="F67" s="633">
        <f t="shared" ref="F67:Y67" ca="1" si="5">SUM(F15:F63)</f>
        <v>3307.0251421248604</v>
      </c>
      <c r="G67" s="633">
        <f t="shared" ca="1" si="5"/>
        <v>5669.1859579283318</v>
      </c>
      <c r="H67" s="633">
        <f t="shared" ca="1" si="5"/>
        <v>5669.1859579283318</v>
      </c>
      <c r="I67" s="633">
        <f t="shared" ca="1" si="5"/>
        <v>5669.1859579283318</v>
      </c>
      <c r="J67" s="633">
        <f t="shared" ca="1" si="5"/>
        <v>5669.1859579283318</v>
      </c>
      <c r="K67" s="633">
        <f t="shared" ca="1" si="5"/>
        <v>5669.1859579283318</v>
      </c>
      <c r="L67" s="633">
        <f t="shared" ca="1" si="5"/>
        <v>5669.1859579283318</v>
      </c>
      <c r="M67" s="633">
        <f t="shared" ca="1" si="5"/>
        <v>5669.1859579283318</v>
      </c>
      <c r="N67" s="633">
        <f t="shared" ca="1" si="5"/>
        <v>5669.1859579283318</v>
      </c>
      <c r="O67" s="633">
        <f t="shared" ca="1" si="5"/>
        <v>5669.1859579283318</v>
      </c>
      <c r="P67" s="633">
        <f t="shared" ca="1" si="5"/>
        <v>5669.1859579283318</v>
      </c>
      <c r="Q67" s="633">
        <f t="shared" ca="1" si="5"/>
        <v>5669.1859579283318</v>
      </c>
      <c r="R67" s="633">
        <f t="shared" ca="1" si="5"/>
        <v>5669.1859579283318</v>
      </c>
      <c r="S67" s="633">
        <f t="shared" ca="1" si="5"/>
        <v>5669.1859579283318</v>
      </c>
      <c r="T67" s="633">
        <f t="shared" ca="1" si="5"/>
        <v>5669.1859579283318</v>
      </c>
      <c r="U67" s="633">
        <f t="shared" ca="1" si="5"/>
        <v>5669.1859579283318</v>
      </c>
      <c r="V67" s="633">
        <f t="shared" ca="1" si="5"/>
        <v>5669.1859579283318</v>
      </c>
      <c r="W67" s="633">
        <f t="shared" ca="1" si="5"/>
        <v>5669.1859579283318</v>
      </c>
      <c r="X67" s="633">
        <f t="shared" ca="1" si="5"/>
        <v>5669.1859579283318</v>
      </c>
      <c r="Y67" s="633">
        <f t="shared" ca="1" si="5"/>
        <v>5669.1859579283318</v>
      </c>
      <c r="Z67" s="633"/>
      <c r="AA67" s="498"/>
    </row>
    <row r="68" spans="1:27" ht="16.2">
      <c r="A68" s="630"/>
      <c r="B68" s="632"/>
      <c r="C68" s="632"/>
      <c r="D68" s="632"/>
      <c r="E68" s="632"/>
      <c r="F68" s="634"/>
      <c r="G68" s="634"/>
      <c r="H68" s="634"/>
      <c r="I68" s="634"/>
      <c r="J68" s="634"/>
      <c r="K68" s="634"/>
      <c r="L68" s="634"/>
      <c r="M68" s="634"/>
      <c r="N68" s="634"/>
      <c r="O68" s="634"/>
      <c r="P68" s="634"/>
      <c r="Q68" s="634"/>
      <c r="R68" s="634"/>
      <c r="S68" s="634"/>
      <c r="T68" s="634"/>
      <c r="U68" s="634"/>
      <c r="V68" s="634"/>
      <c r="W68" s="634"/>
      <c r="X68" s="634"/>
      <c r="Y68" s="634"/>
      <c r="Z68" s="634"/>
      <c r="AA68" s="498"/>
    </row>
    <row r="69" spans="1:27" ht="16.2">
      <c r="A69" s="630" t="str">
        <f>'TAXDEPR 144A'!A69</f>
        <v>BEGINNING BALANCE</v>
      </c>
      <c r="B69" s="631"/>
      <c r="C69" s="632"/>
      <c r="D69" s="632"/>
      <c r="E69" s="632"/>
      <c r="F69" s="635">
        <f ca="1">SUM(C15:C63)*1000</f>
        <v>161571.79980095755</v>
      </c>
      <c r="G69" s="635">
        <f t="shared" ref="G69:Y69" ca="1" si="6">F70</f>
        <v>158264.7746588327</v>
      </c>
      <c r="H69" s="635">
        <f t="shared" ca="1" si="6"/>
        <v>152595.58870090437</v>
      </c>
      <c r="I69" s="635">
        <f t="shared" ca="1" si="6"/>
        <v>146926.40274297603</v>
      </c>
      <c r="J69" s="635">
        <f t="shared" ca="1" si="6"/>
        <v>141257.2167850477</v>
      </c>
      <c r="K69" s="635">
        <f t="shared" ca="1" si="6"/>
        <v>135588.03082711936</v>
      </c>
      <c r="L69" s="635">
        <f t="shared" ca="1" si="6"/>
        <v>129918.84486919103</v>
      </c>
      <c r="M69" s="635">
        <f t="shared" ca="1" si="6"/>
        <v>124249.6589112627</v>
      </c>
      <c r="N69" s="635">
        <f t="shared" ca="1" si="6"/>
        <v>118580.47295333436</v>
      </c>
      <c r="O69" s="635">
        <f t="shared" ca="1" si="6"/>
        <v>112911.28699540603</v>
      </c>
      <c r="P69" s="635">
        <f t="shared" ca="1" si="6"/>
        <v>107242.1010374777</v>
      </c>
      <c r="Q69" s="635">
        <f t="shared" ca="1" si="6"/>
        <v>101572.91507954936</v>
      </c>
      <c r="R69" s="635">
        <f t="shared" ca="1" si="6"/>
        <v>95903.729121621029</v>
      </c>
      <c r="S69" s="635">
        <f t="shared" ca="1" si="6"/>
        <v>90234.543163692695</v>
      </c>
      <c r="T69" s="635">
        <f t="shared" ca="1" si="6"/>
        <v>84565.357205764361</v>
      </c>
      <c r="U69" s="635">
        <f t="shared" ca="1" si="6"/>
        <v>78896.171247836028</v>
      </c>
      <c r="V69" s="635">
        <f t="shared" ca="1" si="6"/>
        <v>73226.985289907694</v>
      </c>
      <c r="W69" s="635">
        <f t="shared" ca="1" si="6"/>
        <v>67557.79933197936</v>
      </c>
      <c r="X69" s="635">
        <f t="shared" ca="1" si="6"/>
        <v>61888.613374051027</v>
      </c>
      <c r="Y69" s="635">
        <f t="shared" ca="1" si="6"/>
        <v>56219.427416122693</v>
      </c>
      <c r="Z69" s="635"/>
      <c r="AA69" s="498"/>
    </row>
    <row r="70" spans="1:27" ht="16.2">
      <c r="A70" s="636" t="str">
        <f>'TAXDEPR 144A'!A70</f>
        <v>ENDING BALANCE</v>
      </c>
      <c r="B70" s="637"/>
      <c r="C70" s="638"/>
      <c r="D70" s="638"/>
      <c r="E70" s="638"/>
      <c r="F70" s="639">
        <f t="shared" ref="F70:Y70" ca="1" si="7">F69-F67</f>
        <v>158264.7746588327</v>
      </c>
      <c r="G70" s="639">
        <f t="shared" ca="1" si="7"/>
        <v>152595.58870090437</v>
      </c>
      <c r="H70" s="639">
        <f t="shared" ca="1" si="7"/>
        <v>146926.40274297603</v>
      </c>
      <c r="I70" s="639">
        <f t="shared" ca="1" si="7"/>
        <v>141257.2167850477</v>
      </c>
      <c r="J70" s="639">
        <f t="shared" ca="1" si="7"/>
        <v>135588.03082711936</v>
      </c>
      <c r="K70" s="639">
        <f t="shared" ca="1" si="7"/>
        <v>129918.84486919103</v>
      </c>
      <c r="L70" s="639">
        <f t="shared" ca="1" si="7"/>
        <v>124249.6589112627</v>
      </c>
      <c r="M70" s="639">
        <f t="shared" ca="1" si="7"/>
        <v>118580.47295333436</v>
      </c>
      <c r="N70" s="639">
        <f t="shared" ca="1" si="7"/>
        <v>112911.28699540603</v>
      </c>
      <c r="O70" s="639">
        <f t="shared" ca="1" si="7"/>
        <v>107242.1010374777</v>
      </c>
      <c r="P70" s="639">
        <f t="shared" ca="1" si="7"/>
        <v>101572.91507954936</v>
      </c>
      <c r="Q70" s="639">
        <f t="shared" ca="1" si="7"/>
        <v>95903.729121621029</v>
      </c>
      <c r="R70" s="639">
        <f t="shared" ca="1" si="7"/>
        <v>90234.543163692695</v>
      </c>
      <c r="S70" s="639">
        <f t="shared" ca="1" si="7"/>
        <v>84565.357205764361</v>
      </c>
      <c r="T70" s="639">
        <f t="shared" ca="1" si="7"/>
        <v>78896.171247836028</v>
      </c>
      <c r="U70" s="639">
        <f t="shared" ca="1" si="7"/>
        <v>73226.985289907694</v>
      </c>
      <c r="V70" s="639">
        <f t="shared" ca="1" si="7"/>
        <v>67557.79933197936</v>
      </c>
      <c r="W70" s="639">
        <f t="shared" ca="1" si="7"/>
        <v>61888.613374051027</v>
      </c>
      <c r="X70" s="639">
        <f t="shared" ca="1" si="7"/>
        <v>56219.427416122693</v>
      </c>
      <c r="Y70" s="639">
        <f t="shared" ca="1" si="7"/>
        <v>50550.241458194359</v>
      </c>
      <c r="Z70" s="639"/>
      <c r="AA70" s="498"/>
    </row>
    <row r="71" spans="1:27">
      <c r="A71" s="623"/>
      <c r="B71" s="624"/>
      <c r="C71" s="624"/>
      <c r="D71" s="624"/>
      <c r="E71" s="623"/>
      <c r="F71" s="623"/>
      <c r="G71" s="623"/>
      <c r="H71" s="623"/>
      <c r="I71" s="623"/>
      <c r="J71" s="623"/>
      <c r="K71" s="623"/>
      <c r="L71" s="623"/>
      <c r="M71" s="623"/>
      <c r="N71" s="623"/>
      <c r="O71" s="623"/>
      <c r="P71" s="623"/>
      <c r="Q71" s="623"/>
      <c r="R71" s="623"/>
      <c r="S71" s="623"/>
      <c r="T71" s="623"/>
      <c r="U71" s="623"/>
      <c r="V71" s="623"/>
      <c r="W71" s="623"/>
      <c r="X71" s="623"/>
      <c r="Y71" s="623"/>
      <c r="Z71" s="623"/>
    </row>
  </sheetData>
  <pageMargins left="0.5" right="0.55347222222222203" top="0.5" bottom="0.75" header="0.5" footer="0.25"/>
  <pageSetup scale="38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25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B74"/>
  <sheetViews>
    <sheetView showOutlineSymbols="0" view="pageBreakPreview" topLeftCell="A54" zoomScale="60" zoomScaleNormal="75" workbookViewId="0">
      <selection activeCell="A54" sqref="A1:IV65536"/>
    </sheetView>
  </sheetViews>
  <sheetFormatPr defaultColWidth="9.81640625" defaultRowHeight="15.6"/>
  <cols>
    <col min="1" max="1" width="21.81640625" style="503" customWidth="1"/>
    <col min="2" max="16384" width="9.81640625" style="503"/>
  </cols>
  <sheetData>
    <row r="1" spans="1:28" ht="22.8">
      <c r="A1" s="640" t="str">
        <f>'BKDEPR 144A'!A1</f>
        <v>DELMARVA, VA</v>
      </c>
      <c r="B1" s="502"/>
      <c r="T1" s="504"/>
    </row>
    <row r="2" spans="1:28">
      <c r="A2" s="505" t="s">
        <v>369</v>
      </c>
      <c r="B2" s="506"/>
      <c r="T2" s="507"/>
    </row>
    <row r="3" spans="1:28">
      <c r="A3" s="508"/>
      <c r="B3" s="509"/>
      <c r="T3" s="510"/>
    </row>
    <row r="4" spans="1:28">
      <c r="A4" s="511"/>
    </row>
    <row r="5" spans="1:28">
      <c r="A5" s="512"/>
      <c r="B5" s="512"/>
      <c r="C5" s="512"/>
      <c r="D5" s="512"/>
      <c r="E5" s="512"/>
      <c r="F5" s="512"/>
      <c r="G5" s="512"/>
      <c r="H5" s="512"/>
      <c r="I5" s="512"/>
      <c r="J5" s="512"/>
      <c r="K5" s="512"/>
      <c r="L5" s="512"/>
      <c r="M5" s="512"/>
      <c r="N5" s="512"/>
      <c r="O5" s="512"/>
      <c r="P5" s="512"/>
      <c r="Q5" s="512"/>
      <c r="R5" s="512"/>
      <c r="S5" s="512"/>
      <c r="T5" s="512"/>
      <c r="U5" s="512"/>
      <c r="V5" s="512"/>
      <c r="W5" s="512"/>
      <c r="X5" s="512"/>
      <c r="Y5" s="512"/>
      <c r="Z5" s="512"/>
    </row>
    <row r="6" spans="1:28">
      <c r="A6" s="511"/>
    </row>
    <row r="7" spans="1:28">
      <c r="A7" s="513" t="str">
        <f>FUEL!A5</f>
        <v>US $ 000s</v>
      </c>
      <c r="B7" s="513"/>
      <c r="C7" s="514"/>
      <c r="D7" s="514"/>
      <c r="E7" s="514"/>
      <c r="F7" s="515">
        <f ca="1">FUEL!C5</f>
        <v>2000</v>
      </c>
      <c r="G7" s="515">
        <f ca="1">FUEL!D5</f>
        <v>2001</v>
      </c>
      <c r="H7" s="515">
        <f ca="1">FUEL!E5</f>
        <v>2002</v>
      </c>
      <c r="I7" s="515">
        <f ca="1">FUEL!F5</f>
        <v>2003</v>
      </c>
      <c r="J7" s="515">
        <f ca="1">FUEL!G5</f>
        <v>2004</v>
      </c>
      <c r="K7" s="515">
        <f ca="1">FUEL!H5</f>
        <v>2005</v>
      </c>
      <c r="L7" s="515">
        <f ca="1">FUEL!I5</f>
        <v>2006</v>
      </c>
      <c r="M7" s="515">
        <f ca="1">FUEL!J5</f>
        <v>2007</v>
      </c>
      <c r="N7" s="515">
        <f ca="1">FUEL!K5</f>
        <v>2008</v>
      </c>
      <c r="O7" s="515">
        <f ca="1">FUEL!L5</f>
        <v>2009</v>
      </c>
      <c r="P7" s="515">
        <f ca="1">FUEL!M5</f>
        <v>2010</v>
      </c>
      <c r="Q7" s="515">
        <f ca="1">FUEL!N5</f>
        <v>2011</v>
      </c>
      <c r="R7" s="515">
        <f ca="1">FUEL!O5</f>
        <v>2012</v>
      </c>
      <c r="S7" s="515">
        <f ca="1">FUEL!P5</f>
        <v>2013</v>
      </c>
      <c r="T7" s="515">
        <f ca="1">FUEL!Q5</f>
        <v>2014</v>
      </c>
      <c r="U7" s="515">
        <f ca="1">FUEL!R5</f>
        <v>2015</v>
      </c>
      <c r="V7" s="515">
        <f ca="1">FUEL!S5</f>
        <v>2016</v>
      </c>
      <c r="W7" s="515">
        <f ca="1">FUEL!T5</f>
        <v>2017</v>
      </c>
      <c r="X7" s="515">
        <f ca="1">FUEL!U5</f>
        <v>2018</v>
      </c>
      <c r="Y7" s="515">
        <f ca="1">FUEL!V5</f>
        <v>2019</v>
      </c>
      <c r="Z7" s="515"/>
      <c r="AA7" s="516"/>
      <c r="AB7" s="511"/>
    </row>
    <row r="8" spans="1:28">
      <c r="A8" s="511" t="str">
        <f>FUEL!A6</f>
        <v>Year</v>
      </c>
      <c r="B8" s="511"/>
      <c r="C8" s="511"/>
      <c r="D8" s="511"/>
      <c r="E8" s="511"/>
      <c r="F8" s="511">
        <f ca="1">FUEL!C6</f>
        <v>1</v>
      </c>
      <c r="G8" s="511">
        <f ca="1">FUEL!D6</f>
        <v>2</v>
      </c>
      <c r="H8" s="511">
        <f ca="1">FUEL!E6</f>
        <v>3</v>
      </c>
      <c r="I8" s="511">
        <f ca="1">FUEL!F6</f>
        <v>4</v>
      </c>
      <c r="J8" s="511">
        <f ca="1">FUEL!G6</f>
        <v>5</v>
      </c>
      <c r="K8" s="511">
        <f ca="1">FUEL!H6</f>
        <v>6</v>
      </c>
      <c r="L8" s="511">
        <f ca="1">FUEL!I6</f>
        <v>7</v>
      </c>
      <c r="M8" s="511">
        <f ca="1">FUEL!J6</f>
        <v>8</v>
      </c>
      <c r="N8" s="511">
        <f ca="1">FUEL!K6</f>
        <v>9</v>
      </c>
      <c r="O8" s="511">
        <f ca="1">FUEL!L6</f>
        <v>10</v>
      </c>
      <c r="P8" s="511">
        <f ca="1">FUEL!M6</f>
        <v>11</v>
      </c>
      <c r="Q8" s="511">
        <f ca="1">FUEL!N6</f>
        <v>12</v>
      </c>
      <c r="R8" s="511">
        <f ca="1">FUEL!O6</f>
        <v>13</v>
      </c>
      <c r="S8" s="511">
        <f ca="1">FUEL!P6</f>
        <v>14</v>
      </c>
      <c r="T8" s="511">
        <f ca="1">FUEL!Q6</f>
        <v>15</v>
      </c>
      <c r="U8" s="511">
        <f ca="1">FUEL!R6</f>
        <v>16</v>
      </c>
      <c r="V8" s="511">
        <f ca="1">FUEL!S6</f>
        <v>17</v>
      </c>
      <c r="W8" s="511">
        <f ca="1">FUEL!T6</f>
        <v>18</v>
      </c>
      <c r="X8" s="511">
        <f ca="1">FUEL!U6</f>
        <v>19</v>
      </c>
      <c r="Y8" s="511">
        <f ca="1">FUEL!V6</f>
        <v>20</v>
      </c>
      <c r="Z8" s="511"/>
      <c r="AA8" s="517"/>
      <c r="AB8" s="511"/>
    </row>
    <row r="9" spans="1:28">
      <c r="A9" s="511" t="str">
        <f>FUEL!A7</f>
        <v>Months of Operation</v>
      </c>
      <c r="B9" s="511"/>
      <c r="C9" s="511"/>
      <c r="D9" s="511"/>
      <c r="E9" s="511"/>
      <c r="F9" s="511">
        <f ca="1">FUEL!C7</f>
        <v>7</v>
      </c>
      <c r="G9" s="511">
        <f ca="1">FUEL!D7</f>
        <v>12</v>
      </c>
      <c r="H9" s="511">
        <f ca="1">FUEL!E7</f>
        <v>12</v>
      </c>
      <c r="I9" s="511">
        <f ca="1">FUEL!F7</f>
        <v>12</v>
      </c>
      <c r="J9" s="511">
        <f ca="1">FUEL!G7</f>
        <v>12</v>
      </c>
      <c r="K9" s="511">
        <f ca="1">FUEL!H7</f>
        <v>12</v>
      </c>
      <c r="L9" s="511">
        <f ca="1">FUEL!I7</f>
        <v>12</v>
      </c>
      <c r="M9" s="511">
        <f ca="1">FUEL!J7</f>
        <v>12</v>
      </c>
      <c r="N9" s="511">
        <f ca="1">FUEL!K7</f>
        <v>12</v>
      </c>
      <c r="O9" s="511">
        <f ca="1">FUEL!L7</f>
        <v>12</v>
      </c>
      <c r="P9" s="511">
        <f ca="1">FUEL!M7</f>
        <v>12</v>
      </c>
      <c r="Q9" s="511">
        <f ca="1">FUEL!N7</f>
        <v>12</v>
      </c>
      <c r="R9" s="511">
        <f ca="1">FUEL!O7</f>
        <v>12</v>
      </c>
      <c r="S9" s="511">
        <f ca="1">FUEL!P7</f>
        <v>12</v>
      </c>
      <c r="T9" s="511">
        <f ca="1">FUEL!Q7</f>
        <v>12</v>
      </c>
      <c r="U9" s="511">
        <f ca="1">FUEL!R7</f>
        <v>12</v>
      </c>
      <c r="V9" s="511">
        <f ca="1">FUEL!S7</f>
        <v>12</v>
      </c>
      <c r="W9" s="511">
        <f ca="1">FUEL!T7</f>
        <v>12</v>
      </c>
      <c r="X9" s="511">
        <f ca="1">FUEL!U7</f>
        <v>12</v>
      </c>
      <c r="Y9" s="511">
        <f ca="1">FUEL!V7</f>
        <v>12</v>
      </c>
      <c r="Z9" s="511"/>
      <c r="AA9" s="517"/>
      <c r="AB9" s="511"/>
    </row>
    <row r="10" spans="1:28">
      <c r="A10" s="511"/>
      <c r="B10" s="511"/>
      <c r="C10" s="511"/>
      <c r="D10" s="511"/>
      <c r="E10" s="511"/>
      <c r="F10" s="511"/>
      <c r="G10" s="511"/>
      <c r="H10" s="511"/>
      <c r="I10" s="511"/>
      <c r="J10" s="511"/>
      <c r="K10" s="511"/>
      <c r="L10" s="511"/>
      <c r="M10" s="511"/>
      <c r="N10" s="511"/>
      <c r="O10" s="511"/>
      <c r="P10" s="511"/>
      <c r="Q10" s="511"/>
      <c r="R10" s="511"/>
      <c r="S10" s="511"/>
      <c r="T10" s="511"/>
      <c r="U10" s="511"/>
      <c r="V10" s="511"/>
      <c r="W10" s="511"/>
      <c r="X10" s="511"/>
      <c r="Y10" s="511"/>
      <c r="Z10" s="511"/>
      <c r="AA10" s="517"/>
      <c r="AB10" s="511"/>
    </row>
    <row r="11" spans="1:28" ht="16.2">
      <c r="A11" s="514"/>
      <c r="B11" s="518" t="s">
        <v>366</v>
      </c>
      <c r="C11" s="519" t="s">
        <v>367</v>
      </c>
      <c r="D11" s="520"/>
      <c r="E11" s="519"/>
      <c r="F11" s="514"/>
      <c r="G11" s="514"/>
      <c r="H11" s="514"/>
      <c r="I11" s="514"/>
      <c r="J11" s="514"/>
      <c r="K11" s="514"/>
      <c r="L11" s="514"/>
      <c r="M11" s="514"/>
      <c r="N11" s="514"/>
      <c r="O11" s="514"/>
      <c r="P11" s="514"/>
      <c r="Q11" s="514"/>
      <c r="R11" s="514"/>
      <c r="S11" s="514"/>
      <c r="T11" s="514"/>
      <c r="U11" s="514"/>
      <c r="V11" s="514"/>
      <c r="W11" s="514"/>
      <c r="X11" s="514"/>
      <c r="Y11" s="514"/>
      <c r="Z11" s="514"/>
      <c r="AA11" s="517"/>
      <c r="AB11" s="511"/>
    </row>
    <row r="12" spans="1:28" ht="16.2">
      <c r="A12" s="514"/>
      <c r="B12" s="521" t="s">
        <v>368</v>
      </c>
      <c r="C12" s="522" t="s">
        <v>142</v>
      </c>
      <c r="D12" s="522" t="s">
        <v>143</v>
      </c>
      <c r="E12" s="522" t="s">
        <v>343</v>
      </c>
      <c r="F12" s="514"/>
      <c r="G12" s="517"/>
      <c r="H12" s="517"/>
      <c r="I12" s="517"/>
      <c r="J12" s="517"/>
      <c r="K12" s="517"/>
      <c r="L12" s="517"/>
      <c r="M12" s="517"/>
      <c r="N12" s="517"/>
      <c r="O12" s="517"/>
      <c r="P12" s="517"/>
      <c r="Q12" s="517"/>
      <c r="R12" s="517"/>
      <c r="S12" s="517"/>
      <c r="T12" s="517"/>
      <c r="U12" s="517"/>
      <c r="V12" s="517"/>
      <c r="W12" s="517"/>
      <c r="X12" s="517"/>
      <c r="Y12" s="517"/>
      <c r="Z12" s="517"/>
      <c r="AA12" s="517"/>
      <c r="AB12" s="511"/>
    </row>
    <row r="13" spans="1:28">
      <c r="A13" s="514"/>
      <c r="B13" s="514"/>
      <c r="C13" s="520"/>
      <c r="D13" s="520"/>
      <c r="E13" s="520"/>
      <c r="F13" s="517"/>
      <c r="G13" s="517"/>
      <c r="H13" s="517"/>
      <c r="I13" s="517"/>
      <c r="J13" s="517"/>
      <c r="K13" s="517"/>
      <c r="L13" s="517"/>
      <c r="M13" s="517"/>
      <c r="N13" s="517"/>
      <c r="O13" s="517"/>
      <c r="P13" s="517"/>
      <c r="Q13" s="517"/>
      <c r="R13" s="517"/>
      <c r="S13" s="517"/>
      <c r="T13" s="517"/>
      <c r="U13" s="517"/>
      <c r="V13" s="517"/>
      <c r="W13" s="517"/>
      <c r="X13" s="517"/>
      <c r="Y13" s="517"/>
      <c r="Z13" s="517"/>
      <c r="AA13" s="517"/>
      <c r="AB13" s="511"/>
    </row>
    <row r="14" spans="1:28" ht="16.2">
      <c r="A14" s="523" t="str">
        <f ca="1">'TAXDEPR 144A'!A14</f>
        <v>Major Equipment</v>
      </c>
      <c r="B14" s="523"/>
      <c r="C14" s="520"/>
      <c r="D14" s="520"/>
      <c r="E14" s="524"/>
      <c r="F14" s="517"/>
      <c r="G14" s="517"/>
      <c r="H14" s="517"/>
      <c r="I14" s="517"/>
      <c r="J14" s="517"/>
      <c r="K14" s="517"/>
      <c r="L14" s="517"/>
      <c r="M14" s="517"/>
      <c r="N14" s="517"/>
      <c r="O14" s="517"/>
      <c r="P14" s="517"/>
      <c r="Q14" s="517"/>
      <c r="R14" s="517"/>
      <c r="S14" s="517"/>
      <c r="T14" s="517"/>
      <c r="U14" s="517"/>
      <c r="V14" s="517"/>
      <c r="W14" s="517"/>
      <c r="X14" s="517"/>
      <c r="Y14" s="517"/>
      <c r="Z14" s="517"/>
      <c r="AA14" s="517"/>
      <c r="AB14" s="511"/>
    </row>
    <row r="15" spans="1:28">
      <c r="A15" s="514" t="str">
        <f ca="1">'TAXDEPR 144A'!A15</f>
        <v>Equipment Costs</v>
      </c>
      <c r="B15" s="514">
        <f ca="1">'TAXDEPR 144A'!B15</f>
        <v>1</v>
      </c>
      <c r="C15" s="525">
        <f ca="1">'TAXDEPR 144A'!C15</f>
        <v>124.665655348</v>
      </c>
      <c r="D15" s="520">
        <f>'ASSUM 2'!P9</f>
        <v>1</v>
      </c>
      <c r="E15" s="524">
        <f>'ASSUM 2'!Q9</f>
        <v>0</v>
      </c>
      <c r="F15" s="526">
        <f ca="1">IF(SUM($E15:E15)&lt;$C15*1000,MIN($C15*1000-SUM($C15:C15),$C15*1000*VLOOKUP(F$7,[0]!_4_15_YR_MACRS,3)),0)</f>
        <v>6233.2827674</v>
      </c>
      <c r="G15" s="526">
        <f ca="1">IF(SUM($E15:F15)&lt;$C15*1000,MIN($C15*1000-SUM($C15:D15),$C15*1000*VLOOKUP(G$7,[0]!_4_15_YR_MACRS,3)),0)</f>
        <v>11843.23725806</v>
      </c>
      <c r="H15" s="526">
        <f ca="1">IF(SUM($E15:G15)&lt;$C15*1000,MIN($C15*1000-SUM($C15:E15),$C15*1000*VLOOKUP(H$7,[0]!_4_15_YR_MACRS,3)),0)</f>
        <v>10658.913532254001</v>
      </c>
      <c r="I15" s="526">
        <f ca="1">IF(SUM($E15:H15)&lt;$C15*1000,MIN($C15*1000-SUM($C15:F15),$C15*1000*VLOOKUP(I$7,[0]!_4_15_YR_MACRS,3)),0)</f>
        <v>9599.2554617959995</v>
      </c>
      <c r="J15" s="526">
        <f ca="1">IF(SUM($E15:I15)&lt;$C15*1000,MIN($C15*1000-SUM($C15:G15),$C15*1000*VLOOKUP(J$7,[0]!_4_15_YR_MACRS,3)),0)</f>
        <v>8639.3299156163994</v>
      </c>
      <c r="K15" s="526">
        <f ca="1">IF(SUM($E15:J15)&lt;$C15*1000,MIN($C15*1000-SUM($C15:H15),$C15*1000*VLOOKUP(K$7,[0]!_4_15_YR_MACRS,3)),0)</f>
        <v>7766.6703281804002</v>
      </c>
      <c r="L15" s="526">
        <f ca="1">IF(SUM($E15:K15)&lt;$C15*1000,MIN($C15*1000-SUM($C15:I15),$C15*1000*VLOOKUP(L$7,[0]!_4_15_YR_MACRS,3)),0)</f>
        <v>7355.2736655319995</v>
      </c>
      <c r="M15" s="526">
        <f ca="1">IF(SUM($E15:L15)&lt;$C15*1000,MIN($C15*1000-SUM($C15:J15),$C15*1000*VLOOKUP(M$7,[0]!_4_15_YR_MACRS,3)),0)</f>
        <v>7355.2736655319995</v>
      </c>
      <c r="N15" s="526">
        <f ca="1">IF(SUM($E15:M15)&lt;$C15*1000,MIN($C15*1000-SUM($C15:K15),$C15*1000*VLOOKUP(N$7,[0]!_4_15_YR_MACRS,3)),0)</f>
        <v>7367.7402310668003</v>
      </c>
      <c r="O15" s="526">
        <f ca="1">IF(SUM($E15:N15)&lt;$C15*1000,MIN($C15*1000-SUM($C15:L15),$C15*1000*VLOOKUP(O$7,[0]!_4_15_YR_MACRS,3)),0)</f>
        <v>7355.2736655319995</v>
      </c>
      <c r="P15" s="526">
        <f ca="1">IF(SUM($E15:O15)&lt;$C15*1000,MIN($C15*1000-SUM($C15:M15),$C15*1000*VLOOKUP(P$7,[0]!_4_15_YR_MACRS,3)),0)</f>
        <v>7367.7402310668003</v>
      </c>
      <c r="Q15" s="526">
        <f ca="1">IF(SUM($E15:P15)&lt;$C15*1000,MIN($C15*1000-SUM($C15:N15),$C15*1000*VLOOKUP(Q$7,[0]!_4_15_YR_MACRS,3)),0)</f>
        <v>7355.2736655319995</v>
      </c>
      <c r="R15" s="526">
        <f ca="1">IF(SUM($E15:Q15)&lt;$C15*1000,MIN($C15*1000-SUM($C15:O15),$C15*1000*VLOOKUP(R$7,[0]!_4_15_YR_MACRS,3)),0)</f>
        <v>7367.7402310668003</v>
      </c>
      <c r="S15" s="526">
        <f ca="1">IF(SUM($E15:R15)&lt;$C15*1000,MIN($C15*1000-SUM($C15:P15),$C15*1000*VLOOKUP(S$7,[0]!_4_15_YR_MACRS,3)),0)</f>
        <v>7355.2736655319995</v>
      </c>
      <c r="T15" s="526">
        <f ca="1">IF(SUM($E15:S15)&lt;$C15*1000,MIN($C15*1000-SUM($C15:Q15),$C15*1000*VLOOKUP(T$7,[0]!_4_15_YR_MACRS,3)),0)</f>
        <v>7367.7402310668003</v>
      </c>
      <c r="U15" s="526">
        <f ca="1">IF(SUM($E15:T15)&lt;$C15*1000,MIN($C15*1000-SUM($C15:R15),$C15*1000*VLOOKUP(U$7,[0]!_4_15_YR_MACRS,3)),0)</f>
        <v>3677.6368327659998</v>
      </c>
      <c r="V15" s="526">
        <f ca="1">IF(SUM($E15:U15)&lt;$C15*1000,MIN($C15*1000-SUM($C15:S15),$C15*1000*VLOOKUP(V$7,[0]!_4_15_YR_MACRS,3)),0)</f>
        <v>0</v>
      </c>
      <c r="W15" s="526">
        <f ca="1">IF(SUM($E15:V15)&lt;$C15*1000,MIN($C15*1000-SUM($C15:T15),$C15*1000*VLOOKUP(W$7,[0]!_4_15_YR_MACRS,3)),0)</f>
        <v>0</v>
      </c>
      <c r="X15" s="526">
        <f ca="1">IF(SUM($E15:W15)&lt;$C15*1000,MIN($C15*1000-SUM($C15:U15),$C15*1000*VLOOKUP(X$7,[0]!_4_15_YR_MACRS,3)),0)</f>
        <v>0</v>
      </c>
      <c r="Y15" s="526">
        <f ca="1">IF(SUM($E15:X15)&lt;$C15*1000,MIN($C15*1000-SUM($C15:V15),$C15*1000*VLOOKUP(Y$7,[0]!_4_15_YR_MACRS,3)),0)</f>
        <v>0</v>
      </c>
      <c r="Z15" s="526"/>
      <c r="AA15" s="527">
        <f ca="1">SUM(F15:Y15)-C15*1000</f>
        <v>0</v>
      </c>
      <c r="AB15" s="511"/>
    </row>
    <row r="16" spans="1:28">
      <c r="A16" s="514" t="str">
        <f ca="1">'TAXDEPR 144A'!A16</f>
        <v>Balance of EPC</v>
      </c>
      <c r="B16" s="514">
        <f ca="1">'TAXDEPR 144A'!B16</f>
        <v>1</v>
      </c>
      <c r="C16" s="525">
        <f ca="1">'TAXDEPR 144A'!C16</f>
        <v>12.291738486857142</v>
      </c>
      <c r="D16" s="520">
        <f>'ASSUM 2'!P10</f>
        <v>1</v>
      </c>
      <c r="E16" s="524">
        <f>'ASSUM 2'!Q10</f>
        <v>0</v>
      </c>
      <c r="F16" s="526">
        <f ca="1">IF(SUM($E16:E16)&lt;$C16*1000,MIN($C16*1000-SUM($C16:C16),$C16*1000*VLOOKUP(F$7,[0]!_4_15_YR_MACRS,3)),0)</f>
        <v>614.58692434285717</v>
      </c>
      <c r="G16" s="526">
        <f ca="1">IF(SUM($E16:F16)&lt;$C16*1000,MIN($C16*1000-SUM($C16:D16),$C16*1000*VLOOKUP(G$7,[0]!_4_15_YR_MACRS,3)),0)</f>
        <v>1167.7151562514287</v>
      </c>
      <c r="H16" s="526">
        <f ca="1">IF(SUM($E16:G16)&lt;$C16*1000,MIN($C16*1000-SUM($C16:E16),$C16*1000*VLOOKUP(H$7,[0]!_4_15_YR_MACRS,3)),0)</f>
        <v>1050.9436406262857</v>
      </c>
      <c r="I16" s="526">
        <f ca="1">IF(SUM($E16:H16)&lt;$C16*1000,MIN($C16*1000-SUM($C16:F16),$C16*1000*VLOOKUP(I$7,[0]!_4_15_YR_MACRS,3)),0)</f>
        <v>946.46386348800002</v>
      </c>
      <c r="J16" s="526">
        <f ca="1">IF(SUM($E16:I16)&lt;$C16*1000,MIN($C16*1000-SUM($C16:G16),$C16*1000*VLOOKUP(J$7,[0]!_4_15_YR_MACRS,3)),0)</f>
        <v>851.81747713920004</v>
      </c>
      <c r="K16" s="526">
        <f ca="1">IF(SUM($E16:J16)&lt;$C16*1000,MIN($C16*1000-SUM($C16:H16),$C16*1000*VLOOKUP(K$7,[0]!_4_15_YR_MACRS,3)),0)</f>
        <v>765.77530773119997</v>
      </c>
      <c r="L16" s="526">
        <f ca="1">IF(SUM($E16:K16)&lt;$C16*1000,MIN($C16*1000-SUM($C16:I16),$C16*1000*VLOOKUP(L$7,[0]!_4_15_YR_MACRS,3)),0)</f>
        <v>725.21257072457138</v>
      </c>
      <c r="M16" s="526">
        <f ca="1">IF(SUM($E16:L16)&lt;$C16*1000,MIN($C16*1000-SUM($C16:J16),$C16*1000*VLOOKUP(M$7,[0]!_4_15_YR_MACRS,3)),0)</f>
        <v>725.21257072457138</v>
      </c>
      <c r="N16" s="526">
        <f ca="1">IF(SUM($E16:M16)&lt;$C16*1000,MIN($C16*1000-SUM($C16:K16),$C16*1000*VLOOKUP(N$7,[0]!_4_15_YR_MACRS,3)),0)</f>
        <v>726.4417445732571</v>
      </c>
      <c r="O16" s="526">
        <f ca="1">IF(SUM($E16:N16)&lt;$C16*1000,MIN($C16*1000-SUM($C16:L16),$C16*1000*VLOOKUP(O$7,[0]!_4_15_YR_MACRS,3)),0)</f>
        <v>725.21257072457138</v>
      </c>
      <c r="P16" s="526">
        <f ca="1">IF(SUM($E16:O16)&lt;$C16*1000,MIN($C16*1000-SUM($C16:M16),$C16*1000*VLOOKUP(P$7,[0]!_4_15_YR_MACRS,3)),0)</f>
        <v>726.4417445732571</v>
      </c>
      <c r="Q16" s="526">
        <f ca="1">IF(SUM($E16:P16)&lt;$C16*1000,MIN($C16*1000-SUM($C16:N16),$C16*1000*VLOOKUP(Q$7,[0]!_4_15_YR_MACRS,3)),0)</f>
        <v>725.21257072457138</v>
      </c>
      <c r="R16" s="526">
        <f ca="1">IF(SUM($E16:Q16)&lt;$C16*1000,MIN($C16*1000-SUM($C16:O16),$C16*1000*VLOOKUP(R$7,[0]!_4_15_YR_MACRS,3)),0)</f>
        <v>726.4417445732571</v>
      </c>
      <c r="S16" s="526">
        <f ca="1">IF(SUM($E16:R16)&lt;$C16*1000,MIN($C16*1000-SUM($C16:P16),$C16*1000*VLOOKUP(S$7,[0]!_4_15_YR_MACRS,3)),0)</f>
        <v>725.21257072457138</v>
      </c>
      <c r="T16" s="526">
        <f ca="1">IF(SUM($E16:S16)&lt;$C16*1000,MIN($C16*1000-SUM($C16:Q16),$C16*1000*VLOOKUP(T$7,[0]!_4_15_YR_MACRS,3)),0)</f>
        <v>726.4417445732571</v>
      </c>
      <c r="U16" s="526">
        <f ca="1">IF(SUM($E16:T16)&lt;$C16*1000,MIN($C16*1000-SUM($C16:R16),$C16*1000*VLOOKUP(U$7,[0]!_4_15_YR_MACRS,3)),0)</f>
        <v>362.60628536228569</v>
      </c>
      <c r="V16" s="526">
        <f ca="1">IF(SUM($E16:U16)&lt;$C16*1000,MIN($C16*1000-SUM($C16:S16),$C16*1000*VLOOKUP(V$7,[0]!_4_15_YR_MACRS,3)),0)</f>
        <v>0</v>
      </c>
      <c r="W16" s="526">
        <f ca="1">IF(SUM($E16:V16)&lt;$C16*1000,MIN($C16*1000-SUM($C16:T16),$C16*1000*VLOOKUP(W$7,[0]!_4_15_YR_MACRS,3)),0)</f>
        <v>0</v>
      </c>
      <c r="X16" s="526">
        <f ca="1">IF(SUM($E16:W16)&lt;$C16*1000,MIN($C16*1000-SUM($C16:U16),$C16*1000*VLOOKUP(X$7,[0]!_4_15_YR_MACRS,3)),0)</f>
        <v>0</v>
      </c>
      <c r="Y16" s="526">
        <f ca="1">IF(SUM($E16:X16)&lt;$C16*1000,MIN($C16*1000-SUM($C16:V16),$C16*1000*VLOOKUP(Y$7,[0]!_4_15_YR_MACRS,3)),0)</f>
        <v>0</v>
      </c>
      <c r="Z16" s="526"/>
      <c r="AA16" s="527">
        <f ca="1">SUM(F16:Y16)-C16*1000</f>
        <v>0</v>
      </c>
      <c r="AB16" s="511"/>
    </row>
    <row r="17" spans="1:28">
      <c r="A17" s="514" t="str">
        <f ca="1">'TAXDEPR 144A'!A17</f>
        <v>Other</v>
      </c>
      <c r="B17" s="514">
        <f ca="1">'TAXDEPR 144A'!B17</f>
        <v>1</v>
      </c>
      <c r="C17" s="525">
        <f ca="1">'TAXDEPR 144A'!C17</f>
        <v>0</v>
      </c>
      <c r="D17" s="520">
        <f>'ASSUM 2'!P11</f>
        <v>1</v>
      </c>
      <c r="E17" s="524">
        <f>'ASSUM 2'!Q11</f>
        <v>0</v>
      </c>
      <c r="F17" s="526">
        <f ca="1">IF(SUM($E17:E17)&lt;$C17*1000,MIN($C17*1000-SUM($C17:C17),$C17*1000*VLOOKUP(F$7,[0]!_4_15_YR_MACRS,3)),0)</f>
        <v>0</v>
      </c>
      <c r="G17" s="526">
        <f ca="1">IF(SUM($E17:F17)&lt;$C17*1000,MIN($C17*1000-SUM($C17:D17),$C17*1000*VLOOKUP(G$7,[0]!_4_15_YR_MACRS,3)),0)</f>
        <v>0</v>
      </c>
      <c r="H17" s="526">
        <f ca="1">IF(SUM($E17:G17)&lt;$C17*1000,MIN($C17*1000-SUM($C17:E17),$C17*1000*VLOOKUP(H$7,[0]!_4_15_YR_MACRS,3)),0)</f>
        <v>0</v>
      </c>
      <c r="I17" s="526">
        <f ca="1">IF(SUM($E17:H17)&lt;$C17*1000,MIN($C17*1000-SUM($C17:F17),$C17*1000*VLOOKUP(I$7,[0]!_4_15_YR_MACRS,3)),0)</f>
        <v>0</v>
      </c>
      <c r="J17" s="526">
        <f ca="1">IF(SUM($E17:I17)&lt;$C17*1000,MIN($C17*1000-SUM($C17:G17),$C17*1000*VLOOKUP(J$7,[0]!_4_15_YR_MACRS,3)),0)</f>
        <v>0</v>
      </c>
      <c r="K17" s="526">
        <f ca="1">IF(SUM($E17:J17)&lt;$C17*1000,MIN($C17*1000-SUM($C17:H17),$C17*1000*VLOOKUP(K$7,[0]!_4_15_YR_MACRS,3)),0)</f>
        <v>0</v>
      </c>
      <c r="L17" s="526">
        <f ca="1">IF(SUM($E17:K17)&lt;$C17*1000,MIN($C17*1000-SUM($C17:I17),$C17*1000*VLOOKUP(L$7,[0]!_4_15_YR_MACRS,3)),0)</f>
        <v>0</v>
      </c>
      <c r="M17" s="526">
        <f ca="1">IF(SUM($E17:L17)&lt;$C17*1000,MIN($C17*1000-SUM($C17:J17),$C17*1000*VLOOKUP(M$7,[0]!_4_15_YR_MACRS,3)),0)</f>
        <v>0</v>
      </c>
      <c r="N17" s="526">
        <f ca="1">IF(SUM($E17:M17)&lt;$C17*1000,MIN($C17*1000-SUM($C17:K17),$C17*1000*VLOOKUP(N$7,[0]!_4_15_YR_MACRS,3)),0)</f>
        <v>0</v>
      </c>
      <c r="O17" s="526">
        <f ca="1">IF(SUM($E17:N17)&lt;$C17*1000,MIN($C17*1000-SUM($C17:L17),$C17*1000*VLOOKUP(O$7,[0]!_4_15_YR_MACRS,3)),0)</f>
        <v>0</v>
      </c>
      <c r="P17" s="526">
        <f ca="1">IF(SUM($E17:O17)&lt;$C17*1000,MIN($C17*1000-SUM($C17:M17),$C17*1000*VLOOKUP(P$7,[0]!_4_15_YR_MACRS,3)),0)</f>
        <v>0</v>
      </c>
      <c r="Q17" s="526">
        <f ca="1">IF(SUM($E17:P17)&lt;$C17*1000,MIN($C17*1000-SUM($C17:N17),$C17*1000*VLOOKUP(Q$7,[0]!_4_15_YR_MACRS,3)),0)</f>
        <v>0</v>
      </c>
      <c r="R17" s="526">
        <f ca="1">IF(SUM($E17:Q17)&lt;$C17*1000,MIN($C17*1000-SUM($C17:O17),$C17*1000*VLOOKUP(R$7,[0]!_4_15_YR_MACRS,3)),0)</f>
        <v>0</v>
      </c>
      <c r="S17" s="526">
        <f ca="1">IF(SUM($E17:R17)&lt;$C17*1000,MIN($C17*1000-SUM($C17:P17),$C17*1000*VLOOKUP(S$7,[0]!_4_15_YR_MACRS,3)),0)</f>
        <v>0</v>
      </c>
      <c r="T17" s="526">
        <f ca="1">IF(SUM($E17:S17)&lt;$C17*1000,MIN($C17*1000-SUM($C17:Q17),$C17*1000*VLOOKUP(T$7,[0]!_4_15_YR_MACRS,3)),0)</f>
        <v>0</v>
      </c>
      <c r="U17" s="526">
        <f ca="1">IF(SUM($E17:T17)&lt;$C17*1000,MIN($C17*1000-SUM($C17:R17),$C17*1000*VLOOKUP(U$7,[0]!_4_15_YR_MACRS,3)),0)</f>
        <v>0</v>
      </c>
      <c r="V17" s="526">
        <f ca="1">IF(SUM($E17:U17)&lt;$C17*1000,MIN($C17*1000-SUM($C17:S17),$C17*1000*VLOOKUP(V$7,[0]!_4_15_YR_MACRS,3)),0)</f>
        <v>0</v>
      </c>
      <c r="W17" s="526">
        <f ca="1">IF(SUM($E17:V17)&lt;$C17*1000,MIN($C17*1000-SUM($C17:T17),$C17*1000*VLOOKUP(W$7,[0]!_4_15_YR_MACRS,3)),0)</f>
        <v>0</v>
      </c>
      <c r="X17" s="526">
        <f ca="1">IF(SUM($E17:W17)&lt;$C17*1000,MIN($C17*1000-SUM($C17:U17),$C17*1000*VLOOKUP(X$7,[0]!_4_15_YR_MACRS,3)),0)</f>
        <v>0</v>
      </c>
      <c r="Y17" s="526">
        <f ca="1">IF(SUM($E17:X17)&lt;$C17*1000,MIN($C17*1000-SUM($C17:V17),$C17*1000*VLOOKUP(Y$7,[0]!_4_15_YR_MACRS,3)),0)</f>
        <v>0</v>
      </c>
      <c r="Z17" s="526"/>
      <c r="AA17" s="527">
        <f ca="1">SUM(F17:Y17)-C17*1000</f>
        <v>0</v>
      </c>
      <c r="AB17" s="511"/>
    </row>
    <row r="18" spans="1:28">
      <c r="A18" s="514" t="str">
        <f ca="1">'TAXDEPR 144A'!A18</f>
        <v>Other</v>
      </c>
      <c r="B18" s="514">
        <f ca="1">'TAXDEPR 144A'!B18</f>
        <v>1</v>
      </c>
      <c r="C18" s="525">
        <f ca="1">'TAXDEPR 144A'!C18</f>
        <v>0</v>
      </c>
      <c r="D18" s="520">
        <f>'ASSUM 2'!P12</f>
        <v>1</v>
      </c>
      <c r="E18" s="524">
        <f>'ASSUM 2'!Q12</f>
        <v>0</v>
      </c>
      <c r="F18" s="526">
        <f ca="1">IF(SUM($E18:E18)&lt;$C18*1000,MIN($C18*1000-SUM($C18:C18),$C18*1000*VLOOKUP(F$7,[0]!_4_15_YR_MACRS,3)),0)</f>
        <v>0</v>
      </c>
      <c r="G18" s="526">
        <f ca="1">IF(SUM($E18:F18)&lt;$C18*1000,MIN($C18*1000-SUM($C18:D18),$C18*1000*VLOOKUP(G$7,[0]!_4_15_YR_MACRS,3)),0)</f>
        <v>0</v>
      </c>
      <c r="H18" s="526">
        <f ca="1">IF(SUM($E18:G18)&lt;$C18*1000,MIN($C18*1000-SUM($C18:E18),$C18*1000*VLOOKUP(H$7,[0]!_4_15_YR_MACRS,3)),0)</f>
        <v>0</v>
      </c>
      <c r="I18" s="526">
        <f ca="1">IF(SUM($E18:H18)&lt;$C18*1000,MIN($C18*1000-SUM($C18:F18),$C18*1000*VLOOKUP(I$7,[0]!_4_15_YR_MACRS,3)),0)</f>
        <v>0</v>
      </c>
      <c r="J18" s="526">
        <f ca="1">IF(SUM($E18:I18)&lt;$C18*1000,MIN($C18*1000-SUM($C18:G18),$C18*1000*VLOOKUP(J$7,[0]!_4_15_YR_MACRS,3)),0)</f>
        <v>0</v>
      </c>
      <c r="K18" s="526">
        <f ca="1">IF(SUM($E18:J18)&lt;$C18*1000,MIN($C18*1000-SUM($C18:H18),$C18*1000*VLOOKUP(K$7,[0]!_4_15_YR_MACRS,3)),0)</f>
        <v>0</v>
      </c>
      <c r="L18" s="526">
        <f ca="1">IF(SUM($E18:K18)&lt;$C18*1000,MIN($C18*1000-SUM($C18:I18),$C18*1000*VLOOKUP(L$7,[0]!_4_15_YR_MACRS,3)),0)</f>
        <v>0</v>
      </c>
      <c r="M18" s="526">
        <f ca="1">IF(SUM($E18:L18)&lt;$C18*1000,MIN($C18*1000-SUM($C18:J18),$C18*1000*VLOOKUP(M$7,[0]!_4_15_YR_MACRS,3)),0)</f>
        <v>0</v>
      </c>
      <c r="N18" s="526">
        <f ca="1">IF(SUM($E18:M18)&lt;$C18*1000,MIN($C18*1000-SUM($C18:K18),$C18*1000*VLOOKUP(N$7,[0]!_4_15_YR_MACRS,3)),0)</f>
        <v>0</v>
      </c>
      <c r="O18" s="526">
        <f ca="1">IF(SUM($E18:N18)&lt;$C18*1000,MIN($C18*1000-SUM($C18:L18),$C18*1000*VLOOKUP(O$7,[0]!_4_15_YR_MACRS,3)),0)</f>
        <v>0</v>
      </c>
      <c r="P18" s="526">
        <f ca="1">IF(SUM($E18:O18)&lt;$C18*1000,MIN($C18*1000-SUM($C18:M18),$C18*1000*VLOOKUP(P$7,[0]!_4_15_YR_MACRS,3)),0)</f>
        <v>0</v>
      </c>
      <c r="Q18" s="526">
        <f ca="1">IF(SUM($E18:P18)&lt;$C18*1000,MIN($C18*1000-SUM($C18:N18),$C18*1000*VLOOKUP(Q$7,[0]!_4_15_YR_MACRS,3)),0)</f>
        <v>0</v>
      </c>
      <c r="R18" s="526">
        <f ca="1">IF(SUM($E18:Q18)&lt;$C18*1000,MIN($C18*1000-SUM($C18:O18),$C18*1000*VLOOKUP(R$7,[0]!_4_15_YR_MACRS,3)),0)</f>
        <v>0</v>
      </c>
      <c r="S18" s="526">
        <f ca="1">IF(SUM($E18:R18)&lt;$C18*1000,MIN($C18*1000-SUM($C18:P18),$C18*1000*VLOOKUP(S$7,[0]!_4_15_YR_MACRS,3)),0)</f>
        <v>0</v>
      </c>
      <c r="T18" s="526">
        <f ca="1">IF(SUM($E18:S18)&lt;$C18*1000,MIN($C18*1000-SUM($C18:Q18),$C18*1000*VLOOKUP(T$7,[0]!_4_15_YR_MACRS,3)),0)</f>
        <v>0</v>
      </c>
      <c r="U18" s="526">
        <f ca="1">IF(SUM($E18:T18)&lt;$C18*1000,MIN($C18*1000-SUM($C18:R18),$C18*1000*VLOOKUP(U$7,[0]!_4_15_YR_MACRS,3)),0)</f>
        <v>0</v>
      </c>
      <c r="V18" s="526">
        <f ca="1">IF(SUM($E18:U18)&lt;$C18*1000,MIN($C18*1000-SUM($C18:S18),$C18*1000*VLOOKUP(V$7,[0]!_4_15_YR_MACRS,3)),0)</f>
        <v>0</v>
      </c>
      <c r="W18" s="526">
        <f ca="1">IF(SUM($E18:V18)&lt;$C18*1000,MIN($C18*1000-SUM($C18:T18),$C18*1000*VLOOKUP(W$7,[0]!_4_15_YR_MACRS,3)),0)</f>
        <v>0</v>
      </c>
      <c r="X18" s="526">
        <f ca="1">IF(SUM($E18:W18)&lt;$C18*1000,MIN($C18*1000-SUM($C18:U18),$C18*1000*VLOOKUP(X$7,[0]!_4_15_YR_MACRS,3)),0)</f>
        <v>0</v>
      </c>
      <c r="Y18" s="526">
        <f ca="1">IF(SUM($E18:X18)&lt;$C18*1000,MIN($C18*1000-SUM($C18:V18),$C18*1000*VLOOKUP(Y$7,[0]!_4_15_YR_MACRS,3)),0)</f>
        <v>0</v>
      </c>
      <c r="Z18" s="526"/>
      <c r="AA18" s="527">
        <f ca="1">SUM(F18:Y18)-C18*1000</f>
        <v>0</v>
      </c>
      <c r="AB18" s="511"/>
    </row>
    <row r="19" spans="1:28">
      <c r="A19" s="514" t="str">
        <f ca="1">'TAXDEPR 144A'!A19</f>
        <v>Duties on Equipment</v>
      </c>
      <c r="B19" s="514">
        <f ca="1">'TAXDEPR 144A'!B19</f>
        <v>1</v>
      </c>
      <c r="C19" s="525">
        <f ca="1">'TAXDEPR 144A'!C19</f>
        <v>0</v>
      </c>
      <c r="D19" s="520">
        <f>'ASSUM 2'!P13</f>
        <v>1</v>
      </c>
      <c r="E19" s="524">
        <f>'ASSUM 2'!Q13</f>
        <v>0</v>
      </c>
      <c r="F19" s="526">
        <f ca="1">IF(SUM($E19:E19)&lt;$C19*1000,MIN($C19*1000-SUM($C19:C19),$C19*1000*VLOOKUP(F$7,[0]!_4_15_YR_MACRS,3)),0)</f>
        <v>0</v>
      </c>
      <c r="G19" s="526">
        <f ca="1">IF(SUM($E19:F19)&lt;$C19*1000,MIN($C19*1000-SUM($C19:D19),$C19*1000*VLOOKUP(G$7,[0]!_4_15_YR_MACRS,3)),0)</f>
        <v>0</v>
      </c>
      <c r="H19" s="526">
        <f ca="1">IF(SUM($E19:G19)&lt;$C19*1000,MIN($C19*1000-SUM($C19:E19),$C19*1000*VLOOKUP(H$7,[0]!_4_15_YR_MACRS,3)),0)</f>
        <v>0</v>
      </c>
      <c r="I19" s="526">
        <f ca="1">IF(SUM($E19:H19)&lt;$C19*1000,MIN($C19*1000-SUM($C19:F19),$C19*1000*VLOOKUP(I$7,[0]!_4_15_YR_MACRS,3)),0)</f>
        <v>0</v>
      </c>
      <c r="J19" s="526">
        <f ca="1">IF(SUM($E19:I19)&lt;$C19*1000,MIN($C19*1000-SUM($C19:G19),$C19*1000*VLOOKUP(J$7,[0]!_4_15_YR_MACRS,3)),0)</f>
        <v>0</v>
      </c>
      <c r="K19" s="526">
        <f ca="1">IF(SUM($E19:J19)&lt;$C19*1000,MIN($C19*1000-SUM($C19:H19),$C19*1000*VLOOKUP(K$7,[0]!_4_15_YR_MACRS,3)),0)</f>
        <v>0</v>
      </c>
      <c r="L19" s="526">
        <f ca="1">IF(SUM($E19:K19)&lt;$C19*1000,MIN($C19*1000-SUM($C19:I19),$C19*1000*VLOOKUP(L$7,[0]!_4_15_YR_MACRS,3)),0)</f>
        <v>0</v>
      </c>
      <c r="M19" s="526">
        <f ca="1">IF(SUM($E19:L19)&lt;$C19*1000,MIN($C19*1000-SUM($C19:J19),$C19*1000*VLOOKUP(M$7,[0]!_4_15_YR_MACRS,3)),0)</f>
        <v>0</v>
      </c>
      <c r="N19" s="526">
        <f ca="1">IF(SUM($E19:M19)&lt;$C19*1000,MIN($C19*1000-SUM($C19:K19),$C19*1000*VLOOKUP(N$7,[0]!_4_15_YR_MACRS,3)),0)</f>
        <v>0</v>
      </c>
      <c r="O19" s="526">
        <f ca="1">IF(SUM($E19:N19)&lt;$C19*1000,MIN($C19*1000-SUM($C19:L19),$C19*1000*VLOOKUP(O$7,[0]!_4_15_YR_MACRS,3)),0)</f>
        <v>0</v>
      </c>
      <c r="P19" s="526">
        <f ca="1">IF(SUM($E19:O19)&lt;$C19*1000,MIN($C19*1000-SUM($C19:M19),$C19*1000*VLOOKUP(P$7,[0]!_4_15_YR_MACRS,3)),0)</f>
        <v>0</v>
      </c>
      <c r="Q19" s="526">
        <f ca="1">IF(SUM($E19:P19)&lt;$C19*1000,MIN($C19*1000-SUM($C19:N19),$C19*1000*VLOOKUP(Q$7,[0]!_4_15_YR_MACRS,3)),0)</f>
        <v>0</v>
      </c>
      <c r="R19" s="526">
        <f ca="1">IF(SUM($E19:Q19)&lt;$C19*1000,MIN($C19*1000-SUM($C19:O19),$C19*1000*VLOOKUP(R$7,[0]!_4_15_YR_MACRS,3)),0)</f>
        <v>0</v>
      </c>
      <c r="S19" s="526">
        <f ca="1">IF(SUM($E19:R19)&lt;$C19*1000,MIN($C19*1000-SUM($C19:P19),$C19*1000*VLOOKUP(S$7,[0]!_4_15_YR_MACRS,3)),0)</f>
        <v>0</v>
      </c>
      <c r="T19" s="526">
        <f ca="1">IF(SUM($E19:S19)&lt;$C19*1000,MIN($C19*1000-SUM($C19:Q19),$C19*1000*VLOOKUP(T$7,[0]!_4_15_YR_MACRS,3)),0)</f>
        <v>0</v>
      </c>
      <c r="U19" s="526">
        <f ca="1">IF(SUM($E19:T19)&lt;$C19*1000,MIN($C19*1000-SUM($C19:R19),$C19*1000*VLOOKUP(U$7,[0]!_4_15_YR_MACRS,3)),0)</f>
        <v>0</v>
      </c>
      <c r="V19" s="526">
        <f ca="1">IF(SUM($E19:U19)&lt;$C19*1000,MIN($C19*1000-SUM($C19:S19),$C19*1000*VLOOKUP(V$7,[0]!_4_15_YR_MACRS,3)),0)</f>
        <v>0</v>
      </c>
      <c r="W19" s="526">
        <f ca="1">IF(SUM($E19:V19)&lt;$C19*1000,MIN($C19*1000-SUM($C19:T19),$C19*1000*VLOOKUP(W$7,[0]!_4_15_YR_MACRS,3)),0)</f>
        <v>0</v>
      </c>
      <c r="X19" s="526">
        <f ca="1">IF(SUM($E19:W19)&lt;$C19*1000,MIN($C19*1000-SUM($C19:U19),$C19*1000*VLOOKUP(X$7,[0]!_4_15_YR_MACRS,3)),0)</f>
        <v>0</v>
      </c>
      <c r="Y19" s="526">
        <f ca="1">IF(SUM($E19:X19)&lt;$C19*1000,MIN($C19*1000-SUM($C19:V19),$C19*1000*VLOOKUP(Y$7,[0]!_4_15_YR_MACRS,3)),0)</f>
        <v>0</v>
      </c>
      <c r="Z19" s="526"/>
      <c r="AA19" s="527">
        <f ca="1">SUM(F19:Y19)-C19*1000</f>
        <v>0</v>
      </c>
      <c r="AB19" s="511"/>
    </row>
    <row r="20" spans="1:28">
      <c r="A20" s="514"/>
      <c r="B20" s="514"/>
      <c r="C20" s="525"/>
      <c r="D20" s="520"/>
      <c r="E20" s="524"/>
      <c r="F20" s="517"/>
      <c r="G20" s="517"/>
      <c r="H20" s="517"/>
      <c r="I20" s="517"/>
      <c r="J20" s="517"/>
      <c r="K20" s="517"/>
      <c r="L20" s="517"/>
      <c r="M20" s="517"/>
      <c r="N20" s="517"/>
      <c r="O20" s="517"/>
      <c r="P20" s="517"/>
      <c r="Q20" s="517"/>
      <c r="R20" s="517"/>
      <c r="S20" s="517"/>
      <c r="T20" s="517"/>
      <c r="U20" s="517"/>
      <c r="V20" s="517"/>
      <c r="W20" s="517"/>
      <c r="X20" s="517"/>
      <c r="Y20" s="517"/>
      <c r="Z20" s="517"/>
      <c r="AA20" s="527"/>
      <c r="AB20" s="511"/>
    </row>
    <row r="21" spans="1:28" ht="16.2">
      <c r="A21" s="523" t="str">
        <f ca="1">'TAXDEPR 144A'!A21</f>
        <v>Engineering / Construction</v>
      </c>
      <c r="B21" s="514"/>
      <c r="C21" s="525"/>
      <c r="D21" s="520"/>
      <c r="E21" s="524"/>
      <c r="F21" s="517"/>
      <c r="G21" s="517"/>
      <c r="H21" s="517"/>
      <c r="I21" s="517"/>
      <c r="J21" s="517"/>
      <c r="K21" s="517"/>
      <c r="L21" s="517"/>
      <c r="M21" s="517"/>
      <c r="N21" s="517"/>
      <c r="O21" s="517"/>
      <c r="P21" s="517"/>
      <c r="Q21" s="517"/>
      <c r="R21" s="517"/>
      <c r="S21" s="517"/>
      <c r="T21" s="517"/>
      <c r="U21" s="517"/>
      <c r="V21" s="517"/>
      <c r="W21" s="517"/>
      <c r="X21" s="517"/>
      <c r="Y21" s="517"/>
      <c r="Z21" s="517"/>
      <c r="AA21" s="527"/>
      <c r="AB21" s="511"/>
    </row>
    <row r="22" spans="1:28">
      <c r="A22" s="514" t="str">
        <f ca="1">'TAXDEPR 144A'!A22</f>
        <v>Other</v>
      </c>
      <c r="B22" s="514">
        <f ca="1">'TAXDEPR 144A'!B22</f>
        <v>1</v>
      </c>
      <c r="C22" s="525">
        <f ca="1">'TAXDEPR 144A'!C22</f>
        <v>0</v>
      </c>
      <c r="D22" s="520">
        <f>'ASSUM 2'!P17</f>
        <v>1</v>
      </c>
      <c r="E22" s="524">
        <f>'ASSUM 2'!Q17</f>
        <v>0</v>
      </c>
      <c r="F22" s="526">
        <f ca="1">IF(SUM($E22:E22)&lt;$C22*1000,MIN($C22*1000-SUM($C22:C22),$C22*1000*VLOOKUP(F$7,[0]!_4_15_YR_MACRS,3)),0)</f>
        <v>0</v>
      </c>
      <c r="G22" s="526">
        <f ca="1">IF(SUM($E22:F22)&lt;$C22*1000,MIN($C22*1000-SUM($C22:D22),$C22*1000*VLOOKUP(G$7,[0]!_4_15_YR_MACRS,3)),0)</f>
        <v>0</v>
      </c>
      <c r="H22" s="526">
        <f ca="1">IF(SUM($E22:G22)&lt;$C22*1000,MIN($C22*1000-SUM($C22:E22),$C22*1000*VLOOKUP(H$7,[0]!_4_15_YR_MACRS,3)),0)</f>
        <v>0</v>
      </c>
      <c r="I22" s="526">
        <f ca="1">IF(SUM($E22:H22)&lt;$C22*1000,MIN($C22*1000-SUM($C22:F22),$C22*1000*VLOOKUP(I$7,[0]!_4_15_YR_MACRS,3)),0)</f>
        <v>0</v>
      </c>
      <c r="J22" s="526">
        <f ca="1">IF(SUM($E22:I22)&lt;$C22*1000,MIN($C22*1000-SUM($C22:G22),$C22*1000*VLOOKUP(J$7,[0]!_4_15_YR_MACRS,3)),0)</f>
        <v>0</v>
      </c>
      <c r="K22" s="526">
        <f ca="1">IF(SUM($E22:J22)&lt;$C22*1000,MIN($C22*1000-SUM($C22:H22),$C22*1000*VLOOKUP(K$7,[0]!_4_15_YR_MACRS,3)),0)</f>
        <v>0</v>
      </c>
      <c r="L22" s="526">
        <f ca="1">IF(SUM($E22:K22)&lt;$C22*1000,MIN($C22*1000-SUM($C22:I22),$C22*1000*VLOOKUP(L$7,[0]!_4_15_YR_MACRS,3)),0)</f>
        <v>0</v>
      </c>
      <c r="M22" s="526">
        <f ca="1">IF(SUM($E22:L22)&lt;$C22*1000,MIN($C22*1000-SUM($C22:J22),$C22*1000*VLOOKUP(M$7,[0]!_4_15_YR_MACRS,3)),0)</f>
        <v>0</v>
      </c>
      <c r="N22" s="526">
        <f ca="1">IF(SUM($E22:M22)&lt;$C22*1000,MIN($C22*1000-SUM($C22:K22),$C22*1000*VLOOKUP(N$7,[0]!_4_15_YR_MACRS,3)),0)</f>
        <v>0</v>
      </c>
      <c r="O22" s="526">
        <f ca="1">IF(SUM($E22:N22)&lt;$C22*1000,MIN($C22*1000-SUM($C22:L22),$C22*1000*VLOOKUP(O$7,[0]!_4_15_YR_MACRS,3)),0)</f>
        <v>0</v>
      </c>
      <c r="P22" s="526">
        <f ca="1">IF(SUM($E22:O22)&lt;$C22*1000,MIN($C22*1000-SUM($C22:M22),$C22*1000*VLOOKUP(P$7,[0]!_4_15_YR_MACRS,3)),0)</f>
        <v>0</v>
      </c>
      <c r="Q22" s="526">
        <f ca="1">IF(SUM($E22:P22)&lt;$C22*1000,MIN($C22*1000-SUM($C22:N22),$C22*1000*VLOOKUP(Q$7,[0]!_4_15_YR_MACRS,3)),0)</f>
        <v>0</v>
      </c>
      <c r="R22" s="526">
        <f ca="1">IF(SUM($E22:Q22)&lt;$C22*1000,MIN($C22*1000-SUM($C22:O22),$C22*1000*VLOOKUP(R$7,[0]!_4_15_YR_MACRS,3)),0)</f>
        <v>0</v>
      </c>
      <c r="S22" s="526">
        <f ca="1">IF(SUM($E22:R22)&lt;$C22*1000,MIN($C22*1000-SUM($C22:P22),$C22*1000*VLOOKUP(S$7,[0]!_4_15_YR_MACRS,3)),0)</f>
        <v>0</v>
      </c>
      <c r="T22" s="526">
        <f ca="1">IF(SUM($E22:S22)&lt;$C22*1000,MIN($C22*1000-SUM($C22:Q22),$C22*1000*VLOOKUP(T$7,[0]!_4_15_YR_MACRS,3)),0)</f>
        <v>0</v>
      </c>
      <c r="U22" s="526">
        <f ca="1">IF(SUM($E22:T22)&lt;$C22*1000,MIN($C22*1000-SUM($C22:R22),$C22*1000*VLOOKUP(U$7,[0]!_4_15_YR_MACRS,3)),0)</f>
        <v>0</v>
      </c>
      <c r="V22" s="526">
        <f ca="1">IF(SUM($E22:U22)&lt;$C22*1000,MIN($C22*1000-SUM($C22:S22),$C22*1000*VLOOKUP(V$7,[0]!_4_15_YR_MACRS,3)),0)</f>
        <v>0</v>
      </c>
      <c r="W22" s="526">
        <f ca="1">IF(SUM($E22:V22)&lt;$C22*1000,MIN($C22*1000-SUM($C22:T22),$C22*1000*VLOOKUP(W$7,[0]!_4_15_YR_MACRS,3)),0)</f>
        <v>0</v>
      </c>
      <c r="X22" s="526">
        <f ca="1">IF(SUM($E22:W22)&lt;$C22*1000,MIN($C22*1000-SUM($C22:U22),$C22*1000*VLOOKUP(X$7,[0]!_4_15_YR_MACRS,3)),0)</f>
        <v>0</v>
      </c>
      <c r="Y22" s="526">
        <f ca="1">IF(SUM($E22:X22)&lt;$C22*1000,MIN($C22*1000-SUM($C22:V22),$C22*1000*VLOOKUP(Y$7,[0]!_4_15_YR_MACRS,3)),0)</f>
        <v>0</v>
      </c>
      <c r="Z22" s="526"/>
      <c r="AA22" s="527">
        <f t="shared" ref="AA22:AA27" ca="1" si="0">SUM(F22:Y22)-C22*1000</f>
        <v>0</v>
      </c>
      <c r="AB22" s="511"/>
    </row>
    <row r="23" spans="1:28">
      <c r="A23" s="514" t="str">
        <f ca="1">'TAXDEPR 144A'!A23</f>
        <v>Other</v>
      </c>
      <c r="B23" s="514">
        <f ca="1">'TAXDEPR 144A'!B23</f>
        <v>1</v>
      </c>
      <c r="C23" s="525">
        <f ca="1">'TAXDEPR 144A'!C23</f>
        <v>0</v>
      </c>
      <c r="D23" s="520">
        <f>'ASSUM 2'!P18</f>
        <v>1</v>
      </c>
      <c r="E23" s="524">
        <f>'ASSUM 2'!Q18</f>
        <v>0</v>
      </c>
      <c r="F23" s="526">
        <f ca="1">IF(SUM($E23:E23)&lt;$C23*1000,MIN($C23*1000-SUM($C23:C23),$C23*1000*VLOOKUP(F$7,[0]!_4_15_YR_MACRS,3)),0)</f>
        <v>0</v>
      </c>
      <c r="G23" s="526">
        <f ca="1">IF(SUM($E23:F23)&lt;$C23*1000,MIN($C23*1000-SUM($C23:D23),$C23*1000*VLOOKUP(G$7,[0]!_4_15_YR_MACRS,3)),0)</f>
        <v>0</v>
      </c>
      <c r="H23" s="526">
        <f ca="1">IF(SUM($E23:G23)&lt;$C23*1000,MIN($C23*1000-SUM($C23:E23),$C23*1000*VLOOKUP(H$7,[0]!_4_15_YR_MACRS,3)),0)</f>
        <v>0</v>
      </c>
      <c r="I23" s="526">
        <f ca="1">IF(SUM($E23:H23)&lt;$C23*1000,MIN($C23*1000-SUM($C23:F23),$C23*1000*VLOOKUP(I$7,[0]!_4_15_YR_MACRS,3)),0)</f>
        <v>0</v>
      </c>
      <c r="J23" s="526">
        <f ca="1">IF(SUM($E23:I23)&lt;$C23*1000,MIN($C23*1000-SUM($C23:G23),$C23*1000*VLOOKUP(J$7,[0]!_4_15_YR_MACRS,3)),0)</f>
        <v>0</v>
      </c>
      <c r="K23" s="526">
        <f ca="1">IF(SUM($E23:J23)&lt;$C23*1000,MIN($C23*1000-SUM($C23:H23),$C23*1000*VLOOKUP(K$7,[0]!_4_15_YR_MACRS,3)),0)</f>
        <v>0</v>
      </c>
      <c r="L23" s="526">
        <f ca="1">IF(SUM($E23:K23)&lt;$C23*1000,MIN($C23*1000-SUM($C23:I23),$C23*1000*VLOOKUP(L$7,[0]!_4_15_YR_MACRS,3)),0)</f>
        <v>0</v>
      </c>
      <c r="M23" s="526">
        <f ca="1">IF(SUM($E23:L23)&lt;$C23*1000,MIN($C23*1000-SUM($C23:J23),$C23*1000*VLOOKUP(M$7,[0]!_4_15_YR_MACRS,3)),0)</f>
        <v>0</v>
      </c>
      <c r="N23" s="526">
        <f ca="1">IF(SUM($E23:M23)&lt;$C23*1000,MIN($C23*1000-SUM($C23:K23),$C23*1000*VLOOKUP(N$7,[0]!_4_15_YR_MACRS,3)),0)</f>
        <v>0</v>
      </c>
      <c r="O23" s="526">
        <f ca="1">IF(SUM($E23:N23)&lt;$C23*1000,MIN($C23*1000-SUM($C23:L23),$C23*1000*VLOOKUP(O$7,[0]!_4_15_YR_MACRS,3)),0)</f>
        <v>0</v>
      </c>
      <c r="P23" s="526">
        <f ca="1">IF(SUM($E23:O23)&lt;$C23*1000,MIN($C23*1000-SUM($C23:M23),$C23*1000*VLOOKUP(P$7,[0]!_4_15_YR_MACRS,3)),0)</f>
        <v>0</v>
      </c>
      <c r="Q23" s="526">
        <f ca="1">IF(SUM($E23:P23)&lt;$C23*1000,MIN($C23*1000-SUM($C23:N23),$C23*1000*VLOOKUP(Q$7,[0]!_4_15_YR_MACRS,3)),0)</f>
        <v>0</v>
      </c>
      <c r="R23" s="526">
        <f ca="1">IF(SUM($E23:Q23)&lt;$C23*1000,MIN($C23*1000-SUM($C23:O23),$C23*1000*VLOOKUP(R$7,[0]!_4_15_YR_MACRS,3)),0)</f>
        <v>0</v>
      </c>
      <c r="S23" s="526">
        <f ca="1">IF(SUM($E23:R23)&lt;$C23*1000,MIN($C23*1000-SUM($C23:P23),$C23*1000*VLOOKUP(S$7,[0]!_4_15_YR_MACRS,3)),0)</f>
        <v>0</v>
      </c>
      <c r="T23" s="526">
        <f ca="1">IF(SUM($E23:S23)&lt;$C23*1000,MIN($C23*1000-SUM($C23:Q23),$C23*1000*VLOOKUP(T$7,[0]!_4_15_YR_MACRS,3)),0)</f>
        <v>0</v>
      </c>
      <c r="U23" s="526">
        <f ca="1">IF(SUM($E23:T23)&lt;$C23*1000,MIN($C23*1000-SUM($C23:R23),$C23*1000*VLOOKUP(U$7,[0]!_4_15_YR_MACRS,3)),0)</f>
        <v>0</v>
      </c>
      <c r="V23" s="526">
        <f ca="1">IF(SUM($E23:U23)&lt;$C23*1000,MIN($C23*1000-SUM($C23:S23),$C23*1000*VLOOKUP(V$7,[0]!_4_15_YR_MACRS,3)),0)</f>
        <v>0</v>
      </c>
      <c r="W23" s="526">
        <f ca="1">IF(SUM($E23:V23)&lt;$C23*1000,MIN($C23*1000-SUM($C23:T23),$C23*1000*VLOOKUP(W$7,[0]!_4_15_YR_MACRS,3)),0)</f>
        <v>0</v>
      </c>
      <c r="X23" s="526">
        <f ca="1">IF(SUM($E23:W23)&lt;$C23*1000,MIN($C23*1000-SUM($C23:U23),$C23*1000*VLOOKUP(X$7,[0]!_4_15_YR_MACRS,3)),0)</f>
        <v>0</v>
      </c>
      <c r="Y23" s="526">
        <f ca="1">IF(SUM($E23:X23)&lt;$C23*1000,MIN($C23*1000-SUM($C23:V23),$C23*1000*VLOOKUP(Y$7,[0]!_4_15_YR_MACRS,3)),0)</f>
        <v>0</v>
      </c>
      <c r="Z23" s="526"/>
      <c r="AA23" s="527">
        <f t="shared" ca="1" si="0"/>
        <v>0</v>
      </c>
      <c r="AB23" s="511"/>
    </row>
    <row r="24" spans="1:28">
      <c r="A24" s="514" t="str">
        <f ca="1">'TAXDEPR 144A'!A24</f>
        <v>Other</v>
      </c>
      <c r="B24" s="514">
        <f ca="1">'TAXDEPR 144A'!B24</f>
        <v>1</v>
      </c>
      <c r="C24" s="525">
        <f ca="1">'TAXDEPR 144A'!C24</f>
        <v>0</v>
      </c>
      <c r="D24" s="520">
        <f>'ASSUM 2'!P19</f>
        <v>1</v>
      </c>
      <c r="E24" s="524">
        <f>'ASSUM 2'!Q19</f>
        <v>0</v>
      </c>
      <c r="F24" s="526">
        <f ca="1">IF(SUM($E24:E24)&lt;$C24*1000,MIN($C24*1000-SUM($C24:C24),$C24*1000*VLOOKUP(F$7,[0]!_4_15_YR_MACRS,3)),0)</f>
        <v>0</v>
      </c>
      <c r="G24" s="526">
        <f ca="1">IF(SUM($E24:F24)&lt;$C24*1000,MIN($C24*1000-SUM($C24:D24),$C24*1000*VLOOKUP(G$7,[0]!_4_15_YR_MACRS,3)),0)</f>
        <v>0</v>
      </c>
      <c r="H24" s="526">
        <f ca="1">IF(SUM($E24:G24)&lt;$C24*1000,MIN($C24*1000-SUM($C24:E24),$C24*1000*VLOOKUP(H$7,[0]!_4_15_YR_MACRS,3)),0)</f>
        <v>0</v>
      </c>
      <c r="I24" s="526">
        <f ca="1">IF(SUM($E24:H24)&lt;$C24*1000,MIN($C24*1000-SUM($C24:F24),$C24*1000*VLOOKUP(I$7,[0]!_4_15_YR_MACRS,3)),0)</f>
        <v>0</v>
      </c>
      <c r="J24" s="526">
        <f ca="1">IF(SUM($E24:I24)&lt;$C24*1000,MIN($C24*1000-SUM($C24:G24),$C24*1000*VLOOKUP(J$7,[0]!_4_15_YR_MACRS,3)),0)</f>
        <v>0</v>
      </c>
      <c r="K24" s="526">
        <f ca="1">IF(SUM($E24:J24)&lt;$C24*1000,MIN($C24*1000-SUM($C24:H24),$C24*1000*VLOOKUP(K$7,[0]!_4_15_YR_MACRS,3)),0)</f>
        <v>0</v>
      </c>
      <c r="L24" s="526">
        <f ca="1">IF(SUM($E24:K24)&lt;$C24*1000,MIN($C24*1000-SUM($C24:I24),$C24*1000*VLOOKUP(L$7,[0]!_4_15_YR_MACRS,3)),0)</f>
        <v>0</v>
      </c>
      <c r="M24" s="526">
        <f ca="1">IF(SUM($E24:L24)&lt;$C24*1000,MIN($C24*1000-SUM($C24:J24),$C24*1000*VLOOKUP(M$7,[0]!_4_15_YR_MACRS,3)),0)</f>
        <v>0</v>
      </c>
      <c r="N24" s="526">
        <f ca="1">IF(SUM($E24:M24)&lt;$C24*1000,MIN($C24*1000-SUM($C24:K24),$C24*1000*VLOOKUP(N$7,[0]!_4_15_YR_MACRS,3)),0)</f>
        <v>0</v>
      </c>
      <c r="O24" s="526">
        <f ca="1">IF(SUM($E24:N24)&lt;$C24*1000,MIN($C24*1000-SUM($C24:L24),$C24*1000*VLOOKUP(O$7,[0]!_4_15_YR_MACRS,3)),0)</f>
        <v>0</v>
      </c>
      <c r="P24" s="526">
        <f ca="1">IF(SUM($E24:O24)&lt;$C24*1000,MIN($C24*1000-SUM($C24:M24),$C24*1000*VLOOKUP(P$7,[0]!_4_15_YR_MACRS,3)),0)</f>
        <v>0</v>
      </c>
      <c r="Q24" s="526">
        <f ca="1">IF(SUM($E24:P24)&lt;$C24*1000,MIN($C24*1000-SUM($C24:N24),$C24*1000*VLOOKUP(Q$7,[0]!_4_15_YR_MACRS,3)),0)</f>
        <v>0</v>
      </c>
      <c r="R24" s="526">
        <f ca="1">IF(SUM($E24:Q24)&lt;$C24*1000,MIN($C24*1000-SUM($C24:O24),$C24*1000*VLOOKUP(R$7,[0]!_4_15_YR_MACRS,3)),0)</f>
        <v>0</v>
      </c>
      <c r="S24" s="526">
        <f ca="1">IF(SUM($E24:R24)&lt;$C24*1000,MIN($C24*1000-SUM($C24:P24),$C24*1000*VLOOKUP(S$7,[0]!_4_15_YR_MACRS,3)),0)</f>
        <v>0</v>
      </c>
      <c r="T24" s="526">
        <f ca="1">IF(SUM($E24:S24)&lt;$C24*1000,MIN($C24*1000-SUM($C24:Q24),$C24*1000*VLOOKUP(T$7,[0]!_4_15_YR_MACRS,3)),0)</f>
        <v>0</v>
      </c>
      <c r="U24" s="526">
        <f ca="1">IF(SUM($E24:T24)&lt;$C24*1000,MIN($C24*1000-SUM($C24:R24),$C24*1000*VLOOKUP(U$7,[0]!_4_15_YR_MACRS,3)),0)</f>
        <v>0</v>
      </c>
      <c r="V24" s="526">
        <f ca="1">IF(SUM($E24:U24)&lt;$C24*1000,MIN($C24*1000-SUM($C24:S24),$C24*1000*VLOOKUP(V$7,[0]!_4_15_YR_MACRS,3)),0)</f>
        <v>0</v>
      </c>
      <c r="W24" s="526">
        <f ca="1">IF(SUM($E24:V24)&lt;$C24*1000,MIN($C24*1000-SUM($C24:T24),$C24*1000*VLOOKUP(W$7,[0]!_4_15_YR_MACRS,3)),0)</f>
        <v>0</v>
      </c>
      <c r="X24" s="526">
        <f ca="1">IF(SUM($E24:W24)&lt;$C24*1000,MIN($C24*1000-SUM($C24:U24),$C24*1000*VLOOKUP(X$7,[0]!_4_15_YR_MACRS,3)),0)</f>
        <v>0</v>
      </c>
      <c r="Y24" s="526">
        <f ca="1">IF(SUM($E24:X24)&lt;$C24*1000,MIN($C24*1000-SUM($C24:V24),$C24*1000*VLOOKUP(Y$7,[0]!_4_15_YR_MACRS,3)),0)</f>
        <v>0</v>
      </c>
      <c r="Z24" s="526"/>
      <c r="AA24" s="527">
        <f t="shared" ca="1" si="0"/>
        <v>0</v>
      </c>
      <c r="AB24" s="511"/>
    </row>
    <row r="25" spans="1:28">
      <c r="A25" s="514" t="str">
        <f ca="1">'TAXDEPR 144A'!A25</f>
        <v>Other</v>
      </c>
      <c r="B25" s="514">
        <f ca="1">'TAXDEPR 144A'!B25</f>
        <v>1</v>
      </c>
      <c r="C25" s="525">
        <f ca="1">'TAXDEPR 144A'!C25</f>
        <v>0</v>
      </c>
      <c r="D25" s="520">
        <f>'ASSUM 2'!P20</f>
        <v>1</v>
      </c>
      <c r="E25" s="524">
        <f>'ASSUM 2'!Q20</f>
        <v>0</v>
      </c>
      <c r="F25" s="526">
        <f ca="1">IF(SUM($E25:E25)&lt;$C25*1000,MIN($C25*1000-SUM($C25:C25),$C25*1000*VLOOKUP(F$7,[0]!_4_15_YR_MACRS,3)),0)</f>
        <v>0</v>
      </c>
      <c r="G25" s="526">
        <f ca="1">IF(SUM($E25:F25)&lt;$C25*1000,MIN($C25*1000-SUM($C25:D25),$C25*1000*VLOOKUP(G$7,[0]!_4_15_YR_MACRS,3)),0)</f>
        <v>0</v>
      </c>
      <c r="H25" s="526">
        <f ca="1">IF(SUM($E25:G25)&lt;$C25*1000,MIN($C25*1000-SUM($C25:E25),$C25*1000*VLOOKUP(H$7,[0]!_4_15_YR_MACRS,3)),0)</f>
        <v>0</v>
      </c>
      <c r="I25" s="526">
        <f ca="1">IF(SUM($E25:H25)&lt;$C25*1000,MIN($C25*1000-SUM($C25:F25),$C25*1000*VLOOKUP(I$7,[0]!_4_15_YR_MACRS,3)),0)</f>
        <v>0</v>
      </c>
      <c r="J25" s="526">
        <f ca="1">IF(SUM($E25:I25)&lt;$C25*1000,MIN($C25*1000-SUM($C25:G25),$C25*1000*VLOOKUP(J$7,[0]!_4_15_YR_MACRS,3)),0)</f>
        <v>0</v>
      </c>
      <c r="K25" s="526">
        <f ca="1">IF(SUM($E25:J25)&lt;$C25*1000,MIN($C25*1000-SUM($C25:H25),$C25*1000*VLOOKUP(K$7,[0]!_4_15_YR_MACRS,3)),0)</f>
        <v>0</v>
      </c>
      <c r="L25" s="526">
        <f ca="1">IF(SUM($E25:K25)&lt;$C25*1000,MIN($C25*1000-SUM($C25:I25),$C25*1000*VLOOKUP(L$7,[0]!_4_15_YR_MACRS,3)),0)</f>
        <v>0</v>
      </c>
      <c r="M25" s="526">
        <f ca="1">IF(SUM($E25:L25)&lt;$C25*1000,MIN($C25*1000-SUM($C25:J25),$C25*1000*VLOOKUP(M$7,[0]!_4_15_YR_MACRS,3)),0)</f>
        <v>0</v>
      </c>
      <c r="N25" s="526">
        <f ca="1">IF(SUM($E25:M25)&lt;$C25*1000,MIN($C25*1000-SUM($C25:K25),$C25*1000*VLOOKUP(N$7,[0]!_4_15_YR_MACRS,3)),0)</f>
        <v>0</v>
      </c>
      <c r="O25" s="526">
        <f ca="1">IF(SUM($E25:N25)&lt;$C25*1000,MIN($C25*1000-SUM($C25:L25),$C25*1000*VLOOKUP(O$7,[0]!_4_15_YR_MACRS,3)),0)</f>
        <v>0</v>
      </c>
      <c r="P25" s="526">
        <f ca="1">IF(SUM($E25:O25)&lt;$C25*1000,MIN($C25*1000-SUM($C25:M25),$C25*1000*VLOOKUP(P$7,[0]!_4_15_YR_MACRS,3)),0)</f>
        <v>0</v>
      </c>
      <c r="Q25" s="526">
        <f ca="1">IF(SUM($E25:P25)&lt;$C25*1000,MIN($C25*1000-SUM($C25:N25),$C25*1000*VLOOKUP(Q$7,[0]!_4_15_YR_MACRS,3)),0)</f>
        <v>0</v>
      </c>
      <c r="R25" s="526">
        <f ca="1">IF(SUM($E25:Q25)&lt;$C25*1000,MIN($C25*1000-SUM($C25:O25),$C25*1000*VLOOKUP(R$7,[0]!_4_15_YR_MACRS,3)),0)</f>
        <v>0</v>
      </c>
      <c r="S25" s="526">
        <f ca="1">IF(SUM($E25:R25)&lt;$C25*1000,MIN($C25*1000-SUM($C25:P25),$C25*1000*VLOOKUP(S$7,[0]!_4_15_YR_MACRS,3)),0)</f>
        <v>0</v>
      </c>
      <c r="T25" s="526">
        <f ca="1">IF(SUM($E25:S25)&lt;$C25*1000,MIN($C25*1000-SUM($C25:Q25),$C25*1000*VLOOKUP(T$7,[0]!_4_15_YR_MACRS,3)),0)</f>
        <v>0</v>
      </c>
      <c r="U25" s="526">
        <f ca="1">IF(SUM($E25:T25)&lt;$C25*1000,MIN($C25*1000-SUM($C25:R25),$C25*1000*VLOOKUP(U$7,[0]!_4_15_YR_MACRS,3)),0)</f>
        <v>0</v>
      </c>
      <c r="V25" s="526">
        <f ca="1">IF(SUM($E25:U25)&lt;$C25*1000,MIN($C25*1000-SUM($C25:S25),$C25*1000*VLOOKUP(V$7,[0]!_4_15_YR_MACRS,3)),0)</f>
        <v>0</v>
      </c>
      <c r="W25" s="526">
        <f ca="1">IF(SUM($E25:V25)&lt;$C25*1000,MIN($C25*1000-SUM($C25:T25),$C25*1000*VLOOKUP(W$7,[0]!_4_15_YR_MACRS,3)),0)</f>
        <v>0</v>
      </c>
      <c r="X25" s="526">
        <f ca="1">IF(SUM($E25:W25)&lt;$C25*1000,MIN($C25*1000-SUM($C25:U25),$C25*1000*VLOOKUP(X$7,[0]!_4_15_YR_MACRS,3)),0)</f>
        <v>0</v>
      </c>
      <c r="Y25" s="526">
        <f ca="1">IF(SUM($E25:X25)&lt;$C25*1000,MIN($C25*1000-SUM($C25:V25),$C25*1000*VLOOKUP(Y$7,[0]!_4_15_YR_MACRS,3)),0)</f>
        <v>0</v>
      </c>
      <c r="Z25" s="526"/>
      <c r="AA25" s="527">
        <f t="shared" ca="1" si="0"/>
        <v>0</v>
      </c>
      <c r="AB25" s="511"/>
    </row>
    <row r="26" spans="1:28">
      <c r="A26" s="514" t="str">
        <f ca="1">'TAXDEPR 144A'!A26</f>
        <v>Other</v>
      </c>
      <c r="B26" s="514">
        <f ca="1">'TAXDEPR 144A'!B26</f>
        <v>1</v>
      </c>
      <c r="C26" s="525">
        <f ca="1">'TAXDEPR 144A'!C26</f>
        <v>0</v>
      </c>
      <c r="D26" s="520">
        <f>'ASSUM 2'!P21</f>
        <v>1</v>
      </c>
      <c r="E26" s="524">
        <f>'ASSUM 2'!Q21</f>
        <v>0</v>
      </c>
      <c r="F26" s="526">
        <f ca="1">IF(SUM($E26:E26)&lt;$C26*1000,MIN($C26*1000-SUM($C26:C26),$C26*1000*VLOOKUP(F$7,[0]!_4_15_YR_MACRS,3)),0)</f>
        <v>0</v>
      </c>
      <c r="G26" s="526">
        <f ca="1">IF(SUM($E26:F26)&lt;$C26*1000,MIN($C26*1000-SUM($C26:D26),$C26*1000*VLOOKUP(G$7,[0]!_4_15_YR_MACRS,3)),0)</f>
        <v>0</v>
      </c>
      <c r="H26" s="526">
        <f ca="1">IF(SUM($E26:G26)&lt;$C26*1000,MIN($C26*1000-SUM($C26:E26),$C26*1000*VLOOKUP(H$7,[0]!_4_15_YR_MACRS,3)),0)</f>
        <v>0</v>
      </c>
      <c r="I26" s="526">
        <f ca="1">IF(SUM($E26:H26)&lt;$C26*1000,MIN($C26*1000-SUM($C26:F26),$C26*1000*VLOOKUP(I$7,[0]!_4_15_YR_MACRS,3)),0)</f>
        <v>0</v>
      </c>
      <c r="J26" s="526">
        <f ca="1">IF(SUM($E26:I26)&lt;$C26*1000,MIN($C26*1000-SUM($C26:G26),$C26*1000*VLOOKUP(J$7,[0]!_4_15_YR_MACRS,3)),0)</f>
        <v>0</v>
      </c>
      <c r="K26" s="526">
        <f ca="1">IF(SUM($E26:J26)&lt;$C26*1000,MIN($C26*1000-SUM($C26:H26),$C26*1000*VLOOKUP(K$7,[0]!_4_15_YR_MACRS,3)),0)</f>
        <v>0</v>
      </c>
      <c r="L26" s="526">
        <f ca="1">IF(SUM($E26:K26)&lt;$C26*1000,MIN($C26*1000-SUM($C26:I26),$C26*1000*VLOOKUP(L$7,[0]!_4_15_YR_MACRS,3)),0)</f>
        <v>0</v>
      </c>
      <c r="M26" s="526">
        <f ca="1">IF(SUM($E26:L26)&lt;$C26*1000,MIN($C26*1000-SUM($C26:J26),$C26*1000*VLOOKUP(M$7,[0]!_4_15_YR_MACRS,3)),0)</f>
        <v>0</v>
      </c>
      <c r="N26" s="526">
        <f ca="1">IF(SUM($E26:M26)&lt;$C26*1000,MIN($C26*1000-SUM($C26:K26),$C26*1000*VLOOKUP(N$7,[0]!_4_15_YR_MACRS,3)),0)</f>
        <v>0</v>
      </c>
      <c r="O26" s="526">
        <f ca="1">IF(SUM($E26:N26)&lt;$C26*1000,MIN($C26*1000-SUM($C26:L26),$C26*1000*VLOOKUP(O$7,[0]!_4_15_YR_MACRS,3)),0)</f>
        <v>0</v>
      </c>
      <c r="P26" s="526">
        <f ca="1">IF(SUM($E26:O26)&lt;$C26*1000,MIN($C26*1000-SUM($C26:M26),$C26*1000*VLOOKUP(P$7,[0]!_4_15_YR_MACRS,3)),0)</f>
        <v>0</v>
      </c>
      <c r="Q26" s="526">
        <f ca="1">IF(SUM($E26:P26)&lt;$C26*1000,MIN($C26*1000-SUM($C26:N26),$C26*1000*VLOOKUP(Q$7,[0]!_4_15_YR_MACRS,3)),0)</f>
        <v>0</v>
      </c>
      <c r="R26" s="526">
        <f ca="1">IF(SUM($E26:Q26)&lt;$C26*1000,MIN($C26*1000-SUM($C26:O26),$C26*1000*VLOOKUP(R$7,[0]!_4_15_YR_MACRS,3)),0)</f>
        <v>0</v>
      </c>
      <c r="S26" s="526">
        <f ca="1">IF(SUM($E26:R26)&lt;$C26*1000,MIN($C26*1000-SUM($C26:P26),$C26*1000*VLOOKUP(S$7,[0]!_4_15_YR_MACRS,3)),0)</f>
        <v>0</v>
      </c>
      <c r="T26" s="526">
        <f ca="1">IF(SUM($E26:S26)&lt;$C26*1000,MIN($C26*1000-SUM($C26:Q26),$C26*1000*VLOOKUP(T$7,[0]!_4_15_YR_MACRS,3)),0)</f>
        <v>0</v>
      </c>
      <c r="U26" s="526">
        <f ca="1">IF(SUM($E26:T26)&lt;$C26*1000,MIN($C26*1000-SUM($C26:R26),$C26*1000*VLOOKUP(U$7,[0]!_4_15_YR_MACRS,3)),0)</f>
        <v>0</v>
      </c>
      <c r="V26" s="526">
        <f ca="1">IF(SUM($E26:U26)&lt;$C26*1000,MIN($C26*1000-SUM($C26:S26),$C26*1000*VLOOKUP(V$7,[0]!_4_15_YR_MACRS,3)),0)</f>
        <v>0</v>
      </c>
      <c r="W26" s="526">
        <f ca="1">IF(SUM($E26:V26)&lt;$C26*1000,MIN($C26*1000-SUM($C26:T26),$C26*1000*VLOOKUP(W$7,[0]!_4_15_YR_MACRS,3)),0)</f>
        <v>0</v>
      </c>
      <c r="X26" s="526">
        <f ca="1">IF(SUM($E26:W26)&lt;$C26*1000,MIN($C26*1000-SUM($C26:U26),$C26*1000*VLOOKUP(X$7,[0]!_4_15_YR_MACRS,3)),0)</f>
        <v>0</v>
      </c>
      <c r="Y26" s="526">
        <f ca="1">IF(SUM($E26:X26)&lt;$C26*1000,MIN($C26*1000-SUM($C26:V26),$C26*1000*VLOOKUP(Y$7,[0]!_4_15_YR_MACRS,3)),0)</f>
        <v>0</v>
      </c>
      <c r="Z26" s="526"/>
      <c r="AA26" s="527">
        <f t="shared" ca="1" si="0"/>
        <v>0</v>
      </c>
      <c r="AB26" s="511"/>
    </row>
    <row r="27" spans="1:28">
      <c r="A27" s="514" t="str">
        <f ca="1">'TAXDEPR 144A'!A27</f>
        <v>Other</v>
      </c>
      <c r="B27" s="514">
        <f ca="1">'TAXDEPR 144A'!B27</f>
        <v>1</v>
      </c>
      <c r="C27" s="525">
        <f ca="1">'TAXDEPR 144A'!C27</f>
        <v>0</v>
      </c>
      <c r="D27" s="520">
        <f>'ASSUM 2'!P22</f>
        <v>1</v>
      </c>
      <c r="E27" s="524">
        <f>'ASSUM 2'!Q22</f>
        <v>0</v>
      </c>
      <c r="F27" s="526">
        <f ca="1">IF(SUM($E27:E27)&lt;$C27*1000,MIN($C27*1000-SUM($C27:C27),$C27*1000*VLOOKUP(F$7,[0]!_4_15_YR_MACRS,3)),0)</f>
        <v>0</v>
      </c>
      <c r="G27" s="526">
        <f ca="1">IF(SUM($E27:F27)&lt;$C27*1000,MIN($C27*1000-SUM($C27:D27),$C27*1000*VLOOKUP(G$7,[0]!_4_15_YR_MACRS,3)),0)</f>
        <v>0</v>
      </c>
      <c r="H27" s="526">
        <f ca="1">IF(SUM($E27:G27)&lt;$C27*1000,MIN($C27*1000-SUM($C27:E27),$C27*1000*VLOOKUP(H$7,[0]!_4_15_YR_MACRS,3)),0)</f>
        <v>0</v>
      </c>
      <c r="I27" s="526">
        <f ca="1">IF(SUM($E27:H27)&lt;$C27*1000,MIN($C27*1000-SUM($C27:F27),$C27*1000*VLOOKUP(I$7,[0]!_4_15_YR_MACRS,3)),0)</f>
        <v>0</v>
      </c>
      <c r="J27" s="526">
        <f ca="1">IF(SUM($E27:I27)&lt;$C27*1000,MIN($C27*1000-SUM($C27:G27),$C27*1000*VLOOKUP(J$7,[0]!_4_15_YR_MACRS,3)),0)</f>
        <v>0</v>
      </c>
      <c r="K27" s="526">
        <f ca="1">IF(SUM($E27:J27)&lt;$C27*1000,MIN($C27*1000-SUM($C27:H27),$C27*1000*VLOOKUP(K$7,[0]!_4_15_YR_MACRS,3)),0)</f>
        <v>0</v>
      </c>
      <c r="L27" s="526">
        <f ca="1">IF(SUM($E27:K27)&lt;$C27*1000,MIN($C27*1000-SUM($C27:I27),$C27*1000*VLOOKUP(L$7,[0]!_4_15_YR_MACRS,3)),0)</f>
        <v>0</v>
      </c>
      <c r="M27" s="526">
        <f ca="1">IF(SUM($E27:L27)&lt;$C27*1000,MIN($C27*1000-SUM($C27:J27),$C27*1000*VLOOKUP(M$7,[0]!_4_15_YR_MACRS,3)),0)</f>
        <v>0</v>
      </c>
      <c r="N27" s="526">
        <f ca="1">IF(SUM($E27:M27)&lt;$C27*1000,MIN($C27*1000-SUM($C27:K27),$C27*1000*VLOOKUP(N$7,[0]!_4_15_YR_MACRS,3)),0)</f>
        <v>0</v>
      </c>
      <c r="O27" s="526">
        <f ca="1">IF(SUM($E27:N27)&lt;$C27*1000,MIN($C27*1000-SUM($C27:L27),$C27*1000*VLOOKUP(O$7,[0]!_4_15_YR_MACRS,3)),0)</f>
        <v>0</v>
      </c>
      <c r="P27" s="526">
        <f ca="1">IF(SUM($E27:O27)&lt;$C27*1000,MIN($C27*1000-SUM($C27:M27),$C27*1000*VLOOKUP(P$7,[0]!_4_15_YR_MACRS,3)),0)</f>
        <v>0</v>
      </c>
      <c r="Q27" s="526">
        <f ca="1">IF(SUM($E27:P27)&lt;$C27*1000,MIN($C27*1000-SUM($C27:N27),$C27*1000*VLOOKUP(Q$7,[0]!_4_15_YR_MACRS,3)),0)</f>
        <v>0</v>
      </c>
      <c r="R27" s="526">
        <f ca="1">IF(SUM($E27:Q27)&lt;$C27*1000,MIN($C27*1000-SUM($C27:O27),$C27*1000*VLOOKUP(R$7,[0]!_4_15_YR_MACRS,3)),0)</f>
        <v>0</v>
      </c>
      <c r="S27" s="526">
        <f ca="1">IF(SUM($E27:R27)&lt;$C27*1000,MIN($C27*1000-SUM($C27:P27),$C27*1000*VLOOKUP(S$7,[0]!_4_15_YR_MACRS,3)),0)</f>
        <v>0</v>
      </c>
      <c r="T27" s="526">
        <f ca="1">IF(SUM($E27:S27)&lt;$C27*1000,MIN($C27*1000-SUM($C27:Q27),$C27*1000*VLOOKUP(T$7,[0]!_4_15_YR_MACRS,3)),0)</f>
        <v>0</v>
      </c>
      <c r="U27" s="526">
        <f ca="1">IF(SUM($E27:T27)&lt;$C27*1000,MIN($C27*1000-SUM($C27:R27),$C27*1000*VLOOKUP(U$7,[0]!_4_15_YR_MACRS,3)),0)</f>
        <v>0</v>
      </c>
      <c r="V27" s="526">
        <f ca="1">IF(SUM($E27:U27)&lt;$C27*1000,MIN($C27*1000-SUM($C27:S27),$C27*1000*VLOOKUP(V$7,[0]!_4_15_YR_MACRS,3)),0)</f>
        <v>0</v>
      </c>
      <c r="W27" s="526">
        <f ca="1">IF(SUM($E27:V27)&lt;$C27*1000,MIN($C27*1000-SUM($C27:T27),$C27*1000*VLOOKUP(W$7,[0]!_4_15_YR_MACRS,3)),0)</f>
        <v>0</v>
      </c>
      <c r="X27" s="526">
        <f ca="1">IF(SUM($E27:W27)&lt;$C27*1000,MIN($C27*1000-SUM($C27:U27),$C27*1000*VLOOKUP(X$7,[0]!_4_15_YR_MACRS,3)),0)</f>
        <v>0</v>
      </c>
      <c r="Y27" s="526">
        <f ca="1">IF(SUM($E27:X27)&lt;$C27*1000,MIN($C27*1000-SUM($C27:V27),$C27*1000*VLOOKUP(Y$7,[0]!_4_15_YR_MACRS,3)),0)</f>
        <v>0</v>
      </c>
      <c r="Z27" s="526"/>
      <c r="AA27" s="527">
        <f t="shared" ca="1" si="0"/>
        <v>0</v>
      </c>
      <c r="AB27" s="511"/>
    </row>
    <row r="28" spans="1:28">
      <c r="A28" s="514"/>
      <c r="B28" s="514"/>
      <c r="C28" s="525"/>
      <c r="D28" s="520"/>
      <c r="E28" s="524"/>
      <c r="F28" s="517"/>
      <c r="G28" s="517"/>
      <c r="H28" s="517"/>
      <c r="I28" s="517"/>
      <c r="J28" s="517"/>
      <c r="K28" s="517"/>
      <c r="L28" s="517"/>
      <c r="M28" s="517"/>
      <c r="N28" s="517"/>
      <c r="O28" s="517"/>
      <c r="P28" s="517"/>
      <c r="Q28" s="517"/>
      <c r="R28" s="517"/>
      <c r="S28" s="517"/>
      <c r="T28" s="517"/>
      <c r="U28" s="517"/>
      <c r="V28" s="517"/>
      <c r="W28" s="517"/>
      <c r="X28" s="517"/>
      <c r="Y28" s="517"/>
      <c r="Z28" s="517"/>
      <c r="AA28" s="527"/>
      <c r="AB28" s="511"/>
    </row>
    <row r="29" spans="1:28" ht="16.2">
      <c r="A29" s="523" t="str">
        <f ca="1">'TAXDEPR 144A'!A29</f>
        <v>Other</v>
      </c>
      <c r="B29" s="514"/>
      <c r="C29" s="525"/>
      <c r="D29" s="520"/>
      <c r="E29" s="524"/>
      <c r="F29" s="517"/>
      <c r="G29" s="517"/>
      <c r="H29" s="517"/>
      <c r="I29" s="517"/>
      <c r="J29" s="517"/>
      <c r="K29" s="517"/>
      <c r="L29" s="517"/>
      <c r="M29" s="517"/>
      <c r="N29" s="517"/>
      <c r="O29" s="517"/>
      <c r="P29" s="517"/>
      <c r="Q29" s="517"/>
      <c r="R29" s="517"/>
      <c r="S29" s="517"/>
      <c r="T29" s="517"/>
      <c r="U29" s="517"/>
      <c r="V29" s="517"/>
      <c r="W29" s="517"/>
      <c r="X29" s="517"/>
      <c r="Y29" s="517"/>
      <c r="Z29" s="517"/>
      <c r="AA29" s="527"/>
      <c r="AB29" s="511"/>
    </row>
    <row r="30" spans="1:28">
      <c r="A30" s="514" t="str">
        <f ca="1">'TAXDEPR 144A'!A30</f>
        <v>Land</v>
      </c>
      <c r="B30" s="514">
        <f ca="1">'TAXDEPR 144A'!B30</f>
        <v>0</v>
      </c>
      <c r="C30" s="525">
        <f ca="1">'TAXDEPR 144A'!C30</f>
        <v>0</v>
      </c>
      <c r="D30" s="520">
        <f>'ASSUM 2'!P26</f>
        <v>0</v>
      </c>
      <c r="E30" s="524">
        <f>'ASSUM 2'!Q26</f>
        <v>0</v>
      </c>
      <c r="F30" s="526">
        <f ca="1">IF(SUM($E30:E30)&lt;$C30*1000,MIN($C30*1000-SUM($C30:C30),$C30*1000*(VLOOKUP(F$7,#REF!,2))),0)</f>
        <v>0</v>
      </c>
      <c r="G30" s="526">
        <f ca="1">IF(SUM($E30:F30)&lt;$C30*1000,MIN($C30*1000-SUM($C30:D30),$C30*1000*(VLOOKUP(G$7,#REF!,2))),0)</f>
        <v>0</v>
      </c>
      <c r="H30" s="526">
        <f ca="1">IF(SUM($E30:G30)&lt;$C30*1000,MIN($C30*1000-SUM($C30:E30),$C30*1000*(VLOOKUP(H$7,#REF!,2))),0)</f>
        <v>0</v>
      </c>
      <c r="I30" s="526">
        <f ca="1">IF(SUM($E30:H30)&lt;$C30*1000,MIN($C30*1000-SUM($C30:F30),$C30*1000*(VLOOKUP(I$7,#REF!,2))),0)</f>
        <v>0</v>
      </c>
      <c r="J30" s="526">
        <f ca="1">IF(SUM($E30:I30)&lt;$C30*1000,MIN($C30*1000-SUM($C30:G30),$C30*1000*(VLOOKUP(J$7,#REF!,2))),0)</f>
        <v>0</v>
      </c>
      <c r="K30" s="526">
        <f ca="1">IF(SUM($E30:J30)&lt;$C30*1000,MIN($C30*1000-SUM($C30:H30),$C30*1000*(VLOOKUP(K$7,#REF!,2))),0)</f>
        <v>0</v>
      </c>
      <c r="L30" s="526">
        <f ca="1">IF(SUM($E30:K30)&lt;$C30*1000,MIN($C30*1000-SUM($C30:I30),$C30*1000*(VLOOKUP(L$7,#REF!,2))),0)</f>
        <v>0</v>
      </c>
      <c r="M30" s="526">
        <f ca="1">IF(SUM($E30:L30)&lt;$C30*1000,MIN($C30*1000-SUM($C30:J30),$C30*1000*(VLOOKUP(M$7,#REF!,2))),0)</f>
        <v>0</v>
      </c>
      <c r="N30" s="526">
        <f ca="1">IF(SUM($E30:M30)&lt;$C30*1000,MIN($C30*1000-SUM($C30:K30),$C30*1000*(VLOOKUP(N$7,#REF!,2))),0)</f>
        <v>0</v>
      </c>
      <c r="O30" s="526">
        <f ca="1">IF(SUM($E30:N30)&lt;$C30*1000,MIN($C30*1000-SUM($C30:L30),$C30*1000*(VLOOKUP(O$7,#REF!,2))),0)</f>
        <v>0</v>
      </c>
      <c r="P30" s="526">
        <f ca="1">IF(SUM($E30:O30)&lt;$C30*1000,MIN($C30*1000-SUM($C30:M30),$C30*1000*(VLOOKUP(P$7,#REF!,2))),0)</f>
        <v>0</v>
      </c>
      <c r="Q30" s="526">
        <f ca="1">IF(SUM($E30:P30)&lt;$C30*1000,MIN($C30*1000-SUM($C30:N30),$C30*1000*(VLOOKUP(Q$7,#REF!,2))),0)</f>
        <v>0</v>
      </c>
      <c r="R30" s="526">
        <f ca="1">IF(SUM($E30:Q30)&lt;$C30*1000,MIN($C30*1000-SUM($C30:O30),$C30*1000*(VLOOKUP(R$7,#REF!,2))),0)</f>
        <v>0</v>
      </c>
      <c r="S30" s="526">
        <f ca="1">IF(SUM($E30:R30)&lt;$C30*1000,MIN($C30*1000-SUM($C30:P30),$C30*1000*(VLOOKUP(S$7,#REF!,2))),0)</f>
        <v>0</v>
      </c>
      <c r="T30" s="526">
        <f ca="1">IF(SUM($E30:S30)&lt;$C30*1000,MIN($C30*1000-SUM($C30:Q30),$C30*1000*(VLOOKUP(T$7,#REF!,2))),0)</f>
        <v>0</v>
      </c>
      <c r="U30" s="526">
        <f ca="1">IF(SUM($E30:T30)&lt;$C30*1000,MIN($C30*1000-SUM($C30:R30),$C30*1000*(VLOOKUP(U$7,#REF!,2))),0)</f>
        <v>0</v>
      </c>
      <c r="V30" s="526">
        <f ca="1">IF(SUM($E30:U30)&lt;$C30*1000,MIN($C30*1000-SUM($C30:S30),$C30*1000*(VLOOKUP(V$7,#REF!,2))),0)</f>
        <v>0</v>
      </c>
      <c r="W30" s="526">
        <f ca="1">IF(SUM($E30:V30)&lt;$C30*1000,MIN($C30*1000-SUM($C30:T30),$C30*1000*(VLOOKUP(W$7,#REF!,2))),0)</f>
        <v>0</v>
      </c>
      <c r="X30" s="526">
        <f ca="1">IF(SUM($E30:W30)&lt;$C30*1000,MIN($C30*1000-SUM($C30:U30),$C30*1000*(VLOOKUP(X$7,#REF!,2))),0)</f>
        <v>0</v>
      </c>
      <c r="Y30" s="526">
        <f ca="1">IF(SUM($E30:X30)&lt;$C30*1000,MIN($C30*1000-SUM($C30:V30),$C30*1000*(VLOOKUP(Y$7,#REF!,2))),0)</f>
        <v>0</v>
      </c>
      <c r="Z30" s="526"/>
      <c r="AA30" s="527">
        <f ca="1">SUM(F30:Y30)-C30*1000</f>
        <v>0</v>
      </c>
      <c r="AB30" s="511"/>
    </row>
    <row r="31" spans="1:28">
      <c r="A31" s="514" t="str">
        <f ca="1">'TAXDEPR 144A'!A31</f>
        <v>Transmission Costs</v>
      </c>
      <c r="B31" s="514">
        <f ca="1">'TAXDEPR 144A'!B31</f>
        <v>1</v>
      </c>
      <c r="C31" s="525">
        <f ca="1">'TAXDEPR 144A'!C31</f>
        <v>1.9</v>
      </c>
      <c r="D31" s="520">
        <f>'ASSUM 2'!P27</f>
        <v>1</v>
      </c>
      <c r="E31" s="524">
        <f>'ASSUM 2'!Q27</f>
        <v>0</v>
      </c>
      <c r="F31" s="526">
        <f ca="1">IF(SUM($E31:E31)&lt;$C31*1000,MIN($C31*1000-SUM($C31:C31),$C31*1000*VLOOKUP(F$7,[0]!_4_15_YR_MACRS,3)),0)</f>
        <v>95</v>
      </c>
      <c r="G31" s="526">
        <f ca="1">IF(SUM($E31:F31)&lt;$C31*1000,MIN($C31*1000-SUM($C31:D31),$C31*1000*VLOOKUP(G$7,[0]!_4_15_YR_MACRS,3)),0)</f>
        <v>180.5</v>
      </c>
      <c r="H31" s="526">
        <f ca="1">IF(SUM($E31:G31)&lt;$C31*1000,MIN($C31*1000-SUM($C31:E31),$C31*1000*VLOOKUP(H$7,[0]!_4_15_YR_MACRS,3)),0)</f>
        <v>162.45000000000002</v>
      </c>
      <c r="I31" s="526">
        <f ca="1">IF(SUM($E31:H31)&lt;$C31*1000,MIN($C31*1000-SUM($C31:F31),$C31*1000*VLOOKUP(I$7,[0]!_4_15_YR_MACRS,3)),0)</f>
        <v>146.30000000000001</v>
      </c>
      <c r="J31" s="526">
        <f ca="1">IF(SUM($E31:I31)&lt;$C31*1000,MIN($C31*1000-SUM($C31:G31),$C31*1000*VLOOKUP(J$7,[0]!_4_15_YR_MACRS,3)),0)</f>
        <v>131.66999999999999</v>
      </c>
      <c r="K31" s="526">
        <f ca="1">IF(SUM($E31:J31)&lt;$C31*1000,MIN($C31*1000-SUM($C31:H31),$C31*1000*VLOOKUP(K$7,[0]!_4_15_YR_MACRS,3)),0)</f>
        <v>118.37</v>
      </c>
      <c r="L31" s="526">
        <f ca="1">IF(SUM($E31:K31)&lt;$C31*1000,MIN($C31*1000-SUM($C31:I31),$C31*1000*VLOOKUP(L$7,[0]!_4_15_YR_MACRS,3)),0)</f>
        <v>112.1</v>
      </c>
      <c r="M31" s="526">
        <f ca="1">IF(SUM($E31:L31)&lt;$C31*1000,MIN($C31*1000-SUM($C31:J31),$C31*1000*VLOOKUP(M$7,[0]!_4_15_YR_MACRS,3)),0)</f>
        <v>112.1</v>
      </c>
      <c r="N31" s="526">
        <f ca="1">IF(SUM($E31:M31)&lt;$C31*1000,MIN($C31*1000-SUM($C31:K31),$C31*1000*VLOOKUP(N$7,[0]!_4_15_YR_MACRS,3)),0)</f>
        <v>112.29</v>
      </c>
      <c r="O31" s="526">
        <f ca="1">IF(SUM($E31:N31)&lt;$C31*1000,MIN($C31*1000-SUM($C31:L31),$C31*1000*VLOOKUP(O$7,[0]!_4_15_YR_MACRS,3)),0)</f>
        <v>112.1</v>
      </c>
      <c r="P31" s="526">
        <f ca="1">IF(SUM($E31:O31)&lt;$C31*1000,MIN($C31*1000-SUM($C31:M31),$C31*1000*VLOOKUP(P$7,[0]!_4_15_YR_MACRS,3)),0)</f>
        <v>112.29</v>
      </c>
      <c r="Q31" s="526">
        <f ca="1">IF(SUM($E31:P31)&lt;$C31*1000,MIN($C31*1000-SUM($C31:N31),$C31*1000*VLOOKUP(Q$7,[0]!_4_15_YR_MACRS,3)),0)</f>
        <v>112.1</v>
      </c>
      <c r="R31" s="526">
        <f ca="1">IF(SUM($E31:Q31)&lt;$C31*1000,MIN($C31*1000-SUM($C31:O31),$C31*1000*VLOOKUP(R$7,[0]!_4_15_YR_MACRS,3)),0)</f>
        <v>112.29</v>
      </c>
      <c r="S31" s="526">
        <f ca="1">IF(SUM($E31:R31)&lt;$C31*1000,MIN($C31*1000-SUM($C31:P31),$C31*1000*VLOOKUP(S$7,[0]!_4_15_YR_MACRS,3)),0)</f>
        <v>112.1</v>
      </c>
      <c r="T31" s="526">
        <f ca="1">IF(SUM($E31:S31)&lt;$C31*1000,MIN($C31*1000-SUM($C31:Q31),$C31*1000*VLOOKUP(T$7,[0]!_4_15_YR_MACRS,3)),0)</f>
        <v>112.29</v>
      </c>
      <c r="U31" s="526">
        <f ca="1">IF(SUM($E31:T31)&lt;$C31*1000,MIN($C31*1000-SUM($C31:R31),$C31*1000*VLOOKUP(U$7,[0]!_4_15_YR_MACRS,3)),0)</f>
        <v>56.05</v>
      </c>
      <c r="V31" s="526">
        <f ca="1">IF(SUM($E31:U31)&lt;$C31*1000,MIN($C31*1000-SUM($C31:S31),$C31*1000*VLOOKUP(V$7,[0]!_4_15_YR_MACRS,3)),0)</f>
        <v>0</v>
      </c>
      <c r="W31" s="526">
        <f ca="1">IF(SUM($E31:V31)&lt;$C31*1000,MIN($C31*1000-SUM($C31:T31),$C31*1000*VLOOKUP(W$7,[0]!_4_15_YR_MACRS,3)),0)</f>
        <v>0</v>
      </c>
      <c r="X31" s="526">
        <f ca="1">IF(SUM($E31:W31)&lt;$C31*1000,MIN($C31*1000-SUM($C31:U31),$C31*1000*VLOOKUP(X$7,[0]!_4_15_YR_MACRS,3)),0)</f>
        <v>0</v>
      </c>
      <c r="Y31" s="526">
        <f ca="1">IF(SUM($E31:X31)&lt;$C31*1000,MIN($C31*1000-SUM($C31:V31),$C31*1000*VLOOKUP(Y$7,[0]!_4_15_YR_MACRS,3)),0)</f>
        <v>0</v>
      </c>
      <c r="Z31" s="526"/>
      <c r="AA31" s="527">
        <f ca="1">SUM(F31:Y31)-C31*1000</f>
        <v>0</v>
      </c>
      <c r="AB31" s="511"/>
    </row>
    <row r="32" spans="1:28">
      <c r="A32" s="514" t="str">
        <f ca="1">'TAXDEPR 144A'!A32</f>
        <v>AES Development Cost Reimbursement</v>
      </c>
      <c r="B32" s="514">
        <f ca="1">'TAXDEPR 144A'!B32</f>
        <v>1</v>
      </c>
      <c r="C32" s="525">
        <f ca="1">'TAXDEPR 144A'!C32</f>
        <v>1.2170000000000001</v>
      </c>
      <c r="D32" s="520">
        <f>'ASSUM 2'!P28</f>
        <v>4</v>
      </c>
      <c r="E32" s="524">
        <f>'ASSUM 2'!Q28</f>
        <v>0.2</v>
      </c>
      <c r="F32" s="526">
        <f ca="1">IF(SUM($E32:E32)&lt;$C32*1000,MIN($C32*1000-SUM($C32:C32),$C32*1000*$E32),0)</f>
        <v>243.4</v>
      </c>
      <c r="G32" s="526">
        <f ca="1">IF(SUM($E32:F32)&lt;$C32*1000,MIN($C32*1000-SUM($C32:D32),$C32*1000*$E32),0)</f>
        <v>243.4</v>
      </c>
      <c r="H32" s="526">
        <f ca="1">IF(SUM($E32:G32)&lt;$C32*1000,MIN($C32*1000-SUM($C32:E32),$C32*1000*$E32),0)</f>
        <v>243.4</v>
      </c>
      <c r="I32" s="526">
        <f ca="1">IF(SUM($E32:H32)&lt;$C32*1000,MIN($C32*1000-SUM($C32:F32),$C32*1000*$E32),0)</f>
        <v>243.4</v>
      </c>
      <c r="J32" s="526">
        <f ca="1">IF(SUM($E32:I32)&lt;$C32*1000,MIN($C32*1000-SUM($C32:G32),$C32*1000*$E32),0)</f>
        <v>243.4</v>
      </c>
      <c r="K32" s="526">
        <f ca="1">IF(SUM($E32:J32)&lt;$C32*1000,MIN($C32*1000-SUM($C32:H32),$C32*1000*$E32),0)</f>
        <v>0</v>
      </c>
      <c r="L32" s="526">
        <f ca="1">IF(SUM($E32:K32)&lt;$C32*1000,MIN($C32*1000-SUM($C32:I32),$C32*1000*$E32),0)</f>
        <v>0</v>
      </c>
      <c r="M32" s="526">
        <f ca="1">IF(SUM($E32:L32)&lt;$C32*1000,MIN($C32*1000-SUM($C32:J32),$C32*1000*$E32),0)</f>
        <v>0</v>
      </c>
      <c r="N32" s="526">
        <f ca="1">IF(SUM($E32:M32)&lt;$C32*1000,MIN($C32*1000-SUM($C32:K32),$C32*1000*$E32),0)</f>
        <v>0</v>
      </c>
      <c r="O32" s="526">
        <f ca="1">IF(SUM($E32:N32)&lt;$C32*1000,MIN($C32*1000-SUM($C32:L32),$C32*1000*$E32),0)</f>
        <v>0</v>
      </c>
      <c r="P32" s="526">
        <f ca="1">IF(SUM($E32:O32)&lt;$C32*1000,MIN($C32*1000-SUM($C32:M32),$C32*1000*$E32),0)</f>
        <v>0</v>
      </c>
      <c r="Q32" s="526">
        <f ca="1">IF(SUM($E32:P32)&lt;$C32*1000,MIN($C32*1000-SUM($C32:N32),$C32*1000*$E32),0)</f>
        <v>0</v>
      </c>
      <c r="R32" s="526">
        <f ca="1">IF(SUM($E32:Q32)&lt;$C32*1000,MIN($C32*1000-SUM($C32:O32),$C32*1000*$E32),0)</f>
        <v>0</v>
      </c>
      <c r="S32" s="526">
        <f ca="1">IF(SUM($E32:R32)&lt;$C32*1000,MIN($C32*1000-SUM($C32:P32),$C32*1000*$E32),0)</f>
        <v>0</v>
      </c>
      <c r="T32" s="526">
        <f ca="1">IF(SUM($E32:S32)&lt;$C32*1000,MIN($C32*1000-SUM($C32:Q32),$C32*1000*$E32),0)</f>
        <v>0</v>
      </c>
      <c r="U32" s="526">
        <f ca="1">IF(SUM($E32:T32)&lt;$C32*1000,MIN($C32*1000-SUM($C32:R32),$C32*1000*$E32),0)</f>
        <v>0</v>
      </c>
      <c r="V32" s="526">
        <f ca="1">IF(SUM($E32:U32)&lt;$C32*1000,MIN($C32*1000-SUM($C32:S32),$C32*1000*$E32),0)</f>
        <v>0</v>
      </c>
      <c r="W32" s="526">
        <f ca="1">IF(SUM($E32:V32)&lt;$C32*1000,MIN($C32*1000-SUM($C32:T32),$C32*1000*$E32),0)</f>
        <v>0</v>
      </c>
      <c r="X32" s="526">
        <f ca="1">IF(SUM($E32:W32)&lt;$C32*1000,MIN($C32*1000-SUM($C32:U32),$C32*1000*$E32),0)</f>
        <v>0</v>
      </c>
      <c r="Y32" s="526">
        <f ca="1">IF(SUM($E32:X32)&lt;$C32*1000,MIN($C32*1000-SUM($C32:V32),$C32*1000*$E32),0)</f>
        <v>0</v>
      </c>
      <c r="Z32" s="526"/>
      <c r="AA32" s="527">
        <f ca="1">SUM(F32:Y32)-C32*1000</f>
        <v>0</v>
      </c>
      <c r="AB32" s="511"/>
    </row>
    <row r="33" spans="1:28">
      <c r="A33" s="514" t="str">
        <f ca="1">'TAXDEPR 144A'!A33</f>
        <v>Six Ring Bus</v>
      </c>
      <c r="B33" s="514">
        <f ca="1">'TAXDEPR 144A'!B33</f>
        <v>1</v>
      </c>
      <c r="C33" s="525">
        <f ca="1">'TAXDEPR 144A'!C33</f>
        <v>3.1280000000000001</v>
      </c>
      <c r="D33" s="520">
        <f>'ASSUM 2'!P29</f>
        <v>1</v>
      </c>
      <c r="E33" s="524">
        <f>'ASSUM 2'!Q29</f>
        <v>0</v>
      </c>
      <c r="F33" s="526">
        <f ca="1">IF(SUM($E33:E33)&lt;$C33*1000,MIN($C33*1000-SUM($C33:C33),$C33*1000*VLOOKUP(F$7,[0]!_4_15_YR_MACRS,3)),0)</f>
        <v>156.4</v>
      </c>
      <c r="G33" s="526">
        <f ca="1">IF(SUM($E33:F33)&lt;$C33*1000,MIN($C33*1000-SUM($C33:D33),$C33*1000*VLOOKUP(G$7,[0]!_4_15_YR_MACRS,3)),0)</f>
        <v>297.16000000000003</v>
      </c>
      <c r="H33" s="526">
        <f ca="1">IF(SUM($E33:G33)&lt;$C33*1000,MIN($C33*1000-SUM($C33:E33),$C33*1000*VLOOKUP(H$7,[0]!_4_15_YR_MACRS,3)),0)</f>
        <v>267.44400000000002</v>
      </c>
      <c r="I33" s="526">
        <f ca="1">IF(SUM($E33:H33)&lt;$C33*1000,MIN($C33*1000-SUM($C33:F33),$C33*1000*VLOOKUP(I$7,[0]!_4_15_YR_MACRS,3)),0)</f>
        <v>240.85599999999999</v>
      </c>
      <c r="J33" s="526">
        <f ca="1">IF(SUM($E33:I33)&lt;$C33*1000,MIN($C33*1000-SUM($C33:G33),$C33*1000*VLOOKUP(J$7,[0]!_4_15_YR_MACRS,3)),0)</f>
        <v>216.7704</v>
      </c>
      <c r="K33" s="526">
        <f ca="1">IF(SUM($E33:J33)&lt;$C33*1000,MIN($C33*1000-SUM($C33:H33),$C33*1000*VLOOKUP(K$7,[0]!_4_15_YR_MACRS,3)),0)</f>
        <v>194.87440000000001</v>
      </c>
      <c r="L33" s="526">
        <f ca="1">IF(SUM($E33:K33)&lt;$C33*1000,MIN($C33*1000-SUM($C33:I33),$C33*1000*VLOOKUP(L$7,[0]!_4_15_YR_MACRS,3)),0)</f>
        <v>184.55199999999999</v>
      </c>
      <c r="M33" s="526">
        <f ca="1">IF(SUM($E33:L33)&lt;$C33*1000,MIN($C33*1000-SUM($C33:J33),$C33*1000*VLOOKUP(M$7,[0]!_4_15_YR_MACRS,3)),0)</f>
        <v>184.55199999999999</v>
      </c>
      <c r="N33" s="526">
        <f ca="1">IF(SUM($E33:M33)&lt;$C33*1000,MIN($C33*1000-SUM($C33:K33),$C33*1000*VLOOKUP(N$7,[0]!_4_15_YR_MACRS,3)),0)</f>
        <v>184.8648</v>
      </c>
      <c r="O33" s="526">
        <f ca="1">IF(SUM($E33:N33)&lt;$C33*1000,MIN($C33*1000-SUM($C33:L33),$C33*1000*VLOOKUP(O$7,[0]!_4_15_YR_MACRS,3)),0)</f>
        <v>184.55199999999999</v>
      </c>
      <c r="P33" s="526">
        <f ca="1">IF(SUM($E33:O33)&lt;$C33*1000,MIN($C33*1000-SUM($C33:M33),$C33*1000*VLOOKUP(P$7,[0]!_4_15_YR_MACRS,3)),0)</f>
        <v>184.8648</v>
      </c>
      <c r="Q33" s="526">
        <f ca="1">IF(SUM($E33:P33)&lt;$C33*1000,MIN($C33*1000-SUM($C33:N33),$C33*1000*VLOOKUP(Q$7,[0]!_4_15_YR_MACRS,3)),0)</f>
        <v>184.55199999999999</v>
      </c>
      <c r="R33" s="526">
        <f ca="1">IF(SUM($E33:Q33)&lt;$C33*1000,MIN($C33*1000-SUM($C33:O33),$C33*1000*VLOOKUP(R$7,[0]!_4_15_YR_MACRS,3)),0)</f>
        <v>184.8648</v>
      </c>
      <c r="S33" s="526">
        <f ca="1">IF(SUM($E33:R33)&lt;$C33*1000,MIN($C33*1000-SUM($C33:P33),$C33*1000*VLOOKUP(S$7,[0]!_4_15_YR_MACRS,3)),0)</f>
        <v>184.55199999999999</v>
      </c>
      <c r="T33" s="526">
        <f ca="1">IF(SUM($E33:S33)&lt;$C33*1000,MIN($C33*1000-SUM($C33:Q33),$C33*1000*VLOOKUP(T$7,[0]!_4_15_YR_MACRS,3)),0)</f>
        <v>184.8648</v>
      </c>
      <c r="U33" s="526">
        <f ca="1">IF(SUM($E33:T33)&lt;$C33*1000,MIN($C33*1000-SUM($C33:R33),$C33*1000*VLOOKUP(U$7,[0]!_4_15_YR_MACRS,3)),0)</f>
        <v>92.275999999999996</v>
      </c>
      <c r="V33" s="526">
        <f ca="1">IF(SUM($E33:U33)&lt;$C33*1000,MIN($C33*1000-SUM($C33:S33),$C33*1000*VLOOKUP(V$7,[0]!_4_15_YR_MACRS,3)),0)</f>
        <v>0</v>
      </c>
      <c r="W33" s="526">
        <f ca="1">IF(SUM($E33:V33)&lt;$C33*1000,MIN($C33*1000-SUM($C33:T33),$C33*1000*VLOOKUP(W$7,[0]!_4_15_YR_MACRS,3)),0)</f>
        <v>0</v>
      </c>
      <c r="X33" s="526">
        <f ca="1">IF(SUM($E33:W33)&lt;$C33*1000,MIN($C33*1000-SUM($C33:U33),$C33*1000*VLOOKUP(X$7,[0]!_4_15_YR_MACRS,3)),0)</f>
        <v>0</v>
      </c>
      <c r="Y33" s="526">
        <f ca="1">IF(SUM($E33:X33)&lt;$C33*1000,MIN($C33*1000-SUM($C33:V33),$C33*1000*VLOOKUP(Y$7,[0]!_4_15_YR_MACRS,3)),0)</f>
        <v>0</v>
      </c>
      <c r="Z33" s="526"/>
      <c r="AA33" s="527">
        <f ca="1">SUM(F33:Y33)-C33*1000</f>
        <v>0</v>
      </c>
      <c r="AB33" s="511"/>
    </row>
    <row r="34" spans="1:28">
      <c r="A34" s="514"/>
      <c r="B34" s="514"/>
      <c r="C34" s="525"/>
      <c r="D34" s="520"/>
      <c r="E34" s="524"/>
      <c r="F34" s="526"/>
      <c r="G34" s="526"/>
      <c r="H34" s="526"/>
      <c r="I34" s="526"/>
      <c r="J34" s="526"/>
      <c r="K34" s="526"/>
      <c r="L34" s="526"/>
      <c r="M34" s="526"/>
      <c r="N34" s="526"/>
      <c r="O34" s="526"/>
      <c r="P34" s="526"/>
      <c r="Q34" s="526"/>
      <c r="R34" s="526"/>
      <c r="S34" s="526"/>
      <c r="T34" s="526"/>
      <c r="U34" s="526"/>
      <c r="V34" s="526"/>
      <c r="W34" s="526"/>
      <c r="X34" s="526"/>
      <c r="Y34" s="526"/>
      <c r="Z34" s="526"/>
      <c r="AA34" s="527">
        <f>SUM(F34:Y34)-C34*1000</f>
        <v>0</v>
      </c>
      <c r="AB34" s="511"/>
    </row>
    <row r="35" spans="1:28" ht="16.2">
      <c r="A35" s="523" t="str">
        <f ca="1">'TAXDEPR 144A'!A35</f>
        <v>Soft Costs</v>
      </c>
      <c r="B35" s="514"/>
      <c r="C35" s="525"/>
      <c r="D35" s="520"/>
      <c r="E35" s="524"/>
      <c r="F35" s="517"/>
      <c r="G35" s="517"/>
      <c r="H35" s="517"/>
      <c r="I35" s="517"/>
      <c r="J35" s="517"/>
      <c r="K35" s="517"/>
      <c r="L35" s="517"/>
      <c r="M35" s="517"/>
      <c r="N35" s="517"/>
      <c r="O35" s="517"/>
      <c r="P35" s="517"/>
      <c r="Q35" s="517"/>
      <c r="R35" s="517"/>
      <c r="S35" s="517"/>
      <c r="T35" s="517"/>
      <c r="U35" s="517"/>
      <c r="V35" s="517"/>
      <c r="W35" s="517"/>
      <c r="X35" s="517"/>
      <c r="Y35" s="517"/>
      <c r="Z35" s="517"/>
      <c r="AA35" s="527"/>
      <c r="AB35" s="511"/>
    </row>
    <row r="36" spans="1:28">
      <c r="A36" s="514" t="str">
        <f ca="1">'TAXDEPR 144A'!A36</f>
        <v>Development Cost Budget</v>
      </c>
      <c r="B36" s="514">
        <f ca="1">'TAXDEPR 144A'!B36</f>
        <v>1</v>
      </c>
      <c r="C36" s="525">
        <f ca="1">'TAXDEPR 144A'!C36</f>
        <v>2.2999999999999998</v>
      </c>
      <c r="D36" s="520">
        <f>'ASSUM 2'!P33</f>
        <v>4</v>
      </c>
      <c r="E36" s="524">
        <f>'ASSUM 2'!Q33</f>
        <v>0.2</v>
      </c>
      <c r="F36" s="526">
        <f ca="1">IF(SUM($E36:E36)&lt;$C36*1000,MIN($C36*1000-SUM($C36:C36),$C36*1000*$E36),0)</f>
        <v>460</v>
      </c>
      <c r="G36" s="526">
        <f ca="1">IF(SUM($E36:F36)&lt;$C36*1000,MIN($C36*1000-SUM($C36:D36),$C36*1000*$E36),0)</f>
        <v>460</v>
      </c>
      <c r="H36" s="526">
        <f ca="1">IF(SUM($E36:G36)&lt;$C36*1000,MIN($C36*1000-SUM($C36:E36),$C36*1000*$E36),0)</f>
        <v>460</v>
      </c>
      <c r="I36" s="526">
        <f ca="1">IF(SUM($E36:H36)&lt;$C36*1000,MIN($C36*1000-SUM($C36:F36),$C36*1000*$E36),0)</f>
        <v>460</v>
      </c>
      <c r="J36" s="526">
        <f ca="1">IF(SUM($E36:I36)&lt;$C36*1000,MIN($C36*1000-SUM($C36:G36),$C36*1000*$E36),0)</f>
        <v>460</v>
      </c>
      <c r="K36" s="526">
        <f ca="1">IF(SUM($E36:J36)&lt;$C36*1000,MIN($C36*1000-SUM($C36:H36),$C36*1000*$E36),0)</f>
        <v>0</v>
      </c>
      <c r="L36" s="526">
        <f ca="1">IF(SUM($E36:K36)&lt;$C36*1000,MIN($C36*1000-SUM($C36:I36),$C36*1000*$E36),0)</f>
        <v>0</v>
      </c>
      <c r="M36" s="526">
        <f ca="1">IF(SUM($E36:L36)&lt;$C36*1000,MIN($C36*1000-SUM($C36:J36),$C36*1000*$E36),0)</f>
        <v>0</v>
      </c>
      <c r="N36" s="526">
        <f ca="1">IF(SUM($E36:M36)&lt;$C36*1000,MIN($C36*1000-SUM($C36:K36),$C36*1000*$E36),0)</f>
        <v>0</v>
      </c>
      <c r="O36" s="526">
        <f ca="1">IF(SUM($E36:N36)&lt;$C36*1000,MIN($C36*1000-SUM($C36:L36),$C36*1000*$E36),0)</f>
        <v>0</v>
      </c>
      <c r="P36" s="526">
        <f ca="1">IF(SUM($E36:O36)&lt;$C36*1000,MIN($C36*1000-SUM($C36:M36),$C36*1000*$E36),0)</f>
        <v>0</v>
      </c>
      <c r="Q36" s="526">
        <f ca="1">IF(SUM($E36:P36)&lt;$C36*1000,MIN($C36*1000-SUM($C36:N36),$C36*1000*$E36),0)</f>
        <v>0</v>
      </c>
      <c r="R36" s="526">
        <f ca="1">IF(SUM($E36:Q36)&lt;$C36*1000,MIN($C36*1000-SUM($C36:O36),$C36*1000*$E36),0)</f>
        <v>0</v>
      </c>
      <c r="S36" s="526">
        <f ca="1">IF(SUM($E36:R36)&lt;$C36*1000,MIN($C36*1000-SUM($C36:P36),$C36*1000*$E36),0)</f>
        <v>0</v>
      </c>
      <c r="T36" s="526">
        <f ca="1">IF(SUM($E36:S36)&lt;$C36*1000,MIN($C36*1000-SUM($C36:Q36),$C36*1000*$E36),0)</f>
        <v>0</v>
      </c>
      <c r="U36" s="526">
        <f ca="1">IF(SUM($E36:T36)&lt;$C36*1000,MIN($C36*1000-SUM($C36:R36),$C36*1000*$E36),0)</f>
        <v>0</v>
      </c>
      <c r="V36" s="526">
        <f ca="1">IF(SUM($E36:U36)&lt;$C36*1000,MIN($C36*1000-SUM($C36:S36),$C36*1000*$E36),0)</f>
        <v>0</v>
      </c>
      <c r="W36" s="526">
        <f ca="1">IF(SUM($E36:V36)&lt;$C36*1000,MIN($C36*1000-SUM($C36:T36),$C36*1000*$E36),0)</f>
        <v>0</v>
      </c>
      <c r="X36" s="526">
        <f ca="1">IF(SUM($E36:W36)&lt;$C36*1000,MIN($C36*1000-SUM($C36:U36),$C36*1000*$E36),0)</f>
        <v>0</v>
      </c>
      <c r="Y36" s="526">
        <f ca="1">IF(SUM($E36:X36)&lt;$C36*1000,MIN($C36*1000-SUM($C36:V36),$C36*1000*$E36),0)</f>
        <v>0</v>
      </c>
      <c r="Z36" s="526"/>
      <c r="AA36" s="527">
        <f t="shared" ref="AA36:AA55" ca="1" si="1">SUM(F36:Y36)-C36*1000</f>
        <v>0</v>
      </c>
      <c r="AB36" s="511"/>
    </row>
    <row r="37" spans="1:28">
      <c r="A37" s="514" t="str">
        <f ca="1">'TAXDEPR 144A'!A37</f>
        <v>Construction Over-site budget</v>
      </c>
      <c r="B37" s="514">
        <f ca="1">'TAXDEPR 144A'!B37</f>
        <v>1</v>
      </c>
      <c r="C37" s="525">
        <f ca="1">'TAXDEPR 144A'!C37</f>
        <v>1.1559999999999999</v>
      </c>
      <c r="D37" s="520">
        <f>'ASSUM 2'!P34</f>
        <v>4</v>
      </c>
      <c r="E37" s="524">
        <f>'ASSUM 2'!Q34</f>
        <v>0.2</v>
      </c>
      <c r="F37" s="526">
        <f ca="1">IF(SUM($E37:E37)&lt;$C37*1000,MIN($C37*1000-SUM($C37:C37),$C37*1000*$E37),0)</f>
        <v>231.20000000000002</v>
      </c>
      <c r="G37" s="526">
        <f ca="1">IF(SUM($E37:F37)&lt;$C37*1000,MIN($C37*1000-SUM($C37:D37),$C37*1000*$E37),0)</f>
        <v>231.20000000000002</v>
      </c>
      <c r="H37" s="526">
        <f ca="1">IF(SUM($E37:G37)&lt;$C37*1000,MIN($C37*1000-SUM($C37:E37),$C37*1000*$E37),0)</f>
        <v>231.20000000000002</v>
      </c>
      <c r="I37" s="526">
        <f ca="1">IF(SUM($E37:H37)&lt;$C37*1000,MIN($C37*1000-SUM($C37:F37),$C37*1000*$E37),0)</f>
        <v>231.20000000000002</v>
      </c>
      <c r="J37" s="526">
        <f ca="1">IF(SUM($E37:I37)&lt;$C37*1000,MIN($C37*1000-SUM($C37:G37),$C37*1000*$E37),0)</f>
        <v>231.20000000000002</v>
      </c>
      <c r="K37" s="526">
        <f ca="1">IF(SUM($E37:J37)&lt;$C37*1000,MIN($C37*1000-SUM($C37:H37),$C37*1000*$E37),0)</f>
        <v>0</v>
      </c>
      <c r="L37" s="526">
        <f ca="1">IF(SUM($E37:K37)&lt;$C37*1000,MIN($C37*1000-SUM($C37:I37),$C37*1000*$E37),0)</f>
        <v>0</v>
      </c>
      <c r="M37" s="526">
        <f ca="1">IF(SUM($E37:L37)&lt;$C37*1000,MIN($C37*1000-SUM($C37:J37),$C37*1000*$E37),0)</f>
        <v>0</v>
      </c>
      <c r="N37" s="526">
        <f ca="1">IF(SUM($E37:M37)&lt;$C37*1000,MIN($C37*1000-SUM($C37:K37),$C37*1000*$E37),0)</f>
        <v>0</v>
      </c>
      <c r="O37" s="526">
        <f ca="1">IF(SUM($E37:N37)&lt;$C37*1000,MIN($C37*1000-SUM($C37:L37),$C37*1000*$E37),0)</f>
        <v>0</v>
      </c>
      <c r="P37" s="526">
        <f ca="1">IF(SUM($E37:O37)&lt;$C37*1000,MIN($C37*1000-SUM($C37:M37),$C37*1000*$E37),0)</f>
        <v>0</v>
      </c>
      <c r="Q37" s="526">
        <f ca="1">IF(SUM($E37:P37)&lt;$C37*1000,MIN($C37*1000-SUM($C37:N37),$C37*1000*$E37),0)</f>
        <v>0</v>
      </c>
      <c r="R37" s="526">
        <f ca="1">IF(SUM($E37:Q37)&lt;$C37*1000,MIN($C37*1000-SUM($C37:O37),$C37*1000*$E37),0)</f>
        <v>0</v>
      </c>
      <c r="S37" s="526">
        <f ca="1">IF(SUM($E37:R37)&lt;$C37*1000,MIN($C37*1000-SUM($C37:P37),$C37*1000*$E37),0)</f>
        <v>0</v>
      </c>
      <c r="T37" s="526">
        <f ca="1">IF(SUM($E37:S37)&lt;$C37*1000,MIN($C37*1000-SUM($C37:Q37),$C37*1000*$E37),0)</f>
        <v>0</v>
      </c>
      <c r="U37" s="526">
        <f ca="1">IF(SUM($E37:T37)&lt;$C37*1000,MIN($C37*1000-SUM($C37:R37),$C37*1000*$E37),0)</f>
        <v>0</v>
      </c>
      <c r="V37" s="526">
        <f ca="1">IF(SUM($E37:U37)&lt;$C37*1000,MIN($C37*1000-SUM($C37:S37),$C37*1000*$E37),0)</f>
        <v>0</v>
      </c>
      <c r="W37" s="526">
        <f ca="1">IF(SUM($E37:V37)&lt;$C37*1000,MIN($C37*1000-SUM($C37:T37),$C37*1000*$E37),0)</f>
        <v>0</v>
      </c>
      <c r="X37" s="526">
        <f ca="1">IF(SUM($E37:W37)&lt;$C37*1000,MIN($C37*1000-SUM($C37:U37),$C37*1000*$E37),0)</f>
        <v>0</v>
      </c>
      <c r="Y37" s="526">
        <f ca="1">IF(SUM($E37:X37)&lt;$C37*1000,MIN($C37*1000-SUM($C37:V37),$C37*1000*$E37),0)</f>
        <v>0</v>
      </c>
      <c r="Z37" s="526"/>
      <c r="AA37" s="527">
        <f t="shared" ca="1" si="1"/>
        <v>0</v>
      </c>
      <c r="AB37" s="511"/>
    </row>
    <row r="38" spans="1:28">
      <c r="A38" s="514" t="str">
        <f ca="1">'TAXDEPR 144A'!A38</f>
        <v>Other</v>
      </c>
      <c r="B38" s="514">
        <f ca="1">'TAXDEPR 144A'!B38</f>
        <v>1</v>
      </c>
      <c r="C38" s="525">
        <f ca="1">'TAXDEPR 144A'!C38</f>
        <v>0</v>
      </c>
      <c r="D38" s="520">
        <f>'ASSUM 2'!P35</f>
        <v>4</v>
      </c>
      <c r="E38" s="524">
        <f>'ASSUM 2'!Q35</f>
        <v>0.2</v>
      </c>
      <c r="F38" s="526">
        <f ca="1">IF(SUM($E38:E38)&lt;$C38*1000,MIN($C38*1000-SUM($C38:C38),$C38*1000*$E38),0)</f>
        <v>0</v>
      </c>
      <c r="G38" s="526">
        <f ca="1">IF(SUM($E38:F38)&lt;$C38*1000,MIN($C38*1000-SUM($C38:D38),$C38*1000*$E38),0)</f>
        <v>0</v>
      </c>
      <c r="H38" s="526">
        <f ca="1">IF(SUM($E38:G38)&lt;$C38*1000,MIN($C38*1000-SUM($C38:E38),$C38*1000*$E38),0)</f>
        <v>0</v>
      </c>
      <c r="I38" s="526">
        <f ca="1">IF(SUM($E38:H38)&lt;$C38*1000,MIN($C38*1000-SUM($C38:F38),$C38*1000*$E38),0)</f>
        <v>0</v>
      </c>
      <c r="J38" s="526">
        <f ca="1">IF(SUM($E38:I38)&lt;$C38*1000,MIN($C38*1000-SUM($C38:G38),$C38*1000*$E38),0)</f>
        <v>0</v>
      </c>
      <c r="K38" s="526">
        <f ca="1">IF(SUM($E38:J38)&lt;$C38*1000,MIN($C38*1000-SUM($C38:H38),$C38*1000*$E38),0)</f>
        <v>0</v>
      </c>
      <c r="L38" s="526">
        <f ca="1">IF(SUM($E38:K38)&lt;$C38*1000,MIN($C38*1000-SUM($C38:I38),$C38*1000*$E38),0)</f>
        <v>0</v>
      </c>
      <c r="M38" s="526">
        <f ca="1">IF(SUM($E38:L38)&lt;$C38*1000,MIN($C38*1000-SUM($C38:J38),$C38*1000*$E38),0)</f>
        <v>0</v>
      </c>
      <c r="N38" s="526">
        <f ca="1">IF(SUM($E38:M38)&lt;$C38*1000,MIN($C38*1000-SUM($C38:K38),$C38*1000*$E38),0)</f>
        <v>0</v>
      </c>
      <c r="O38" s="526">
        <f ca="1">IF(SUM($E38:N38)&lt;$C38*1000,MIN($C38*1000-SUM($C38:L38),$C38*1000*$E38),0)</f>
        <v>0</v>
      </c>
      <c r="P38" s="526">
        <f ca="1">IF(SUM($E38:O38)&lt;$C38*1000,MIN($C38*1000-SUM($C38:M38),$C38*1000*$E38),0)</f>
        <v>0</v>
      </c>
      <c r="Q38" s="526">
        <f ca="1">IF(SUM($E38:P38)&lt;$C38*1000,MIN($C38*1000-SUM($C38:N38),$C38*1000*$E38),0)</f>
        <v>0</v>
      </c>
      <c r="R38" s="526">
        <f ca="1">IF(SUM($E38:Q38)&lt;$C38*1000,MIN($C38*1000-SUM($C38:O38),$C38*1000*$E38),0)</f>
        <v>0</v>
      </c>
      <c r="S38" s="526">
        <f ca="1">IF(SUM($E38:R38)&lt;$C38*1000,MIN($C38*1000-SUM($C38:P38),$C38*1000*$E38),0)</f>
        <v>0</v>
      </c>
      <c r="T38" s="526">
        <f ca="1">IF(SUM($E38:S38)&lt;$C38*1000,MIN($C38*1000-SUM($C38:Q38),$C38*1000*$E38),0)</f>
        <v>0</v>
      </c>
      <c r="U38" s="526">
        <f ca="1">IF(SUM($E38:T38)&lt;$C38*1000,MIN($C38*1000-SUM($C38:R38),$C38*1000*$E38),0)</f>
        <v>0</v>
      </c>
      <c r="V38" s="526">
        <f ca="1">IF(SUM($E38:U38)&lt;$C38*1000,MIN($C38*1000-SUM($C38:S38),$C38*1000*$E38),0)</f>
        <v>0</v>
      </c>
      <c r="W38" s="526">
        <f ca="1">IF(SUM($E38:V38)&lt;$C38*1000,MIN($C38*1000-SUM($C38:T38),$C38*1000*$E38),0)</f>
        <v>0</v>
      </c>
      <c r="X38" s="526">
        <f ca="1">IF(SUM($E38:W38)&lt;$C38*1000,MIN($C38*1000-SUM($C38:U38),$C38*1000*$E38),0)</f>
        <v>0</v>
      </c>
      <c r="Y38" s="526">
        <f ca="1">IF(SUM($E38:X38)&lt;$C38*1000,MIN($C38*1000-SUM($C38:V38),$C38*1000*$E38),0)</f>
        <v>0</v>
      </c>
      <c r="Z38" s="526"/>
      <c r="AA38" s="527">
        <f t="shared" ca="1" si="1"/>
        <v>0</v>
      </c>
      <c r="AB38" s="511"/>
    </row>
    <row r="39" spans="1:28">
      <c r="A39" s="514" t="str">
        <f ca="1">'TAXDEPR 144A'!A39</f>
        <v xml:space="preserve">Other </v>
      </c>
      <c r="B39" s="514">
        <f ca="1">'TAXDEPR 144A'!B39</f>
        <v>1</v>
      </c>
      <c r="C39" s="525">
        <f ca="1">'TAXDEPR 144A'!C39</f>
        <v>0</v>
      </c>
      <c r="D39" s="520">
        <f>'ASSUM 2'!P36</f>
        <v>4</v>
      </c>
      <c r="E39" s="524">
        <f>'ASSUM 2'!Q36</f>
        <v>0.2</v>
      </c>
      <c r="F39" s="526">
        <f ca="1">IF(SUM($E39:E39)&lt;$C39*1000,MIN($C39*1000-SUM($C39:C39),$C39*1000*$E39),0)</f>
        <v>0</v>
      </c>
      <c r="G39" s="526">
        <f ca="1">IF(SUM($E39:F39)&lt;$C39*1000,MIN($C39*1000-SUM($C39:D39),$C39*1000*$E39),0)</f>
        <v>0</v>
      </c>
      <c r="H39" s="526">
        <f ca="1">IF(SUM($E39:G39)&lt;$C39*1000,MIN($C39*1000-SUM($C39:E39),$C39*1000*$E39),0)</f>
        <v>0</v>
      </c>
      <c r="I39" s="526">
        <f ca="1">IF(SUM($E39:H39)&lt;$C39*1000,MIN($C39*1000-SUM($C39:F39),$C39*1000*$E39),0)</f>
        <v>0</v>
      </c>
      <c r="J39" s="526">
        <f ca="1">IF(SUM($E39:I39)&lt;$C39*1000,MIN($C39*1000-SUM($C39:G39),$C39*1000*$E39),0)</f>
        <v>0</v>
      </c>
      <c r="K39" s="526">
        <f ca="1">IF(SUM($E39:J39)&lt;$C39*1000,MIN($C39*1000-SUM($C39:H39),$C39*1000*$E39),0)</f>
        <v>0</v>
      </c>
      <c r="L39" s="526">
        <f ca="1">IF(SUM($E39:K39)&lt;$C39*1000,MIN($C39*1000-SUM($C39:I39),$C39*1000*$E39),0)</f>
        <v>0</v>
      </c>
      <c r="M39" s="526">
        <f ca="1">IF(SUM($E39:L39)&lt;$C39*1000,MIN($C39*1000-SUM($C39:J39),$C39*1000*$E39),0)</f>
        <v>0</v>
      </c>
      <c r="N39" s="526">
        <f ca="1">IF(SUM($E39:M39)&lt;$C39*1000,MIN($C39*1000-SUM($C39:K39),$C39*1000*$E39),0)</f>
        <v>0</v>
      </c>
      <c r="O39" s="526">
        <f ca="1">IF(SUM($E39:N39)&lt;$C39*1000,MIN($C39*1000-SUM($C39:L39),$C39*1000*$E39),0)</f>
        <v>0</v>
      </c>
      <c r="P39" s="526">
        <f ca="1">IF(SUM($E39:O39)&lt;$C39*1000,MIN($C39*1000-SUM($C39:M39),$C39*1000*$E39),0)</f>
        <v>0</v>
      </c>
      <c r="Q39" s="526">
        <f ca="1">IF(SUM($E39:P39)&lt;$C39*1000,MIN($C39*1000-SUM($C39:N39),$C39*1000*$E39),0)</f>
        <v>0</v>
      </c>
      <c r="R39" s="526">
        <f ca="1">IF(SUM($E39:Q39)&lt;$C39*1000,MIN($C39*1000-SUM($C39:O39),$C39*1000*$E39),0)</f>
        <v>0</v>
      </c>
      <c r="S39" s="526">
        <f ca="1">IF(SUM($E39:R39)&lt;$C39*1000,MIN($C39*1000-SUM($C39:P39),$C39*1000*$E39),0)</f>
        <v>0</v>
      </c>
      <c r="T39" s="526">
        <f ca="1">IF(SUM($E39:S39)&lt;$C39*1000,MIN($C39*1000-SUM($C39:Q39),$C39*1000*$E39),0)</f>
        <v>0</v>
      </c>
      <c r="U39" s="526">
        <f ca="1">IF(SUM($E39:T39)&lt;$C39*1000,MIN($C39*1000-SUM($C39:R39),$C39*1000*$E39),0)</f>
        <v>0</v>
      </c>
      <c r="V39" s="526">
        <f ca="1">IF(SUM($E39:U39)&lt;$C39*1000,MIN($C39*1000-SUM($C39:S39),$C39*1000*$E39),0)</f>
        <v>0</v>
      </c>
      <c r="W39" s="526">
        <f ca="1">IF(SUM($E39:V39)&lt;$C39*1000,MIN($C39*1000-SUM($C39:T39),$C39*1000*$E39),0)</f>
        <v>0</v>
      </c>
      <c r="X39" s="526">
        <f ca="1">IF(SUM($E39:W39)&lt;$C39*1000,MIN($C39*1000-SUM($C39:U39),$C39*1000*$E39),0)</f>
        <v>0</v>
      </c>
      <c r="Y39" s="526">
        <f ca="1">IF(SUM($E39:X39)&lt;$C39*1000,MIN($C39*1000-SUM($C39:V39),$C39*1000*$E39),0)</f>
        <v>0</v>
      </c>
      <c r="Z39" s="526"/>
      <c r="AA39" s="527">
        <f t="shared" ca="1" si="1"/>
        <v>0</v>
      </c>
      <c r="AB39" s="511"/>
    </row>
    <row r="40" spans="1:28">
      <c r="A40" s="514" t="str">
        <f ca="1">'TAXDEPR 144A'!A40</f>
        <v>Other</v>
      </c>
      <c r="B40" s="514">
        <f ca="1">'TAXDEPR 144A'!B40</f>
        <v>1</v>
      </c>
      <c r="C40" s="525">
        <f ca="1">'TAXDEPR 144A'!C40</f>
        <v>0</v>
      </c>
      <c r="D40" s="520">
        <f>'ASSUM 2'!P37</f>
        <v>4</v>
      </c>
      <c r="E40" s="524">
        <f>'ASSUM 2'!Q37</f>
        <v>0.2</v>
      </c>
      <c r="F40" s="526">
        <f ca="1">IF(SUM($E40:E40)&lt;$C40*1000,MIN($C40*1000-SUM($C40:C40),$C40*1000*$E40),0)</f>
        <v>0</v>
      </c>
      <c r="G40" s="526">
        <f ca="1">IF(SUM($E40:F40)&lt;$C40*1000,MIN($C40*1000-SUM($C40:D40),$C40*1000*$E40),0)</f>
        <v>0</v>
      </c>
      <c r="H40" s="526">
        <f ca="1">IF(SUM($E40:G40)&lt;$C40*1000,MIN($C40*1000-SUM($C40:E40),$C40*1000*$E40),0)</f>
        <v>0</v>
      </c>
      <c r="I40" s="526">
        <f ca="1">IF(SUM($E40:H40)&lt;$C40*1000,MIN($C40*1000-SUM($C40:F40),$C40*1000*$E40),0)</f>
        <v>0</v>
      </c>
      <c r="J40" s="526">
        <f ca="1">IF(SUM($E40:I40)&lt;$C40*1000,MIN($C40*1000-SUM($C40:G40),$C40*1000*$E40),0)</f>
        <v>0</v>
      </c>
      <c r="K40" s="526">
        <f ca="1">IF(SUM($E40:J40)&lt;$C40*1000,MIN($C40*1000-SUM($C40:H40),$C40*1000*$E40),0)</f>
        <v>0</v>
      </c>
      <c r="L40" s="526">
        <f ca="1">IF(SUM($E40:K40)&lt;$C40*1000,MIN($C40*1000-SUM($C40:I40),$C40*1000*$E40),0)</f>
        <v>0</v>
      </c>
      <c r="M40" s="526">
        <f ca="1">IF(SUM($E40:L40)&lt;$C40*1000,MIN($C40*1000-SUM($C40:J40),$C40*1000*$E40),0)</f>
        <v>0</v>
      </c>
      <c r="N40" s="526">
        <f ca="1">IF(SUM($E40:M40)&lt;$C40*1000,MIN($C40*1000-SUM($C40:K40),$C40*1000*$E40),0)</f>
        <v>0</v>
      </c>
      <c r="O40" s="526">
        <f ca="1">IF(SUM($E40:N40)&lt;$C40*1000,MIN($C40*1000-SUM($C40:L40),$C40*1000*$E40),0)</f>
        <v>0</v>
      </c>
      <c r="P40" s="526">
        <f ca="1">IF(SUM($E40:O40)&lt;$C40*1000,MIN($C40*1000-SUM($C40:M40),$C40*1000*$E40),0)</f>
        <v>0</v>
      </c>
      <c r="Q40" s="526">
        <f ca="1">IF(SUM($E40:P40)&lt;$C40*1000,MIN($C40*1000-SUM($C40:N40),$C40*1000*$E40),0)</f>
        <v>0</v>
      </c>
      <c r="R40" s="526">
        <f ca="1">IF(SUM($E40:Q40)&lt;$C40*1000,MIN($C40*1000-SUM($C40:O40),$C40*1000*$E40),0)</f>
        <v>0</v>
      </c>
      <c r="S40" s="526">
        <f ca="1">IF(SUM($E40:R40)&lt;$C40*1000,MIN($C40*1000-SUM($C40:P40),$C40*1000*$E40),0)</f>
        <v>0</v>
      </c>
      <c r="T40" s="526">
        <f ca="1">IF(SUM($E40:S40)&lt;$C40*1000,MIN($C40*1000-SUM($C40:Q40),$C40*1000*$E40),0)</f>
        <v>0</v>
      </c>
      <c r="U40" s="526">
        <f ca="1">IF(SUM($E40:T40)&lt;$C40*1000,MIN($C40*1000-SUM($C40:R40),$C40*1000*$E40),0)</f>
        <v>0</v>
      </c>
      <c r="V40" s="526">
        <f ca="1">IF(SUM($E40:U40)&lt;$C40*1000,MIN($C40*1000-SUM($C40:S40),$C40*1000*$E40),0)</f>
        <v>0</v>
      </c>
      <c r="W40" s="526">
        <f ca="1">IF(SUM($E40:V40)&lt;$C40*1000,MIN($C40*1000-SUM($C40:T40),$C40*1000*$E40),0)</f>
        <v>0</v>
      </c>
      <c r="X40" s="526">
        <f ca="1">IF(SUM($E40:W40)&lt;$C40*1000,MIN($C40*1000-SUM($C40:U40),$C40*1000*$E40),0)</f>
        <v>0</v>
      </c>
      <c r="Y40" s="526">
        <f ca="1">IF(SUM($E40:X40)&lt;$C40*1000,MIN($C40*1000-SUM($C40:V40),$C40*1000*$E40),0)</f>
        <v>0</v>
      </c>
      <c r="Z40" s="526"/>
      <c r="AA40" s="527">
        <f t="shared" ca="1" si="1"/>
        <v>0</v>
      </c>
      <c r="AB40" s="511"/>
    </row>
    <row r="41" spans="1:28">
      <c r="A41" s="514" t="str">
        <f ca="1">'TAXDEPR 144A'!A41</f>
        <v>Financing Fees</v>
      </c>
      <c r="B41" s="514">
        <f ca="1">'TAXDEPR 144A'!B41</f>
        <v>1</v>
      </c>
      <c r="C41" s="525">
        <f ca="1">'TAXDEPR 144A'!C41</f>
        <v>2.7</v>
      </c>
      <c r="D41" s="520">
        <f>'ASSUM 2'!P38</f>
        <v>4</v>
      </c>
      <c r="E41" s="524">
        <f>'ASSUM 2'!Q38</f>
        <v>0.2</v>
      </c>
      <c r="F41" s="526">
        <f ca="1">IF(SUM($E41:E41)&lt;$C41*1000,MIN($C41*1000-SUM($C41:C41),$C41*1000*$E41),0)</f>
        <v>540</v>
      </c>
      <c r="G41" s="526">
        <f ca="1">IF(SUM($E41:F41)&lt;$C41*1000,MIN($C41*1000-SUM($C41:D41),$C41*1000*$E41),0)</f>
        <v>540</v>
      </c>
      <c r="H41" s="526">
        <f ca="1">IF(SUM($E41:G41)&lt;$C41*1000,MIN($C41*1000-SUM($C41:E41),$C41*1000*$E41),0)</f>
        <v>540</v>
      </c>
      <c r="I41" s="526">
        <f ca="1">IF(SUM($E41:H41)&lt;$C41*1000,MIN($C41*1000-SUM($C41:F41),$C41*1000*$E41),0)</f>
        <v>540</v>
      </c>
      <c r="J41" s="526">
        <f ca="1">IF(SUM($E41:I41)&lt;$C41*1000,MIN($C41*1000-SUM($C41:G41),$C41*1000*$E41),0)</f>
        <v>540</v>
      </c>
      <c r="K41" s="526">
        <f ca="1">IF(SUM($E41:J41)&lt;$C41*1000,MIN($C41*1000-SUM($C41:H41),$C41*1000*$E41),0)</f>
        <v>0</v>
      </c>
      <c r="L41" s="526">
        <f ca="1">IF(SUM($E41:K41)&lt;$C41*1000,MIN($C41*1000-SUM($C41:I41),$C41*1000*$E41),0)</f>
        <v>0</v>
      </c>
      <c r="M41" s="526">
        <f ca="1">IF(SUM($E41:L41)&lt;$C41*1000,MIN($C41*1000-SUM($C41:J41),$C41*1000*$E41),0)</f>
        <v>0</v>
      </c>
      <c r="N41" s="526">
        <f ca="1">IF(SUM($E41:M41)&lt;$C41*1000,MIN($C41*1000-SUM($C41:K41),$C41*1000*$E41),0)</f>
        <v>0</v>
      </c>
      <c r="O41" s="526">
        <f ca="1">IF(SUM($E41:N41)&lt;$C41*1000,MIN($C41*1000-SUM($C41:L41),$C41*1000*$E41),0)</f>
        <v>0</v>
      </c>
      <c r="P41" s="526">
        <f ca="1">IF(SUM($E41:O41)&lt;$C41*1000,MIN($C41*1000-SUM($C41:M41),$C41*1000*$E41),0)</f>
        <v>0</v>
      </c>
      <c r="Q41" s="526">
        <f ca="1">IF(SUM($E41:P41)&lt;$C41*1000,MIN($C41*1000-SUM($C41:N41),$C41*1000*$E41),0)</f>
        <v>0</v>
      </c>
      <c r="R41" s="526">
        <f ca="1">IF(SUM($E41:Q41)&lt;$C41*1000,MIN($C41*1000-SUM($C41:O41),$C41*1000*$E41),0)</f>
        <v>0</v>
      </c>
      <c r="S41" s="526">
        <f ca="1">IF(SUM($E41:R41)&lt;$C41*1000,MIN($C41*1000-SUM($C41:P41),$C41*1000*$E41),0)</f>
        <v>0</v>
      </c>
      <c r="T41" s="526">
        <f ca="1">IF(SUM($E41:S41)&lt;$C41*1000,MIN($C41*1000-SUM($C41:Q41),$C41*1000*$E41),0)</f>
        <v>0</v>
      </c>
      <c r="U41" s="526">
        <f ca="1">IF(SUM($E41:T41)&lt;$C41*1000,MIN($C41*1000-SUM($C41:R41),$C41*1000*$E41),0)</f>
        <v>0</v>
      </c>
      <c r="V41" s="526">
        <f ca="1">IF(SUM($E41:U41)&lt;$C41*1000,MIN($C41*1000-SUM($C41:S41),$C41*1000*$E41),0)</f>
        <v>0</v>
      </c>
      <c r="W41" s="526">
        <f ca="1">IF(SUM($E41:V41)&lt;$C41*1000,MIN($C41*1000-SUM($C41:T41),$C41*1000*$E41),0)</f>
        <v>0</v>
      </c>
      <c r="X41" s="526">
        <f ca="1">IF(SUM($E41:W41)&lt;$C41*1000,MIN($C41*1000-SUM($C41:U41),$C41*1000*$E41),0)</f>
        <v>0</v>
      </c>
      <c r="Y41" s="526">
        <f ca="1">IF(SUM($E41:X41)&lt;$C41*1000,MIN($C41*1000-SUM($C41:V41),$C41*1000*$E41),0)</f>
        <v>0</v>
      </c>
      <c r="Z41" s="526"/>
      <c r="AA41" s="527">
        <f t="shared" ca="1" si="1"/>
        <v>0</v>
      </c>
      <c r="AB41" s="511"/>
    </row>
    <row r="42" spans="1:28">
      <c r="A42" s="514" t="str">
        <f ca="1">'TAXDEPR 144A'!A42</f>
        <v>Commitment Fees</v>
      </c>
      <c r="B42" s="514">
        <f ca="1">'TAXDEPR 144A'!B42</f>
        <v>1</v>
      </c>
      <c r="C42" s="525">
        <f ca="1">'TAXDEPR 144A'!C42</f>
        <v>0</v>
      </c>
      <c r="D42" s="520">
        <f>'ASSUM 2'!P39</f>
        <v>4</v>
      </c>
      <c r="E42" s="524">
        <f>'ASSUM 2'!Q39</f>
        <v>0.2</v>
      </c>
      <c r="F42" s="526">
        <f ca="1">IF(SUM($E42:E42)&lt;$C42*1000,MIN($C42*1000-SUM($C42:C42),$C42*1000*$E42),0)</f>
        <v>0</v>
      </c>
      <c r="G42" s="526">
        <f ca="1">IF(SUM($E42:F42)&lt;$C42*1000,MIN($C42*1000-SUM($C42:D42),$C42*1000*$E42),0)</f>
        <v>0</v>
      </c>
      <c r="H42" s="526">
        <f ca="1">IF(SUM($E42:G42)&lt;$C42*1000,MIN($C42*1000-SUM($C42:E42),$C42*1000*$E42),0)</f>
        <v>0</v>
      </c>
      <c r="I42" s="526">
        <f ca="1">IF(SUM($E42:H42)&lt;$C42*1000,MIN($C42*1000-SUM($C42:F42),$C42*1000*$E42),0)</f>
        <v>0</v>
      </c>
      <c r="J42" s="526">
        <f ca="1">IF(SUM($E42:I42)&lt;$C42*1000,MIN($C42*1000-SUM($C42:G42),$C42*1000*$E42),0)</f>
        <v>0</v>
      </c>
      <c r="K42" s="526">
        <f ca="1">IF(SUM($E42:J42)&lt;$C42*1000,MIN($C42*1000-SUM($C42:H42),$C42*1000*$E42),0)</f>
        <v>0</v>
      </c>
      <c r="L42" s="526">
        <f ca="1">IF(SUM($E42:K42)&lt;$C42*1000,MIN($C42*1000-SUM($C42:I42),$C42*1000*$E42),0)</f>
        <v>0</v>
      </c>
      <c r="M42" s="526">
        <f ca="1">IF(SUM($E42:L42)&lt;$C42*1000,MIN($C42*1000-SUM($C42:J42),$C42*1000*$E42),0)</f>
        <v>0</v>
      </c>
      <c r="N42" s="526">
        <f ca="1">IF(SUM($E42:M42)&lt;$C42*1000,MIN($C42*1000-SUM($C42:K42),$C42*1000*$E42),0)</f>
        <v>0</v>
      </c>
      <c r="O42" s="526">
        <f ca="1">IF(SUM($E42:N42)&lt;$C42*1000,MIN($C42*1000-SUM($C42:L42),$C42*1000*$E42),0)</f>
        <v>0</v>
      </c>
      <c r="P42" s="526">
        <f ca="1">IF(SUM($E42:O42)&lt;$C42*1000,MIN($C42*1000-SUM($C42:M42),$C42*1000*$E42),0)</f>
        <v>0</v>
      </c>
      <c r="Q42" s="526">
        <f ca="1">IF(SUM($E42:P42)&lt;$C42*1000,MIN($C42*1000-SUM($C42:N42),$C42*1000*$E42),0)</f>
        <v>0</v>
      </c>
      <c r="R42" s="526">
        <f ca="1">IF(SUM($E42:Q42)&lt;$C42*1000,MIN($C42*1000-SUM($C42:O42),$C42*1000*$E42),0)</f>
        <v>0</v>
      </c>
      <c r="S42" s="526">
        <f ca="1">IF(SUM($E42:R42)&lt;$C42*1000,MIN($C42*1000-SUM($C42:P42),$C42*1000*$E42),0)</f>
        <v>0</v>
      </c>
      <c r="T42" s="526">
        <f ca="1">IF(SUM($E42:S42)&lt;$C42*1000,MIN($C42*1000-SUM($C42:Q42),$C42*1000*$E42),0)</f>
        <v>0</v>
      </c>
      <c r="U42" s="526">
        <f ca="1">IF(SUM($E42:T42)&lt;$C42*1000,MIN($C42*1000-SUM($C42:R42),$C42*1000*$E42),0)</f>
        <v>0</v>
      </c>
      <c r="V42" s="526">
        <f ca="1">IF(SUM($E42:U42)&lt;$C42*1000,MIN($C42*1000-SUM($C42:S42),$C42*1000*$E42),0)</f>
        <v>0</v>
      </c>
      <c r="W42" s="526">
        <f ca="1">IF(SUM($E42:V42)&lt;$C42*1000,MIN($C42*1000-SUM($C42:T42),$C42*1000*$E42),0)</f>
        <v>0</v>
      </c>
      <c r="X42" s="526">
        <f ca="1">IF(SUM($E42:W42)&lt;$C42*1000,MIN($C42*1000-SUM($C42:U42),$C42*1000*$E42),0)</f>
        <v>0</v>
      </c>
      <c r="Y42" s="526">
        <f ca="1">IF(SUM($E42:X42)&lt;$C42*1000,MIN($C42*1000-SUM($C42:V42),$C42*1000*$E42),0)</f>
        <v>0</v>
      </c>
      <c r="Z42" s="526"/>
      <c r="AA42" s="527">
        <f t="shared" ca="1" si="1"/>
        <v>0</v>
      </c>
      <c r="AB42" s="511"/>
    </row>
    <row r="43" spans="1:28">
      <c r="A43" s="514" t="str">
        <f ca="1">'TAXDEPR 144A'!A43</f>
        <v>Other</v>
      </c>
      <c r="B43" s="514">
        <f ca="1">'TAXDEPR 144A'!B43</f>
        <v>1</v>
      </c>
      <c r="C43" s="525">
        <f ca="1">'TAXDEPR 144A'!C43</f>
        <v>0</v>
      </c>
      <c r="D43" s="520">
        <f>'ASSUM 2'!P40</f>
        <v>4</v>
      </c>
      <c r="E43" s="524">
        <f>'ASSUM 2'!Q40</f>
        <v>0.2</v>
      </c>
      <c r="F43" s="526">
        <f ca="1">IF(SUM($E43:E43)&lt;$C43*1000,MIN($C43*1000-SUM($C43:C43),$C43*1000*$E43),0)</f>
        <v>0</v>
      </c>
      <c r="G43" s="526">
        <f ca="1">IF(SUM($E43:F43)&lt;$C43*1000,MIN($C43*1000-SUM($C43:D43),$C43*1000*$E43),0)</f>
        <v>0</v>
      </c>
      <c r="H43" s="526">
        <f ca="1">IF(SUM($E43:G43)&lt;$C43*1000,MIN($C43*1000-SUM($C43:E43),$C43*1000*$E43),0)</f>
        <v>0</v>
      </c>
      <c r="I43" s="526">
        <f ca="1">IF(SUM($E43:H43)&lt;$C43*1000,MIN($C43*1000-SUM($C43:F43),$C43*1000*$E43),0)</f>
        <v>0</v>
      </c>
      <c r="J43" s="526">
        <f ca="1">IF(SUM($E43:I43)&lt;$C43*1000,MIN($C43*1000-SUM($C43:G43),$C43*1000*$E43),0)</f>
        <v>0</v>
      </c>
      <c r="K43" s="526">
        <f ca="1">IF(SUM($E43:J43)&lt;$C43*1000,MIN($C43*1000-SUM($C43:H43),$C43*1000*$E43),0)</f>
        <v>0</v>
      </c>
      <c r="L43" s="526">
        <f ca="1">IF(SUM($E43:K43)&lt;$C43*1000,MIN($C43*1000-SUM($C43:I43),$C43*1000*$E43),0)</f>
        <v>0</v>
      </c>
      <c r="M43" s="526">
        <f ca="1">IF(SUM($E43:L43)&lt;$C43*1000,MIN($C43*1000-SUM($C43:J43),$C43*1000*$E43),0)</f>
        <v>0</v>
      </c>
      <c r="N43" s="526">
        <f ca="1">IF(SUM($E43:M43)&lt;$C43*1000,MIN($C43*1000-SUM($C43:K43),$C43*1000*$E43),0)</f>
        <v>0</v>
      </c>
      <c r="O43" s="526">
        <f ca="1">IF(SUM($E43:N43)&lt;$C43*1000,MIN($C43*1000-SUM($C43:L43),$C43*1000*$E43),0)</f>
        <v>0</v>
      </c>
      <c r="P43" s="526">
        <f ca="1">IF(SUM($E43:O43)&lt;$C43*1000,MIN($C43*1000-SUM($C43:M43),$C43*1000*$E43),0)</f>
        <v>0</v>
      </c>
      <c r="Q43" s="526">
        <f ca="1">IF(SUM($E43:P43)&lt;$C43*1000,MIN($C43*1000-SUM($C43:N43),$C43*1000*$E43),0)</f>
        <v>0</v>
      </c>
      <c r="R43" s="526">
        <f ca="1">IF(SUM($E43:Q43)&lt;$C43*1000,MIN($C43*1000-SUM($C43:O43),$C43*1000*$E43),0)</f>
        <v>0</v>
      </c>
      <c r="S43" s="526">
        <f ca="1">IF(SUM($E43:R43)&lt;$C43*1000,MIN($C43*1000-SUM($C43:P43),$C43*1000*$E43),0)</f>
        <v>0</v>
      </c>
      <c r="T43" s="526">
        <f ca="1">IF(SUM($E43:S43)&lt;$C43*1000,MIN($C43*1000-SUM($C43:Q43),$C43*1000*$E43),0)</f>
        <v>0</v>
      </c>
      <c r="U43" s="526">
        <f ca="1">IF(SUM($E43:T43)&lt;$C43*1000,MIN($C43*1000-SUM($C43:R43),$C43*1000*$E43),0)</f>
        <v>0</v>
      </c>
      <c r="V43" s="526">
        <f ca="1">IF(SUM($E43:U43)&lt;$C43*1000,MIN($C43*1000-SUM($C43:S43),$C43*1000*$E43),0)</f>
        <v>0</v>
      </c>
      <c r="W43" s="526">
        <f ca="1">IF(SUM($E43:V43)&lt;$C43*1000,MIN($C43*1000-SUM($C43:T43),$C43*1000*$E43),0)</f>
        <v>0</v>
      </c>
      <c r="X43" s="526">
        <f ca="1">IF(SUM($E43:W43)&lt;$C43*1000,MIN($C43*1000-SUM($C43:U43),$C43*1000*$E43),0)</f>
        <v>0</v>
      </c>
      <c r="Y43" s="526">
        <f ca="1">IF(SUM($E43:X43)&lt;$C43*1000,MIN($C43*1000-SUM($C43:V43),$C43*1000*$E43),0)</f>
        <v>0</v>
      </c>
      <c r="Z43" s="526"/>
      <c r="AA43" s="527">
        <f t="shared" ca="1" si="1"/>
        <v>0</v>
      </c>
      <c r="AB43" s="511"/>
    </row>
    <row r="44" spans="1:28">
      <c r="A44" s="514" t="str">
        <f ca="1">'TAXDEPR 144A'!A44</f>
        <v>Spares and Tools</v>
      </c>
      <c r="B44" s="514">
        <f ca="1">'TAXDEPR 144A'!B44</f>
        <v>1</v>
      </c>
      <c r="C44" s="525">
        <f ca="1">'TAXDEPR 144A'!C44</f>
        <v>1.5</v>
      </c>
      <c r="D44" s="520">
        <f>'ASSUM 2'!P41</f>
        <v>4</v>
      </c>
      <c r="E44" s="524">
        <f>'ASSUM 2'!Q41</f>
        <v>0.2</v>
      </c>
      <c r="F44" s="526">
        <f ca="1">IF(SUM($E44:E44)&lt;$C44*1000,MIN($C44*1000-SUM($C44:C44),$C44*1000*$E44),0)</f>
        <v>300</v>
      </c>
      <c r="G44" s="526">
        <f ca="1">IF(SUM($E44:F44)&lt;$C44*1000,MIN($C44*1000-SUM($C44:D44),$C44*1000*$E44),0)</f>
        <v>300</v>
      </c>
      <c r="H44" s="526">
        <f ca="1">IF(SUM($E44:G44)&lt;$C44*1000,MIN($C44*1000-SUM($C44:E44),$C44*1000*$E44),0)</f>
        <v>300</v>
      </c>
      <c r="I44" s="526">
        <f ca="1">IF(SUM($E44:H44)&lt;$C44*1000,MIN($C44*1000-SUM($C44:F44),$C44*1000*$E44),0)</f>
        <v>300</v>
      </c>
      <c r="J44" s="526">
        <f ca="1">IF(SUM($E44:I44)&lt;$C44*1000,MIN($C44*1000-SUM($C44:G44),$C44*1000*$E44),0)</f>
        <v>300</v>
      </c>
      <c r="K44" s="526">
        <f ca="1">IF(SUM($E44:J44)&lt;$C44*1000,MIN($C44*1000-SUM($C44:H44),$C44*1000*$E44),0)</f>
        <v>0</v>
      </c>
      <c r="L44" s="526">
        <f ca="1">IF(SUM($E44:K44)&lt;$C44*1000,MIN($C44*1000-SUM($C44:I44),$C44*1000*$E44),0)</f>
        <v>0</v>
      </c>
      <c r="M44" s="526">
        <f ca="1">IF(SUM($E44:L44)&lt;$C44*1000,MIN($C44*1000-SUM($C44:J44),$C44*1000*$E44),0)</f>
        <v>0</v>
      </c>
      <c r="N44" s="526">
        <f ca="1">IF(SUM($E44:M44)&lt;$C44*1000,MIN($C44*1000-SUM($C44:K44),$C44*1000*$E44),0)</f>
        <v>0</v>
      </c>
      <c r="O44" s="526">
        <f ca="1">IF(SUM($E44:N44)&lt;$C44*1000,MIN($C44*1000-SUM($C44:L44),$C44*1000*$E44),0)</f>
        <v>0</v>
      </c>
      <c r="P44" s="526">
        <f ca="1">IF(SUM($E44:O44)&lt;$C44*1000,MIN($C44*1000-SUM($C44:M44),$C44*1000*$E44),0)</f>
        <v>0</v>
      </c>
      <c r="Q44" s="526">
        <f ca="1">IF(SUM($E44:P44)&lt;$C44*1000,MIN($C44*1000-SUM($C44:N44),$C44*1000*$E44),0)</f>
        <v>0</v>
      </c>
      <c r="R44" s="526">
        <f ca="1">IF(SUM($E44:Q44)&lt;$C44*1000,MIN($C44*1000-SUM($C44:O44),$C44*1000*$E44),0)</f>
        <v>0</v>
      </c>
      <c r="S44" s="526">
        <f ca="1">IF(SUM($E44:R44)&lt;$C44*1000,MIN($C44*1000-SUM($C44:P44),$C44*1000*$E44),0)</f>
        <v>0</v>
      </c>
      <c r="T44" s="526">
        <f ca="1">IF(SUM($E44:S44)&lt;$C44*1000,MIN($C44*1000-SUM($C44:Q44),$C44*1000*$E44),0)</f>
        <v>0</v>
      </c>
      <c r="U44" s="526">
        <f ca="1">IF(SUM($E44:T44)&lt;$C44*1000,MIN($C44*1000-SUM($C44:R44),$C44*1000*$E44),0)</f>
        <v>0</v>
      </c>
      <c r="V44" s="526">
        <f ca="1">IF(SUM($E44:U44)&lt;$C44*1000,MIN($C44*1000-SUM($C44:S44),$C44*1000*$E44),0)</f>
        <v>0</v>
      </c>
      <c r="W44" s="526">
        <f ca="1">IF(SUM($E44:V44)&lt;$C44*1000,MIN($C44*1000-SUM($C44:T44),$C44*1000*$E44),0)</f>
        <v>0</v>
      </c>
      <c r="X44" s="526">
        <f ca="1">IF(SUM($E44:W44)&lt;$C44*1000,MIN($C44*1000-SUM($C44:U44),$C44*1000*$E44),0)</f>
        <v>0</v>
      </c>
      <c r="Y44" s="526">
        <f ca="1">IF(SUM($E44:X44)&lt;$C44*1000,MIN($C44*1000-SUM($C44:V44),$C44*1000*$E44),0)</f>
        <v>0</v>
      </c>
      <c r="Z44" s="526"/>
      <c r="AA44" s="527">
        <f t="shared" ca="1" si="1"/>
        <v>0</v>
      </c>
      <c r="AB44" s="511"/>
    </row>
    <row r="45" spans="1:28">
      <c r="A45" s="514" t="str">
        <f ca="1">'TAXDEPR 144A'!A45</f>
        <v>Builders Risk Insurance</v>
      </c>
      <c r="B45" s="514">
        <f ca="1">'TAXDEPR 144A'!B45</f>
        <v>1</v>
      </c>
      <c r="C45" s="525">
        <f ca="1">'TAXDEPR 144A'!C45</f>
        <v>0.41087218150457139</v>
      </c>
      <c r="D45" s="520">
        <f>'ASSUM 2'!P42</f>
        <v>4</v>
      </c>
      <c r="E45" s="524">
        <f>'ASSUM 2'!Q42</f>
        <v>0.2</v>
      </c>
      <c r="F45" s="526">
        <f ca="1">IF(SUM($E45:E45)&lt;$C45*1000,MIN($C45*1000-SUM($C45:C45),$C45*1000*$E45),0)</f>
        <v>82.174436300914294</v>
      </c>
      <c r="G45" s="526">
        <f ca="1">IF(SUM($E45:F45)&lt;$C45*1000,MIN($C45*1000-SUM($C45:D45),$C45*1000*$E45),0)</f>
        <v>82.174436300914294</v>
      </c>
      <c r="H45" s="526">
        <f ca="1">IF(SUM($E45:G45)&lt;$C45*1000,MIN($C45*1000-SUM($C45:E45),$C45*1000*$E45),0)</f>
        <v>82.174436300914294</v>
      </c>
      <c r="I45" s="526">
        <f ca="1">IF(SUM($E45:H45)&lt;$C45*1000,MIN($C45*1000-SUM($C45:F45),$C45*1000*$E45),0)</f>
        <v>82.174436300914294</v>
      </c>
      <c r="J45" s="526">
        <f ca="1">IF(SUM($E45:I45)&lt;$C45*1000,MIN($C45*1000-SUM($C45:G45),$C45*1000*$E45),0)</f>
        <v>82.174436300914294</v>
      </c>
      <c r="K45" s="526">
        <f ca="1">IF(SUM($E45:J45)&lt;$C45*1000,MIN($C45*1000-SUM($C45:H45),$C45*1000*$E45),0)</f>
        <v>0</v>
      </c>
      <c r="L45" s="526">
        <f ca="1">IF(SUM($E45:K45)&lt;$C45*1000,MIN($C45*1000-SUM($C45:I45),$C45*1000*$E45),0)</f>
        <v>0</v>
      </c>
      <c r="M45" s="526">
        <f ca="1">IF(SUM($E45:L45)&lt;$C45*1000,MIN($C45*1000-SUM($C45:J45),$C45*1000*$E45),0)</f>
        <v>0</v>
      </c>
      <c r="N45" s="526">
        <f ca="1">IF(SUM($E45:M45)&lt;$C45*1000,MIN($C45*1000-SUM($C45:K45),$C45*1000*$E45),0)</f>
        <v>0</v>
      </c>
      <c r="O45" s="526">
        <f ca="1">IF(SUM($E45:N45)&lt;$C45*1000,MIN($C45*1000-SUM($C45:L45),$C45*1000*$E45),0)</f>
        <v>0</v>
      </c>
      <c r="P45" s="526">
        <f ca="1">IF(SUM($E45:O45)&lt;$C45*1000,MIN($C45*1000-SUM($C45:M45),$C45*1000*$E45),0)</f>
        <v>0</v>
      </c>
      <c r="Q45" s="526">
        <f ca="1">IF(SUM($E45:P45)&lt;$C45*1000,MIN($C45*1000-SUM($C45:N45),$C45*1000*$E45),0)</f>
        <v>0</v>
      </c>
      <c r="R45" s="526">
        <f ca="1">IF(SUM($E45:Q45)&lt;$C45*1000,MIN($C45*1000-SUM($C45:O45),$C45*1000*$E45),0)</f>
        <v>0</v>
      </c>
      <c r="S45" s="526">
        <f ca="1">IF(SUM($E45:R45)&lt;$C45*1000,MIN($C45*1000-SUM($C45:P45),$C45*1000*$E45),0)</f>
        <v>0</v>
      </c>
      <c r="T45" s="526">
        <f ca="1">IF(SUM($E45:S45)&lt;$C45*1000,MIN($C45*1000-SUM($C45:Q45),$C45*1000*$E45),0)</f>
        <v>0</v>
      </c>
      <c r="U45" s="526">
        <f ca="1">IF(SUM($E45:T45)&lt;$C45*1000,MIN($C45*1000-SUM($C45:R45),$C45*1000*$E45),0)</f>
        <v>0</v>
      </c>
      <c r="V45" s="526">
        <f ca="1">IF(SUM($E45:U45)&lt;$C45*1000,MIN($C45*1000-SUM($C45:S45),$C45*1000*$E45),0)</f>
        <v>0</v>
      </c>
      <c r="W45" s="526">
        <f ca="1">IF(SUM($E45:V45)&lt;$C45*1000,MIN($C45*1000-SUM($C45:T45),$C45*1000*$E45),0)</f>
        <v>0</v>
      </c>
      <c r="X45" s="526">
        <f ca="1">IF(SUM($E45:W45)&lt;$C45*1000,MIN($C45*1000-SUM($C45:U45),$C45*1000*$E45),0)</f>
        <v>0</v>
      </c>
      <c r="Y45" s="526">
        <f ca="1">IF(SUM($E45:X45)&lt;$C45*1000,MIN($C45*1000-SUM($C45:V45),$C45*1000*$E45),0)</f>
        <v>0</v>
      </c>
      <c r="Z45" s="526"/>
      <c r="AA45" s="527">
        <f t="shared" ca="1" si="1"/>
        <v>0</v>
      </c>
      <c r="AB45" s="511"/>
    </row>
    <row r="46" spans="1:28">
      <c r="A46" s="514" t="str">
        <f ca="1">'TAXDEPR 144A'!A46</f>
        <v>O&amp;M Mobilization</v>
      </c>
      <c r="B46" s="514">
        <f ca="1">'TAXDEPR 144A'!B46</f>
        <v>1</v>
      </c>
      <c r="C46" s="525">
        <f ca="1">'TAXDEPR 144A'!C46</f>
        <v>0.8</v>
      </c>
      <c r="D46" s="520">
        <f>'ASSUM 2'!P43</f>
        <v>4</v>
      </c>
      <c r="E46" s="524">
        <f>'ASSUM 2'!Q43</f>
        <v>0.2</v>
      </c>
      <c r="F46" s="526">
        <f ca="1">IF(SUM($E46:E46)&lt;$C46*1000,MIN($C46*1000-SUM($C46:C46),$C46*1000*$E46),0)</f>
        <v>160</v>
      </c>
      <c r="G46" s="526">
        <f ca="1">IF(SUM($E46:F46)&lt;$C46*1000,MIN($C46*1000-SUM($C46:D46),$C46*1000*$E46),0)</f>
        <v>160</v>
      </c>
      <c r="H46" s="526">
        <f ca="1">IF(SUM($E46:G46)&lt;$C46*1000,MIN($C46*1000-SUM($C46:E46),$C46*1000*$E46),0)</f>
        <v>160</v>
      </c>
      <c r="I46" s="526">
        <f ca="1">IF(SUM($E46:H46)&lt;$C46*1000,MIN($C46*1000-SUM($C46:F46),$C46*1000*$E46),0)</f>
        <v>160</v>
      </c>
      <c r="J46" s="526">
        <f ca="1">IF(SUM($E46:I46)&lt;$C46*1000,MIN($C46*1000-SUM($C46:G46),$C46*1000*$E46),0)</f>
        <v>160</v>
      </c>
      <c r="K46" s="526">
        <f ca="1">IF(SUM($E46:J46)&lt;$C46*1000,MIN($C46*1000-SUM($C46:H46),$C46*1000*$E46),0)</f>
        <v>0</v>
      </c>
      <c r="L46" s="526">
        <f ca="1">IF(SUM($E46:K46)&lt;$C46*1000,MIN($C46*1000-SUM($C46:I46),$C46*1000*$E46),0)</f>
        <v>0</v>
      </c>
      <c r="M46" s="526">
        <f ca="1">IF(SUM($E46:L46)&lt;$C46*1000,MIN($C46*1000-SUM($C46:J46),$C46*1000*$E46),0)</f>
        <v>0</v>
      </c>
      <c r="N46" s="526">
        <f ca="1">IF(SUM($E46:M46)&lt;$C46*1000,MIN($C46*1000-SUM($C46:K46),$C46*1000*$E46),0)</f>
        <v>0</v>
      </c>
      <c r="O46" s="526">
        <f ca="1">IF(SUM($E46:N46)&lt;$C46*1000,MIN($C46*1000-SUM($C46:L46),$C46*1000*$E46),0)</f>
        <v>0</v>
      </c>
      <c r="P46" s="526">
        <f ca="1">IF(SUM($E46:O46)&lt;$C46*1000,MIN($C46*1000-SUM($C46:M46),$C46*1000*$E46),0)</f>
        <v>0</v>
      </c>
      <c r="Q46" s="526">
        <f ca="1">IF(SUM($E46:P46)&lt;$C46*1000,MIN($C46*1000-SUM($C46:N46),$C46*1000*$E46),0)</f>
        <v>0</v>
      </c>
      <c r="R46" s="526">
        <f ca="1">IF(SUM($E46:Q46)&lt;$C46*1000,MIN($C46*1000-SUM($C46:O46),$C46*1000*$E46),0)</f>
        <v>0</v>
      </c>
      <c r="S46" s="526">
        <f ca="1">IF(SUM($E46:R46)&lt;$C46*1000,MIN($C46*1000-SUM($C46:P46),$C46*1000*$E46),0)</f>
        <v>0</v>
      </c>
      <c r="T46" s="526">
        <f ca="1">IF(SUM($E46:S46)&lt;$C46*1000,MIN($C46*1000-SUM($C46:Q46),$C46*1000*$E46),0)</f>
        <v>0</v>
      </c>
      <c r="U46" s="526">
        <f ca="1">IF(SUM($E46:T46)&lt;$C46*1000,MIN($C46*1000-SUM($C46:R46),$C46*1000*$E46),0)</f>
        <v>0</v>
      </c>
      <c r="V46" s="526">
        <f ca="1">IF(SUM($E46:U46)&lt;$C46*1000,MIN($C46*1000-SUM($C46:S46),$C46*1000*$E46),0)</f>
        <v>0</v>
      </c>
      <c r="W46" s="526">
        <f ca="1">IF(SUM($E46:V46)&lt;$C46*1000,MIN($C46*1000-SUM($C46:T46),$C46*1000*$E46),0)</f>
        <v>0</v>
      </c>
      <c r="X46" s="526">
        <f ca="1">IF(SUM($E46:W46)&lt;$C46*1000,MIN($C46*1000-SUM($C46:U46),$C46*1000*$E46),0)</f>
        <v>0</v>
      </c>
      <c r="Y46" s="526">
        <f ca="1">IF(SUM($E46:X46)&lt;$C46*1000,MIN($C46*1000-SUM($C46:V46),$C46*1000*$E46),0)</f>
        <v>0</v>
      </c>
      <c r="Z46" s="526"/>
      <c r="AA46" s="527">
        <f t="shared" ca="1" si="1"/>
        <v>0</v>
      </c>
      <c r="AB46" s="511"/>
    </row>
    <row r="47" spans="1:28">
      <c r="A47" s="514" t="str">
        <f ca="1">'TAXDEPR 144A'!A47</f>
        <v>Lender Legal</v>
      </c>
      <c r="B47" s="514">
        <f ca="1">'TAXDEPR 144A'!B47</f>
        <v>1</v>
      </c>
      <c r="C47" s="525">
        <f ca="1">'TAXDEPR 144A'!C47</f>
        <v>1</v>
      </c>
      <c r="D47" s="520">
        <f>'ASSUM 2'!P44</f>
        <v>4</v>
      </c>
      <c r="E47" s="524">
        <f>'ASSUM 2'!Q44</f>
        <v>0.2</v>
      </c>
      <c r="F47" s="526">
        <f ca="1">IF(SUM($E47:E47)&lt;$C47*1000,MIN($C47*1000-SUM($C47:C47),$C47*1000*$E47),0)</f>
        <v>200</v>
      </c>
      <c r="G47" s="526">
        <f ca="1">IF(SUM($E47:F47)&lt;$C47*1000,MIN($C47*1000-SUM($C47:D47),$C47*1000*$E47),0)</f>
        <v>200</v>
      </c>
      <c r="H47" s="526">
        <f ca="1">IF(SUM($E47:G47)&lt;$C47*1000,MIN($C47*1000-SUM($C47:E47),$C47*1000*$E47),0)</f>
        <v>200</v>
      </c>
      <c r="I47" s="526">
        <f ca="1">IF(SUM($E47:H47)&lt;$C47*1000,MIN($C47*1000-SUM($C47:F47),$C47*1000*$E47),0)</f>
        <v>200</v>
      </c>
      <c r="J47" s="526">
        <f ca="1">IF(SUM($E47:I47)&lt;$C47*1000,MIN($C47*1000-SUM($C47:G47),$C47*1000*$E47),0)</f>
        <v>200</v>
      </c>
      <c r="K47" s="526">
        <f ca="1">IF(SUM($E47:J47)&lt;$C47*1000,MIN($C47*1000-SUM($C47:H47),$C47*1000*$E47),0)</f>
        <v>0</v>
      </c>
      <c r="L47" s="526">
        <f ca="1">IF(SUM($E47:K47)&lt;$C47*1000,MIN($C47*1000-SUM($C47:I47),$C47*1000*$E47),0)</f>
        <v>0</v>
      </c>
      <c r="M47" s="526">
        <f ca="1">IF(SUM($E47:L47)&lt;$C47*1000,MIN($C47*1000-SUM($C47:J47),$C47*1000*$E47),0)</f>
        <v>0</v>
      </c>
      <c r="N47" s="526">
        <f ca="1">IF(SUM($E47:M47)&lt;$C47*1000,MIN($C47*1000-SUM($C47:K47),$C47*1000*$E47),0)</f>
        <v>0</v>
      </c>
      <c r="O47" s="526">
        <f ca="1">IF(SUM($E47:N47)&lt;$C47*1000,MIN($C47*1000-SUM($C47:L47),$C47*1000*$E47),0)</f>
        <v>0</v>
      </c>
      <c r="P47" s="526">
        <f ca="1">IF(SUM($E47:O47)&lt;$C47*1000,MIN($C47*1000-SUM($C47:M47),$C47*1000*$E47),0)</f>
        <v>0</v>
      </c>
      <c r="Q47" s="526">
        <f ca="1">IF(SUM($E47:P47)&lt;$C47*1000,MIN($C47*1000-SUM($C47:N47),$C47*1000*$E47),0)</f>
        <v>0</v>
      </c>
      <c r="R47" s="526">
        <f ca="1">IF(SUM($E47:Q47)&lt;$C47*1000,MIN($C47*1000-SUM($C47:O47),$C47*1000*$E47),0)</f>
        <v>0</v>
      </c>
      <c r="S47" s="526">
        <f ca="1">IF(SUM($E47:R47)&lt;$C47*1000,MIN($C47*1000-SUM($C47:P47),$C47*1000*$E47),0)</f>
        <v>0</v>
      </c>
      <c r="T47" s="526">
        <f ca="1">IF(SUM($E47:S47)&lt;$C47*1000,MIN($C47*1000-SUM($C47:Q47),$C47*1000*$E47),0)</f>
        <v>0</v>
      </c>
      <c r="U47" s="526">
        <f ca="1">IF(SUM($E47:T47)&lt;$C47*1000,MIN($C47*1000-SUM($C47:R47),$C47*1000*$E47),0)</f>
        <v>0</v>
      </c>
      <c r="V47" s="526">
        <f ca="1">IF(SUM($E47:U47)&lt;$C47*1000,MIN($C47*1000-SUM($C47:S47),$C47*1000*$E47),0)</f>
        <v>0</v>
      </c>
      <c r="W47" s="526">
        <f ca="1">IF(SUM($E47:V47)&lt;$C47*1000,MIN($C47*1000-SUM($C47:T47),$C47*1000*$E47),0)</f>
        <v>0</v>
      </c>
      <c r="X47" s="526">
        <f ca="1">IF(SUM($E47:W47)&lt;$C47*1000,MIN($C47*1000-SUM($C47:U47),$C47*1000*$E47),0)</f>
        <v>0</v>
      </c>
      <c r="Y47" s="526">
        <f ca="1">IF(SUM($E47:X47)&lt;$C47*1000,MIN($C47*1000-SUM($C47:V47),$C47*1000*$E47),0)</f>
        <v>0</v>
      </c>
      <c r="Z47" s="526"/>
      <c r="AA47" s="527">
        <f t="shared" ca="1" si="1"/>
        <v>0</v>
      </c>
      <c r="AB47" s="511"/>
    </row>
    <row r="48" spans="1:28">
      <c r="A48" s="514" t="str">
        <f ca="1">'TAXDEPR 144A'!A48</f>
        <v>Vehicles</v>
      </c>
      <c r="B48" s="514">
        <f ca="1">'TAXDEPR 144A'!B48</f>
        <v>1</v>
      </c>
      <c r="C48" s="525">
        <f ca="1">'TAXDEPR 144A'!C48</f>
        <v>0.1</v>
      </c>
      <c r="D48" s="520">
        <f>'ASSUM 2'!P45</f>
        <v>4</v>
      </c>
      <c r="E48" s="524">
        <f>'ASSUM 2'!Q45</f>
        <v>0.2</v>
      </c>
      <c r="F48" s="526">
        <f ca="1">IF(SUM($E48:E48)&lt;$C48*1000,MIN($C48*1000-SUM($C48:C48),$C48*1000*$E48),0)</f>
        <v>20</v>
      </c>
      <c r="G48" s="526">
        <f ca="1">IF(SUM($E48:F48)&lt;$C48*1000,MIN($C48*1000-SUM($C48:D48),$C48*1000*$E48),0)</f>
        <v>20</v>
      </c>
      <c r="H48" s="526">
        <f ca="1">IF(SUM($E48:G48)&lt;$C48*1000,MIN($C48*1000-SUM($C48:E48),$C48*1000*$E48),0)</f>
        <v>20</v>
      </c>
      <c r="I48" s="526">
        <f ca="1">IF(SUM($E48:H48)&lt;$C48*1000,MIN($C48*1000-SUM($C48:F48),$C48*1000*$E48),0)</f>
        <v>20</v>
      </c>
      <c r="J48" s="526">
        <f ca="1">IF(SUM($E48:I48)&lt;$C48*1000,MIN($C48*1000-SUM($C48:G48),$C48*1000*$E48),0)</f>
        <v>20</v>
      </c>
      <c r="K48" s="526">
        <f ca="1">IF(SUM($E48:J48)&lt;$C48*1000,MIN($C48*1000-SUM($C48:H48),$C48*1000*$E48),0)</f>
        <v>0</v>
      </c>
      <c r="L48" s="526">
        <f ca="1">IF(SUM($E48:K48)&lt;$C48*1000,MIN($C48*1000-SUM($C48:I48),$C48*1000*$E48),0)</f>
        <v>0</v>
      </c>
      <c r="M48" s="526">
        <f ca="1">IF(SUM($E48:L48)&lt;$C48*1000,MIN($C48*1000-SUM($C48:J48),$C48*1000*$E48),0)</f>
        <v>0</v>
      </c>
      <c r="N48" s="526">
        <f ca="1">IF(SUM($E48:M48)&lt;$C48*1000,MIN($C48*1000-SUM($C48:K48),$C48*1000*$E48),0)</f>
        <v>0</v>
      </c>
      <c r="O48" s="526">
        <f ca="1">IF(SUM($E48:N48)&lt;$C48*1000,MIN($C48*1000-SUM($C48:L48),$C48*1000*$E48),0)</f>
        <v>0</v>
      </c>
      <c r="P48" s="526">
        <f ca="1">IF(SUM($E48:O48)&lt;$C48*1000,MIN($C48*1000-SUM($C48:M48),$C48*1000*$E48),0)</f>
        <v>0</v>
      </c>
      <c r="Q48" s="526">
        <f ca="1">IF(SUM($E48:P48)&lt;$C48*1000,MIN($C48*1000-SUM($C48:N48),$C48*1000*$E48),0)</f>
        <v>0</v>
      </c>
      <c r="R48" s="526">
        <f ca="1">IF(SUM($E48:Q48)&lt;$C48*1000,MIN($C48*1000-SUM($C48:O48),$C48*1000*$E48),0)</f>
        <v>0</v>
      </c>
      <c r="S48" s="526">
        <f ca="1">IF(SUM($E48:R48)&lt;$C48*1000,MIN($C48*1000-SUM($C48:P48),$C48*1000*$E48),0)</f>
        <v>0</v>
      </c>
      <c r="T48" s="526">
        <f ca="1">IF(SUM($E48:S48)&lt;$C48*1000,MIN($C48*1000-SUM($C48:Q48),$C48*1000*$E48),0)</f>
        <v>0</v>
      </c>
      <c r="U48" s="526">
        <f ca="1">IF(SUM($E48:T48)&lt;$C48*1000,MIN($C48*1000-SUM($C48:R48),$C48*1000*$E48),0)</f>
        <v>0</v>
      </c>
      <c r="V48" s="526">
        <f ca="1">IF(SUM($E48:U48)&lt;$C48*1000,MIN($C48*1000-SUM($C48:S48),$C48*1000*$E48),0)</f>
        <v>0</v>
      </c>
      <c r="W48" s="526">
        <f ca="1">IF(SUM($E48:V48)&lt;$C48*1000,MIN($C48*1000-SUM($C48:T48),$C48*1000*$E48),0)</f>
        <v>0</v>
      </c>
      <c r="X48" s="526">
        <f ca="1">IF(SUM($E48:W48)&lt;$C48*1000,MIN($C48*1000-SUM($C48:U48),$C48*1000*$E48),0)</f>
        <v>0</v>
      </c>
      <c r="Y48" s="526">
        <f ca="1">IF(SUM($E48:X48)&lt;$C48*1000,MIN($C48*1000-SUM($C48:V48),$C48*1000*$E48),0)</f>
        <v>0</v>
      </c>
      <c r="Z48" s="526"/>
      <c r="AA48" s="527">
        <f t="shared" ca="1" si="1"/>
        <v>0</v>
      </c>
      <c r="AB48" s="511"/>
    </row>
    <row r="49" spans="1:28">
      <c r="A49" s="514" t="str">
        <f ca="1">'TAXDEPR 144A'!A49</f>
        <v>Document Recording Tax (State of VA tax)</v>
      </c>
      <c r="B49" s="514">
        <f ca="1">'TAXDEPR 144A'!B49</f>
        <v>1</v>
      </c>
      <c r="C49" s="525">
        <f ca="1">'TAXDEPR 144A'!C49</f>
        <v>7.4999999999999997E-3</v>
      </c>
      <c r="D49" s="520">
        <f>'ASSUM 2'!P46</f>
        <v>4</v>
      </c>
      <c r="E49" s="524">
        <f>'ASSUM 2'!Q46</f>
        <v>0.2</v>
      </c>
      <c r="F49" s="526">
        <f ca="1">$E$49*$C$49*1000</f>
        <v>1.5</v>
      </c>
      <c r="G49" s="526">
        <f ca="1">$E$49*$C$49*1000</f>
        <v>1.5</v>
      </c>
      <c r="H49" s="526">
        <f ca="1">$E$49*$C$49*1000</f>
        <v>1.5</v>
      </c>
      <c r="I49" s="526">
        <f ca="1">$E$49*$C$49*1000</f>
        <v>1.5</v>
      </c>
      <c r="J49" s="526">
        <f ca="1">$E$49*$C$49*1000</f>
        <v>1.5</v>
      </c>
      <c r="K49" s="526">
        <f ca="1">IF(SUM($E49:J49)&lt;$C49*1000,MIN($C49*1000-SUM($C49:H49),$C49*1000*$E49),0)</f>
        <v>0</v>
      </c>
      <c r="L49" s="526">
        <f ca="1">IF(SUM($E49:K49)&lt;$C49*1000,MIN($C49*1000-SUM($C49:I49),$C49*1000*$E49),0)</f>
        <v>0</v>
      </c>
      <c r="M49" s="526">
        <f ca="1">IF(SUM($E49:L49)&lt;$C49*1000,MIN($C49*1000-SUM($C49:J49),$C49*1000*$E49),0)</f>
        <v>0</v>
      </c>
      <c r="N49" s="526">
        <f ca="1">IF(SUM($E49:M49)&lt;$C49*1000,MIN($C49*1000-SUM($C49:K49),$C49*1000*$E49),0)</f>
        <v>0</v>
      </c>
      <c r="O49" s="526">
        <f ca="1">IF(SUM($E49:N49)&lt;$C49*1000,MIN($C49*1000-SUM($C49:L49),$C49*1000*$E49),0)</f>
        <v>0</v>
      </c>
      <c r="P49" s="526">
        <f ca="1">IF(SUM($E49:O49)&lt;$C49*1000,MIN($C49*1000-SUM($C49:M49),$C49*1000*$E49),0)</f>
        <v>0</v>
      </c>
      <c r="Q49" s="526">
        <f ca="1">IF(SUM($E49:P49)&lt;$C49*1000,MIN($C49*1000-SUM($C49:N49),$C49*1000*$E49),0)</f>
        <v>0</v>
      </c>
      <c r="R49" s="526">
        <f ca="1">IF(SUM($E49:Q49)&lt;$C49*1000,MIN($C49*1000-SUM($C49:O49),$C49*1000*$E49),0)</f>
        <v>0</v>
      </c>
      <c r="S49" s="526">
        <f ca="1">IF(SUM($E49:R49)&lt;$C49*1000,MIN($C49*1000-SUM($C49:P49),$C49*1000*$E49),0)</f>
        <v>0</v>
      </c>
      <c r="T49" s="526">
        <f ca="1">IF(SUM($E49:S49)&lt;$C49*1000,MIN($C49*1000-SUM($C49:Q49),$C49*1000*$E49),0)</f>
        <v>0</v>
      </c>
      <c r="U49" s="526">
        <f ca="1">IF(SUM($E49:T49)&lt;$C49*1000,MIN($C49*1000-SUM($C49:R49),$C49*1000*$E49),0)</f>
        <v>0</v>
      </c>
      <c r="V49" s="526">
        <f ca="1">IF(SUM($E49:U49)&lt;$C49*1000,MIN($C49*1000-SUM($C49:S49),$C49*1000*$E49),0)</f>
        <v>0</v>
      </c>
      <c r="W49" s="526">
        <f ca="1">IF(SUM($E49:V49)&lt;$C49*1000,MIN($C49*1000-SUM($C49:T49),$C49*1000*$E49),0)</f>
        <v>0</v>
      </c>
      <c r="X49" s="526">
        <f ca="1">IF(SUM($E49:W49)&lt;$C49*1000,MIN($C49*1000-SUM($C49:U49),$C49*1000*$E49),0)</f>
        <v>0</v>
      </c>
      <c r="Y49" s="526">
        <f ca="1">IF(SUM($E49:X49)&lt;$C49*1000,MIN($C49*1000-SUM($C49:V49),$C49*1000*$E49),0)</f>
        <v>0</v>
      </c>
      <c r="Z49" s="526"/>
      <c r="AA49" s="527">
        <f t="shared" ca="1" si="1"/>
        <v>0</v>
      </c>
      <c r="AB49" s="511"/>
    </row>
    <row r="50" spans="1:28">
      <c r="A50" s="514" t="str">
        <f ca="1">'TAXDEPR 144A'!A50</f>
        <v>Working Capital</v>
      </c>
      <c r="B50" s="514">
        <f ca="1">'TAXDEPR 144A'!B50</f>
        <v>0</v>
      </c>
      <c r="C50" s="525">
        <f ca="1">'TAXDEPR 144A'!C50</f>
        <v>0</v>
      </c>
      <c r="D50" s="520">
        <f>'ASSUM 2'!P47</f>
        <v>0</v>
      </c>
      <c r="E50" s="524">
        <f>'ASSUM 2'!Q47</f>
        <v>0</v>
      </c>
      <c r="F50" s="526">
        <f ca="1">IF(SUM($E50:E50)&lt;$C50*1000,MIN($C50*1000-SUM($C50:C50),$C50*1000*$E50),0)*F$9/12</f>
        <v>0</v>
      </c>
      <c r="G50" s="526">
        <f ca="1">IF(SUM($E50:F50)&lt;$C50*1000,MIN($C50*1000-SUM($C50:D50),$C50*1000*$E50),0)*G$9/12</f>
        <v>0</v>
      </c>
      <c r="H50" s="526">
        <f ca="1">IF(SUM($E50:G50)&lt;$C50*1000,MIN($C50*1000-SUM($C50:E50),$C50*1000*$E50),0)*H$9/12</f>
        <v>0</v>
      </c>
      <c r="I50" s="526">
        <f ca="1">IF(SUM($E50:H50)&lt;$C50*1000,MIN($C50*1000-SUM($C50:F50),$C50*1000*$E50),0)*I$9/12</f>
        <v>0</v>
      </c>
      <c r="J50" s="526">
        <f ca="1">IF(SUM($E50:I50)&lt;$C50*1000,MIN($C50*1000-SUM($C50:G50),$C50*1000*$E50),0)*J$9/12</f>
        <v>0</v>
      </c>
      <c r="K50" s="526">
        <f ca="1">IF(SUM($E50:J50)&lt;$C50*1000,MIN($C50*1000-SUM($C50:H50),$C50*1000*$E50),0)*K$9/12</f>
        <v>0</v>
      </c>
      <c r="L50" s="526">
        <f ca="1">IF(SUM($E50:K50)&lt;$C50*1000,MIN($C50*1000-SUM($C50:I50),$C50*1000*$E50),0)*L$9/12</f>
        <v>0</v>
      </c>
      <c r="M50" s="526">
        <f ca="1">IF(SUM($E50:L50)&lt;$C50*1000,MIN($C50*1000-SUM($C50:J50),$C50*1000*$E50),0)*M$9/12</f>
        <v>0</v>
      </c>
      <c r="N50" s="526">
        <f ca="1">IF(SUM($E50:M50)&lt;$C50*1000,MIN($C50*1000-SUM($C50:K50),$C50*1000*$E50),0)*N$9/12</f>
        <v>0</v>
      </c>
      <c r="O50" s="526">
        <f ca="1">IF(SUM($E50:N50)&lt;$C50*1000,MIN($C50*1000-SUM($C50:L50),$C50*1000*$E50),0)*O$9/12</f>
        <v>0</v>
      </c>
      <c r="P50" s="526">
        <f ca="1">IF(SUM($E50:O50)&lt;$C50*1000,MIN($C50*1000-SUM($C50:M50),$C50*1000*$E50),0)*P$9/12</f>
        <v>0</v>
      </c>
      <c r="Q50" s="526">
        <f ca="1">IF(SUM($E50:P50)&lt;$C50*1000,MIN($C50*1000-SUM($C50:N50),$C50*1000*$E50),0)*Q$9/12</f>
        <v>0</v>
      </c>
      <c r="R50" s="526">
        <f ca="1">IF(SUM($E50:Q50)&lt;$C50*1000,MIN($C50*1000-SUM($C50:O50),$C50*1000*$E50),0)*R$9/12</f>
        <v>0</v>
      </c>
      <c r="S50" s="526">
        <f ca="1">IF(SUM($E50:R50)&lt;$C50*1000,MIN($C50*1000-SUM($C50:P50),$C50*1000*$E50),0)*S$9/12</f>
        <v>0</v>
      </c>
      <c r="T50" s="526">
        <f ca="1">IF(SUM($E50:S50)&lt;$C50*1000,MIN($C50*1000-SUM($C50:Q50),$C50*1000*$E50),0)*T$9/12</f>
        <v>0</v>
      </c>
      <c r="U50" s="526">
        <f ca="1">IF(SUM($E50:T50)&lt;$C50*1000,MIN($C50*1000-SUM($C50:R50),$C50*1000*$E50),0)*U$9/12</f>
        <v>0</v>
      </c>
      <c r="V50" s="526">
        <f ca="1">IF(SUM($E50:U50)&lt;$C50*1000,MIN($C50*1000-SUM($C50:S50),$C50*1000*$E50),0)*V$9/12</f>
        <v>0</v>
      </c>
      <c r="W50" s="526">
        <f ca="1">IF(SUM($E50:V50)&lt;$C50*1000,MIN($C50*1000-SUM($C50:T50),$C50*1000*$E50),0)*W$9/12</f>
        <v>0</v>
      </c>
      <c r="X50" s="526">
        <f ca="1">IF(SUM($E50:W50)&lt;$C50*1000,MIN($C50*1000-SUM($C50:U50),$C50*1000*$E50),0)*X$9/12</f>
        <v>0</v>
      </c>
      <c r="Y50" s="526">
        <f ca="1">IF(SUM($E50:X50)&lt;$C50*1000,MIN($C50*1000-SUM($C50:V50),$C50*1000*$E50),0)*Y$9/12</f>
        <v>0</v>
      </c>
      <c r="Z50" s="526"/>
      <c r="AA50" s="527">
        <f t="shared" ca="1" si="1"/>
        <v>0</v>
      </c>
      <c r="AB50" s="511"/>
    </row>
    <row r="51" spans="1:28">
      <c r="A51" s="514" t="str">
        <f ca="1">'TAXDEPR 144A'!A51</f>
        <v>Other</v>
      </c>
      <c r="B51" s="514">
        <f ca="1">'TAXDEPR 144A'!B51</f>
        <v>1</v>
      </c>
      <c r="C51" s="525">
        <f ca="1">'TAXDEPR 144A'!C51</f>
        <v>0</v>
      </c>
      <c r="D51" s="520">
        <f>'ASSUM 2'!P48</f>
        <v>0</v>
      </c>
      <c r="E51" s="524">
        <f>'ASSUM 2'!Q48</f>
        <v>0</v>
      </c>
      <c r="F51" s="526">
        <f ca="1">IF(SUM($E51:E51)&lt;$C51*1000,MIN($C51*1000-SUM($C51:C51),$C51*1000*$E51),0)*F$9/12</f>
        <v>0</v>
      </c>
      <c r="G51" s="526">
        <f ca="1">IF(SUM($E51:F51)&lt;$C51*1000,MIN($C51*1000-SUM($C51:D51),$C51*1000*$E51),0)*G$9/12</f>
        <v>0</v>
      </c>
      <c r="H51" s="526">
        <f ca="1">IF(SUM($E51:G51)&lt;$C51*1000,MIN($C51*1000-SUM($C51:E51),$C51*1000*$E51),0)*H$9/12</f>
        <v>0</v>
      </c>
      <c r="I51" s="526">
        <f ca="1">IF(SUM($E51:H51)&lt;$C51*1000,MIN($C51*1000-SUM($C51:F51),$C51*1000*$E51),0)*I$9/12</f>
        <v>0</v>
      </c>
      <c r="J51" s="526">
        <f ca="1">IF(SUM($E51:I51)&lt;$C51*1000,MIN($C51*1000-SUM($C51:G51),$C51*1000*$E51),0)*J$9/12</f>
        <v>0</v>
      </c>
      <c r="K51" s="526">
        <f ca="1">IF(SUM($E51:J51)&lt;$C51*1000,MIN($C51*1000-SUM($C51:H51),$C51*1000*$E51),0)*K$9/12</f>
        <v>0</v>
      </c>
      <c r="L51" s="526">
        <f ca="1">IF(SUM($E51:K51)&lt;$C51*1000,MIN($C51*1000-SUM($C51:I51),$C51*1000*$E51),0)*L$9/12</f>
        <v>0</v>
      </c>
      <c r="M51" s="526">
        <f ca="1">IF(SUM($E51:L51)&lt;$C51*1000,MIN($C51*1000-SUM($C51:J51),$C51*1000*$E51),0)*M$9/12</f>
        <v>0</v>
      </c>
      <c r="N51" s="526">
        <f ca="1">IF(SUM($E51:M51)&lt;$C51*1000,MIN($C51*1000-SUM($C51:K51),$C51*1000*$E51),0)*N$9/12</f>
        <v>0</v>
      </c>
      <c r="O51" s="526">
        <f ca="1">IF(SUM($E51:N51)&lt;$C51*1000,MIN($C51*1000-SUM($C51:L51),$C51*1000*$E51),0)*O$9/12</f>
        <v>0</v>
      </c>
      <c r="P51" s="526">
        <f ca="1">IF(SUM($E51:O51)&lt;$C51*1000,MIN($C51*1000-SUM($C51:M51),$C51*1000*$E51),0)*P$9/12</f>
        <v>0</v>
      </c>
      <c r="Q51" s="526">
        <f ca="1">IF(SUM($E51:P51)&lt;$C51*1000,MIN($C51*1000-SUM($C51:N51),$C51*1000*$E51),0)*Q$9/12</f>
        <v>0</v>
      </c>
      <c r="R51" s="526">
        <f ca="1">IF(SUM($E51:Q51)&lt;$C51*1000,MIN($C51*1000-SUM($C51:O51),$C51*1000*$E51),0)*R$9/12</f>
        <v>0</v>
      </c>
      <c r="S51" s="526">
        <f ca="1">IF(SUM($E51:R51)&lt;$C51*1000,MIN($C51*1000-SUM($C51:P51),$C51*1000*$E51),0)*S$9/12</f>
        <v>0</v>
      </c>
      <c r="T51" s="526">
        <f ca="1">IF(SUM($E51:S51)&lt;$C51*1000,MIN($C51*1000-SUM($C51:Q51),$C51*1000*$E51),0)*T$9/12</f>
        <v>0</v>
      </c>
      <c r="U51" s="526">
        <f ca="1">IF(SUM($E51:T51)&lt;$C51*1000,MIN($C51*1000-SUM($C51:R51),$C51*1000*$E51),0)*U$9/12</f>
        <v>0</v>
      </c>
      <c r="V51" s="526">
        <f ca="1">IF(SUM($E51:U51)&lt;$C51*1000,MIN($C51*1000-SUM($C51:S51),$C51*1000*$E51),0)*V$9/12</f>
        <v>0</v>
      </c>
      <c r="W51" s="526">
        <f ca="1">IF(SUM($E51:V51)&lt;$C51*1000,MIN($C51*1000-SUM($C51:T51),$C51*1000*$E51),0)*W$9/12</f>
        <v>0</v>
      </c>
      <c r="X51" s="526">
        <f ca="1">IF(SUM($E51:W51)&lt;$C51*1000,MIN($C51*1000-SUM($C51:U51),$C51*1000*$E51),0)*X$9/12</f>
        <v>0</v>
      </c>
      <c r="Y51" s="526">
        <f ca="1">IF(SUM($E51:X51)&lt;$C51*1000,MIN($C51*1000-SUM($C51:V51),$C51*1000*$E51),0)*Y$9/12</f>
        <v>0</v>
      </c>
      <c r="Z51" s="526"/>
      <c r="AA51" s="527">
        <f t="shared" ca="1" si="1"/>
        <v>0</v>
      </c>
      <c r="AB51" s="511"/>
    </row>
    <row r="52" spans="1:28">
      <c r="A52" s="514" t="str">
        <f ca="1">'TAXDEPR 144A'!A52</f>
        <v xml:space="preserve">Debt Reserve </v>
      </c>
      <c r="B52" s="514">
        <f ca="1">'TAXDEPR 144A'!B52</f>
        <v>0</v>
      </c>
      <c r="C52" s="525">
        <f ca="1">'TAXDEPR 144A'!C52</f>
        <v>0</v>
      </c>
      <c r="D52" s="520">
        <f>'ASSUM 2'!P49</f>
        <v>0</v>
      </c>
      <c r="E52" s="524">
        <f>'ASSUM 2'!Q49</f>
        <v>0</v>
      </c>
      <c r="F52" s="526">
        <f ca="1">IF(SUM($E52:E52)&lt;$C52*1000,MIN($C52*1000-SUM($C52:C52),$C52*1000*$E52),0)*F$9/12</f>
        <v>0</v>
      </c>
      <c r="G52" s="526">
        <f ca="1">IF(SUM($E52:F52)&lt;$C52*1000,MIN($C52*1000-SUM($C52:D52),$C52*1000*$E52),0)*G$9/12</f>
        <v>0</v>
      </c>
      <c r="H52" s="526">
        <f ca="1">IF(SUM($E52:G52)&lt;$C52*1000,MIN($C52*1000-SUM($C52:E52),$C52*1000*$E52),0)*H$9/12</f>
        <v>0</v>
      </c>
      <c r="I52" s="526">
        <f ca="1">IF(SUM($E52:H52)&lt;$C52*1000,MIN($C52*1000-SUM($C52:F52),$C52*1000*$E52),0)*I$9/12</f>
        <v>0</v>
      </c>
      <c r="J52" s="526">
        <f ca="1">IF(SUM($E52:I52)&lt;$C52*1000,MIN($C52*1000-SUM($C52:G52),$C52*1000*$E52),0)*J$9/12</f>
        <v>0</v>
      </c>
      <c r="K52" s="526">
        <f ca="1">IF(SUM($E52:J52)&lt;$C52*1000,MIN($C52*1000-SUM($C52:H52),$C52*1000*$E52),0)*K$9/12</f>
        <v>0</v>
      </c>
      <c r="L52" s="526">
        <f ca="1">IF(SUM($E52:K52)&lt;$C52*1000,MIN($C52*1000-SUM($C52:I52),$C52*1000*$E52),0)*L$9/12</f>
        <v>0</v>
      </c>
      <c r="M52" s="526">
        <f ca="1">IF(SUM($E52:L52)&lt;$C52*1000,MIN($C52*1000-SUM($C52:J52),$C52*1000*$E52),0)*M$9/12</f>
        <v>0</v>
      </c>
      <c r="N52" s="526">
        <f ca="1">IF(SUM($E52:M52)&lt;$C52*1000,MIN($C52*1000-SUM($C52:K52),$C52*1000*$E52),0)*N$9/12</f>
        <v>0</v>
      </c>
      <c r="O52" s="526">
        <f ca="1">IF(SUM($E52:N52)&lt;$C52*1000,MIN($C52*1000-SUM($C52:L52),$C52*1000*$E52),0)*O$9/12</f>
        <v>0</v>
      </c>
      <c r="P52" s="526">
        <f ca="1">IF(SUM($E52:O52)&lt;$C52*1000,MIN($C52*1000-SUM($C52:M52),$C52*1000*$E52),0)*P$9/12</f>
        <v>0</v>
      </c>
      <c r="Q52" s="526">
        <f ca="1">IF(SUM($E52:P52)&lt;$C52*1000,MIN($C52*1000-SUM($C52:N52),$C52*1000*$E52),0)*Q$9/12</f>
        <v>0</v>
      </c>
      <c r="R52" s="526">
        <f ca="1">IF(SUM($E52:Q52)&lt;$C52*1000,MIN($C52*1000-SUM($C52:O52),$C52*1000*$E52),0)*R$9/12</f>
        <v>0</v>
      </c>
      <c r="S52" s="526">
        <f ca="1">IF(SUM($E52:R52)&lt;$C52*1000,MIN($C52*1000-SUM($C52:P52),$C52*1000*$E52),0)*S$9/12</f>
        <v>0</v>
      </c>
      <c r="T52" s="526">
        <f ca="1">IF(SUM($E52:S52)&lt;$C52*1000,MIN($C52*1000-SUM($C52:Q52),$C52*1000*$E52),0)*T$9/12</f>
        <v>0</v>
      </c>
      <c r="U52" s="526">
        <f ca="1">IF(SUM($E52:T52)&lt;$C52*1000,MIN($C52*1000-SUM($C52:R52),$C52*1000*$E52),0)*U$9/12</f>
        <v>0</v>
      </c>
      <c r="V52" s="526">
        <f ca="1">IF(SUM($E52:U52)&lt;$C52*1000,MIN($C52*1000-SUM($C52:S52),$C52*1000*$E52),0)*V$9/12</f>
        <v>0</v>
      </c>
      <c r="W52" s="526">
        <f ca="1">IF(SUM($E52:V52)&lt;$C52*1000,MIN($C52*1000-SUM($C52:T52),$C52*1000*$E52),0)*W$9/12</f>
        <v>0</v>
      </c>
      <c r="X52" s="526">
        <f ca="1">IF(SUM($E52:W52)&lt;$C52*1000,MIN($C52*1000-SUM($C52:U52),$C52*1000*$E52),0)*X$9/12</f>
        <v>0</v>
      </c>
      <c r="Y52" s="526">
        <f ca="1">IF(SUM($E52:X52)&lt;$C52*1000,MIN($C52*1000-SUM($C52:V52),$C52*1000*$E52),0)*Y$9/12</f>
        <v>0</v>
      </c>
      <c r="Z52" s="526"/>
      <c r="AA52" s="527">
        <f t="shared" ca="1" si="1"/>
        <v>0</v>
      </c>
      <c r="AB52" s="511"/>
    </row>
    <row r="53" spans="1:28">
      <c r="A53" s="514" t="str">
        <f ca="1">'TAXDEPR 144A'!A53</f>
        <v>Other</v>
      </c>
      <c r="B53" s="514">
        <f ca="1">'TAXDEPR 144A'!B53</f>
        <v>1</v>
      </c>
      <c r="C53" s="525">
        <f ca="1">'TAXDEPR 144A'!C53</f>
        <v>0</v>
      </c>
      <c r="D53" s="520">
        <f>'ASSUM 2'!P50</f>
        <v>4</v>
      </c>
      <c r="E53" s="524">
        <f>'ASSUM 2'!Q50</f>
        <v>0.2</v>
      </c>
      <c r="F53" s="526">
        <f ca="1">IF(SUM($E53:E53)&lt;$C53*1000,MIN($C53*1000-SUM($C53:C53),$C53*1000*$E53),0)*F$9/12</f>
        <v>0</v>
      </c>
      <c r="G53" s="526">
        <f ca="1">IF(SUM($E53:F53)&lt;$C53*1000,MIN($C53*1000-SUM($C53:D53),$C53*1000*$E53),0)*G$9/12</f>
        <v>0</v>
      </c>
      <c r="H53" s="526">
        <f ca="1">IF(SUM($E53:G53)&lt;$C53*1000,MIN($C53*1000-SUM($C53:E53),$C53*1000*$E53),0)*H$9/12</f>
        <v>0</v>
      </c>
      <c r="I53" s="526">
        <f ca="1">IF(SUM($E53:H53)&lt;$C53*1000,MIN($C53*1000-SUM($C53:F53),$C53*1000*$E53),0)*I$9/12</f>
        <v>0</v>
      </c>
      <c r="J53" s="526">
        <f ca="1">IF(SUM($E53:I53)&lt;$C53*1000,MIN($C53*1000-SUM($C53:G53),$C53*1000*$E53),0)*J$9/12</f>
        <v>0</v>
      </c>
      <c r="K53" s="526">
        <f ca="1">IF(SUM($E53:J53)&lt;$C53*1000,MIN($C53*1000-SUM($C53:H53),$C53*1000*$E53),0)*K$9/12</f>
        <v>0</v>
      </c>
      <c r="L53" s="526">
        <f ca="1">IF(SUM($E53:K53)&lt;$C53*1000,MIN($C53*1000-SUM($C53:I53),$C53*1000*$E53),0)*L$9/12</f>
        <v>0</v>
      </c>
      <c r="M53" s="526">
        <f ca="1">IF(SUM($E53:L53)&lt;$C53*1000,MIN($C53*1000-SUM($C53:J53),$C53*1000*$E53),0)*M$9/12</f>
        <v>0</v>
      </c>
      <c r="N53" s="526">
        <f ca="1">IF(SUM($E53:M53)&lt;$C53*1000,MIN($C53*1000-SUM($C53:K53),$C53*1000*$E53),0)*N$9/12</f>
        <v>0</v>
      </c>
      <c r="O53" s="526">
        <f ca="1">IF(SUM($E53:N53)&lt;$C53*1000,MIN($C53*1000-SUM($C53:L53),$C53*1000*$E53),0)*O$9/12</f>
        <v>0</v>
      </c>
      <c r="P53" s="526">
        <f ca="1">IF(SUM($E53:O53)&lt;$C53*1000,MIN($C53*1000-SUM($C53:M53),$C53*1000*$E53),0)*P$9/12</f>
        <v>0</v>
      </c>
      <c r="Q53" s="526">
        <f ca="1">IF(SUM($E53:P53)&lt;$C53*1000,MIN($C53*1000-SUM($C53:N53),$C53*1000*$E53),0)*Q$9/12</f>
        <v>0</v>
      </c>
      <c r="R53" s="526">
        <f ca="1">IF(SUM($E53:Q53)&lt;$C53*1000,MIN($C53*1000-SUM($C53:O53),$C53*1000*$E53),0)*R$9/12</f>
        <v>0</v>
      </c>
      <c r="S53" s="526">
        <f ca="1">IF(SUM($E53:R53)&lt;$C53*1000,MIN($C53*1000-SUM($C53:P53),$C53*1000*$E53),0)*S$9/12</f>
        <v>0</v>
      </c>
      <c r="T53" s="526">
        <f ca="1">IF(SUM($E53:S53)&lt;$C53*1000,MIN($C53*1000-SUM($C53:Q53),$C53*1000*$E53),0)*T$9/12</f>
        <v>0</v>
      </c>
      <c r="U53" s="526">
        <f ca="1">IF(SUM($E53:T53)&lt;$C53*1000,MIN($C53*1000-SUM($C53:R53),$C53*1000*$E53),0)*U$9/12</f>
        <v>0</v>
      </c>
      <c r="V53" s="526">
        <f ca="1">IF(SUM($E53:U53)&lt;$C53*1000,MIN($C53*1000-SUM($C53:S53),$C53*1000*$E53),0)*V$9/12</f>
        <v>0</v>
      </c>
      <c r="W53" s="526">
        <f ca="1">IF(SUM($E53:V53)&lt;$C53*1000,MIN($C53*1000-SUM($C53:T53),$C53*1000*$E53),0)*W$9/12</f>
        <v>0</v>
      </c>
      <c r="X53" s="526">
        <f ca="1">IF(SUM($E53:W53)&lt;$C53*1000,MIN($C53*1000-SUM($C53:U53),$C53*1000*$E53),0)*X$9/12</f>
        <v>0</v>
      </c>
      <c r="Y53" s="526">
        <f ca="1">IF(SUM($E53:X53)&lt;$C53*1000,MIN($C53*1000-SUM($C53:V53),$C53*1000*$E53),0)*Y$9/12</f>
        <v>0</v>
      </c>
      <c r="Z53" s="526"/>
      <c r="AA53" s="527">
        <f t="shared" ca="1" si="1"/>
        <v>0</v>
      </c>
      <c r="AB53" s="511"/>
    </row>
    <row r="54" spans="1:28">
      <c r="A54" s="514" t="str">
        <f ca="1">'TAXDEPR 144A'!A54</f>
        <v>Environmental Impact Assessment</v>
      </c>
      <c r="B54" s="514">
        <f ca="1">'TAXDEPR 144A'!B54</f>
        <v>1</v>
      </c>
      <c r="C54" s="525">
        <f ca="1">'TAXDEPR 144A'!C54</f>
        <v>0.05</v>
      </c>
      <c r="D54" s="520">
        <f>'ASSUM 2'!P51</f>
        <v>4</v>
      </c>
      <c r="E54" s="524">
        <f>'ASSUM 2'!Q51</f>
        <v>0.2</v>
      </c>
      <c r="F54" s="526">
        <f ca="1">IF(SUM($E54:E54)&lt;$C54*1000,MIN($C54*1000-SUM($C54:C54),$C54*1000*$E54),0)</f>
        <v>10</v>
      </c>
      <c r="G54" s="526">
        <f ca="1">IF(SUM($E54:F54)&lt;$C54*1000,MIN($C54*1000-SUM($C54:D54),$C54*1000*$E54),0)</f>
        <v>10</v>
      </c>
      <c r="H54" s="526">
        <f ca="1">IF(SUM($E54:G54)&lt;$C54*1000,MIN($C54*1000-SUM($C54:E54),$C54*1000*$E54),0)</f>
        <v>10</v>
      </c>
      <c r="I54" s="526">
        <f ca="1">IF(SUM($E54:H54)&lt;$C54*1000,MIN($C54*1000-SUM($C54:F54),$C54*1000*$E54),0)</f>
        <v>10</v>
      </c>
      <c r="J54" s="526">
        <f ca="1">IF(SUM($E54:I54)&lt;$C54*1000,MIN($C54*1000-SUM($C54:G54),$C54*1000*$E54),0)</f>
        <v>10</v>
      </c>
      <c r="K54" s="526">
        <f ca="1">IF(SUM($E54:J54)&lt;$C54*1000,MIN($C54*1000-SUM($C54:H54),$C54*1000*$E54),0)</f>
        <v>0</v>
      </c>
      <c r="L54" s="526">
        <f ca="1">IF(SUM($E54:K54)&lt;$C54*1000,MIN($C54*1000-SUM($C54:I54),$C54*1000*$E54),0)</f>
        <v>0</v>
      </c>
      <c r="M54" s="526">
        <f ca="1">IF(SUM($E54:L54)&lt;$C54*1000,MIN($C54*1000-SUM($C54:J54),$C54*1000*$E54),0)</f>
        <v>0</v>
      </c>
      <c r="N54" s="526">
        <f ca="1">IF(SUM($E54:M54)&lt;$C54*1000,MIN($C54*1000-SUM($C54:K54),$C54*1000*$E54),0)</f>
        <v>0</v>
      </c>
      <c r="O54" s="526">
        <f ca="1">IF(SUM($E54:N54)&lt;$C54*1000,MIN($C54*1000-SUM($C54:L54),$C54*1000*$E54),0)</f>
        <v>0</v>
      </c>
      <c r="P54" s="526">
        <f ca="1">IF(SUM($E54:O54)&lt;$C54*1000,MIN($C54*1000-SUM($C54:M54),$C54*1000*$E54),0)</f>
        <v>0</v>
      </c>
      <c r="Q54" s="526">
        <f ca="1">IF(SUM($E54:P54)&lt;$C54*1000,MIN($C54*1000-SUM($C54:N54),$C54*1000*$E54),0)</f>
        <v>0</v>
      </c>
      <c r="R54" s="526">
        <f ca="1">IF(SUM($E54:Q54)&lt;$C54*1000,MIN($C54*1000-SUM($C54:O54),$C54*1000*$E54),0)</f>
        <v>0</v>
      </c>
      <c r="S54" s="526">
        <f ca="1">IF(SUM($E54:R54)&lt;$C54*1000,MIN($C54*1000-SUM($C54:P54),$C54*1000*$E54),0)</f>
        <v>0</v>
      </c>
      <c r="T54" s="526">
        <f ca="1">IF(SUM($E54:S54)&lt;$C54*1000,MIN($C54*1000-SUM($C54:Q54),$C54*1000*$E54),0)</f>
        <v>0</v>
      </c>
      <c r="U54" s="526">
        <f ca="1">IF(SUM($E54:T54)&lt;$C54*1000,MIN($C54*1000-SUM($C54:R54),$C54*1000*$E54),0)</f>
        <v>0</v>
      </c>
      <c r="V54" s="526">
        <f ca="1">IF(SUM($E54:U54)&lt;$C54*1000,MIN($C54*1000-SUM($C54:S54),$C54*1000*$E54),0)</f>
        <v>0</v>
      </c>
      <c r="W54" s="526">
        <f ca="1">IF(SUM($E54:V54)&lt;$C54*1000,MIN($C54*1000-SUM($C54:T54),$C54*1000*$E54),0)</f>
        <v>0</v>
      </c>
      <c r="X54" s="526">
        <f ca="1">IF(SUM($E54:W54)&lt;$C54*1000,MIN($C54*1000-SUM($C54:U54),$C54*1000*$E54),0)</f>
        <v>0</v>
      </c>
      <c r="Y54" s="526">
        <f ca="1">IF(SUM($E54:X54)&lt;$C54*1000,MIN($C54*1000-SUM($C54:V54),$C54*1000*$E54),0)</f>
        <v>0</v>
      </c>
      <c r="Z54" s="526"/>
      <c r="AA54" s="527">
        <f t="shared" ca="1" si="1"/>
        <v>0</v>
      </c>
      <c r="AB54" s="511"/>
    </row>
    <row r="55" spans="1:28">
      <c r="A55" s="514" t="str">
        <f ca="1">'TAXDEPR 144A'!A55</f>
        <v xml:space="preserve">Other </v>
      </c>
      <c r="B55" s="514">
        <f ca="1">'TAXDEPR 144A'!B55</f>
        <v>1</v>
      </c>
      <c r="C55" s="525">
        <f ca="1">'TAXDEPR 144A'!C55</f>
        <v>0</v>
      </c>
      <c r="D55" s="520">
        <f>'ASSUM 2'!P52</f>
        <v>4</v>
      </c>
      <c r="E55" s="524">
        <f>'ASSUM 2'!Q52</f>
        <v>0.2</v>
      </c>
      <c r="F55" s="526">
        <f ca="1">IF(SUM($E55:E55)&lt;$C55*1000,MIN($C55*1000-SUM($C55:C55),$C55*1000*$E55),0)*F$9/12</f>
        <v>0</v>
      </c>
      <c r="G55" s="526">
        <f ca="1">IF(SUM($E55:F55)&lt;$C55*1000,MIN($C55*1000-SUM($C55:D55),$C55*1000*$E55),0)*G$9/12</f>
        <v>0</v>
      </c>
      <c r="H55" s="526">
        <f ca="1">IF(SUM($E55:G55)&lt;$C55*1000,MIN($C55*1000-SUM($C55:E55),$C55*1000*$E55),0)*H$9/12</f>
        <v>0</v>
      </c>
      <c r="I55" s="526">
        <f ca="1">IF(SUM($E55:H55)&lt;$C55*1000,MIN($C55*1000-SUM($C55:F55),$C55*1000*$E55),0)*I$9/12</f>
        <v>0</v>
      </c>
      <c r="J55" s="526">
        <f ca="1">IF(SUM($E55:I55)&lt;$C55*1000,MIN($C55*1000-SUM($C55:G55),$C55*1000*$E55),0)*J$9/12</f>
        <v>0</v>
      </c>
      <c r="K55" s="526">
        <f ca="1">IF(SUM($E55:J55)&lt;$C55*1000,MIN($C55*1000-SUM($C55:H55),$C55*1000*$E55),0)*K$9/12</f>
        <v>0</v>
      </c>
      <c r="L55" s="526">
        <f ca="1">IF(SUM($E55:K55)&lt;$C55*1000,MIN($C55*1000-SUM($C55:I55),$C55*1000*$E55),0)*L$9/12</f>
        <v>0</v>
      </c>
      <c r="M55" s="526">
        <f ca="1">IF(SUM($E55:L55)&lt;$C55*1000,MIN($C55*1000-SUM($C55:J55),$C55*1000*$E55),0)*M$9/12</f>
        <v>0</v>
      </c>
      <c r="N55" s="526">
        <f ca="1">IF(SUM($E55:M55)&lt;$C55*1000,MIN($C55*1000-SUM($C55:K55),$C55*1000*$E55),0)*N$9/12</f>
        <v>0</v>
      </c>
      <c r="O55" s="526">
        <f ca="1">IF(SUM($E55:N55)&lt;$C55*1000,MIN($C55*1000-SUM($C55:L55),$C55*1000*$E55),0)*O$9/12</f>
        <v>0</v>
      </c>
      <c r="P55" s="526">
        <f ca="1">IF(SUM($E55:O55)&lt;$C55*1000,MIN($C55*1000-SUM($C55:M55),$C55*1000*$E55),0)*P$9/12</f>
        <v>0</v>
      </c>
      <c r="Q55" s="526">
        <f ca="1">IF(SUM($E55:P55)&lt;$C55*1000,MIN($C55*1000-SUM($C55:N55),$C55*1000*$E55),0)*Q$9/12</f>
        <v>0</v>
      </c>
      <c r="R55" s="526">
        <f ca="1">IF(SUM($E55:Q55)&lt;$C55*1000,MIN($C55*1000-SUM($C55:O55),$C55*1000*$E55),0)*R$9/12</f>
        <v>0</v>
      </c>
      <c r="S55" s="526">
        <f ca="1">IF(SUM($E55:R55)&lt;$C55*1000,MIN($C55*1000-SUM($C55:P55),$C55*1000*$E55),0)*S$9/12</f>
        <v>0</v>
      </c>
      <c r="T55" s="526">
        <f ca="1">IF(SUM($E55:S55)&lt;$C55*1000,MIN($C55*1000-SUM($C55:Q55),$C55*1000*$E55),0)*T$9/12</f>
        <v>0</v>
      </c>
      <c r="U55" s="526">
        <f ca="1">IF(SUM($E55:T55)&lt;$C55*1000,MIN($C55*1000-SUM($C55:R55),$C55*1000*$E55),0)*U$9/12</f>
        <v>0</v>
      </c>
      <c r="V55" s="526">
        <f ca="1">IF(SUM($E55:U55)&lt;$C55*1000,MIN($C55*1000-SUM($C55:S55),$C55*1000*$E55),0)*V$9/12</f>
        <v>0</v>
      </c>
      <c r="W55" s="526">
        <f ca="1">IF(SUM($E55:V55)&lt;$C55*1000,MIN($C55*1000-SUM($C55:T55),$C55*1000*$E55),0)*W$9/12</f>
        <v>0</v>
      </c>
      <c r="X55" s="526">
        <f ca="1">IF(SUM($E55:W55)&lt;$C55*1000,MIN($C55*1000-SUM($C55:U55),$C55*1000*$E55),0)*X$9/12</f>
        <v>0</v>
      </c>
      <c r="Y55" s="526">
        <f ca="1">IF(SUM($E55:X55)&lt;$C55*1000,MIN($C55*1000-SUM($C55:V55),$C55*1000*$E55),0)*Y$9/12</f>
        <v>0</v>
      </c>
      <c r="Z55" s="526"/>
      <c r="AA55" s="527">
        <f t="shared" ca="1" si="1"/>
        <v>0</v>
      </c>
      <c r="AB55" s="511"/>
    </row>
    <row r="56" spans="1:28">
      <c r="A56" s="514"/>
      <c r="B56" s="514"/>
      <c r="C56" s="525"/>
      <c r="D56" s="520"/>
      <c r="E56" s="524"/>
      <c r="F56" s="526"/>
      <c r="G56" s="526"/>
      <c r="H56" s="526"/>
      <c r="I56" s="526"/>
      <c r="J56" s="526"/>
      <c r="K56" s="526"/>
      <c r="L56" s="526"/>
      <c r="M56" s="526"/>
      <c r="N56" s="526"/>
      <c r="O56" s="526"/>
      <c r="P56" s="526"/>
      <c r="Q56" s="526"/>
      <c r="R56" s="526"/>
      <c r="S56" s="526"/>
      <c r="T56" s="526"/>
      <c r="U56" s="526"/>
      <c r="V56" s="526"/>
      <c r="W56" s="526"/>
      <c r="X56" s="526"/>
      <c r="Y56" s="526"/>
      <c r="Z56" s="526"/>
      <c r="AA56" s="527"/>
      <c r="AB56" s="511"/>
    </row>
    <row r="57" spans="1:28">
      <c r="A57" s="513" t="str">
        <f ca="1">'TAXDEPR 144A'!A57</f>
        <v>Contingency</v>
      </c>
      <c r="B57" s="514"/>
      <c r="C57" s="525"/>
      <c r="D57" s="520"/>
      <c r="E57" s="524"/>
      <c r="F57" s="526"/>
      <c r="G57" s="526"/>
      <c r="H57" s="526"/>
      <c r="I57" s="526"/>
      <c r="J57" s="526"/>
      <c r="K57" s="526"/>
      <c r="L57" s="526"/>
      <c r="M57" s="526"/>
      <c r="N57" s="526"/>
      <c r="O57" s="526"/>
      <c r="P57" s="526"/>
      <c r="Q57" s="526"/>
      <c r="R57" s="526"/>
      <c r="S57" s="526"/>
      <c r="T57" s="526"/>
      <c r="U57" s="526"/>
      <c r="V57" s="526"/>
      <c r="W57" s="526"/>
      <c r="X57" s="526"/>
      <c r="Y57" s="526"/>
      <c r="Z57" s="526"/>
      <c r="AA57" s="527"/>
      <c r="AB57" s="511"/>
    </row>
    <row r="58" spans="1:28">
      <c r="A58" s="514" t="str">
        <f ca="1">'TAXDEPR 144A'!A58</f>
        <v>Major Equipment</v>
      </c>
      <c r="B58" s="514">
        <f ca="1">'TAXDEPR 144A'!B58</f>
        <v>1</v>
      </c>
      <c r="C58" s="525">
        <f ca="1">'TAXDEPR 144A'!C58</f>
        <v>4.1087218150457137</v>
      </c>
      <c r="D58" s="520">
        <f>'ASSUM 2'!P56</f>
        <v>1</v>
      </c>
      <c r="E58" s="524">
        <f>'ASSUM 2'!Q56</f>
        <v>0</v>
      </c>
      <c r="F58" s="526">
        <f ca="1">IF(SUM($E58:E58)&lt;$C58*1000,MIN($C58*1000-SUM($C58:C58),$C58*1000*VLOOKUP(F$7,[0]!_4_15_YR_MACRS,3)),0)</f>
        <v>205.43609075228571</v>
      </c>
      <c r="G58" s="526">
        <f ca="1">IF(SUM($E58:F58)&lt;$C58*1000,MIN($C58*1000-SUM($C58:D58),$C58*1000*VLOOKUP(G$7,[0]!_4_15_YR_MACRS,3)),0)</f>
        <v>390.32857242934284</v>
      </c>
      <c r="H58" s="526">
        <f ca="1">IF(SUM($E58:G58)&lt;$C58*1000,MIN($C58*1000-SUM($C58:E58),$C58*1000*VLOOKUP(H$7,[0]!_4_15_YR_MACRS,3)),0)</f>
        <v>351.29571518640859</v>
      </c>
      <c r="I58" s="526">
        <f ca="1">IF(SUM($E58:H58)&lt;$C58*1000,MIN($C58*1000-SUM($C58:F58),$C58*1000*VLOOKUP(I$7,[0]!_4_15_YR_MACRS,3)),0)</f>
        <v>316.37157975851994</v>
      </c>
      <c r="J58" s="526">
        <f ca="1">IF(SUM($E58:I58)&lt;$C58*1000,MIN($C58*1000-SUM($C58:G58),$C58*1000*VLOOKUP(J$7,[0]!_4_15_YR_MACRS,3)),0)</f>
        <v>284.73442178266799</v>
      </c>
      <c r="K58" s="526">
        <f ca="1">IF(SUM($E58:J58)&lt;$C58*1000,MIN($C58*1000-SUM($C58:H58),$C58*1000*VLOOKUP(K$7,[0]!_4_15_YR_MACRS,3)),0)</f>
        <v>255.97336907734797</v>
      </c>
      <c r="L58" s="526">
        <f ca="1">IF(SUM($E58:K58)&lt;$C58*1000,MIN($C58*1000-SUM($C58:I58),$C58*1000*VLOOKUP(L$7,[0]!_4_15_YR_MACRS,3)),0)</f>
        <v>242.4145870876971</v>
      </c>
      <c r="M58" s="526">
        <f ca="1">IF(SUM($E58:L58)&lt;$C58*1000,MIN($C58*1000-SUM($C58:J58),$C58*1000*VLOOKUP(M$7,[0]!_4_15_YR_MACRS,3)),0)</f>
        <v>242.4145870876971</v>
      </c>
      <c r="N58" s="526">
        <f ca="1">IF(SUM($E58:M58)&lt;$C58*1000,MIN($C58*1000-SUM($C58:K58),$C58*1000*VLOOKUP(N$7,[0]!_4_15_YR_MACRS,3)),0)</f>
        <v>242.82545926920167</v>
      </c>
      <c r="O58" s="526">
        <f ca="1">IF(SUM($E58:N58)&lt;$C58*1000,MIN($C58*1000-SUM($C58:L58),$C58*1000*VLOOKUP(O$7,[0]!_4_15_YR_MACRS,3)),0)</f>
        <v>242.4145870876971</v>
      </c>
      <c r="P58" s="526">
        <f ca="1">IF(SUM($E58:O58)&lt;$C58*1000,MIN($C58*1000-SUM($C58:M58),$C58*1000*VLOOKUP(P$7,[0]!_4_15_YR_MACRS,3)),0)</f>
        <v>242.82545926920167</v>
      </c>
      <c r="Q58" s="526">
        <f ca="1">IF(SUM($E58:P58)&lt;$C58*1000,MIN($C58*1000-SUM($C58:N58),$C58*1000*VLOOKUP(Q$7,[0]!_4_15_YR_MACRS,3)),0)</f>
        <v>242.4145870876971</v>
      </c>
      <c r="R58" s="526">
        <f ca="1">IF(SUM($E58:Q58)&lt;$C58*1000,MIN($C58*1000-SUM($C58:O58),$C58*1000*VLOOKUP(R$7,[0]!_4_15_YR_MACRS,3)),0)</f>
        <v>242.82545926920167</v>
      </c>
      <c r="S58" s="526">
        <f ca="1">IF(SUM($E58:R58)&lt;$C58*1000,MIN($C58*1000-SUM($C58:P58),$C58*1000*VLOOKUP(S$7,[0]!_4_15_YR_MACRS,3)),0)</f>
        <v>242.4145870876971</v>
      </c>
      <c r="T58" s="526">
        <f ca="1">IF(SUM($E58:S58)&lt;$C58*1000,MIN($C58*1000-SUM($C58:Q58),$C58*1000*VLOOKUP(T$7,[0]!_4_15_YR_MACRS,3)),0)</f>
        <v>242.82545926920167</v>
      </c>
      <c r="U58" s="526">
        <f ca="1">IF(SUM($E58:T58)&lt;$C58*1000,MIN($C58*1000-SUM($C58:R58),$C58*1000*VLOOKUP(U$7,[0]!_4_15_YR_MACRS,3)),0)</f>
        <v>121.20729354384855</v>
      </c>
      <c r="V58" s="526">
        <f ca="1">IF(SUM($E58:U58)&lt;$C58*1000,MIN($C58*1000-SUM($C58:S58),$C58*1000*VLOOKUP(V$7,[0]!_4_15_YR_MACRS,3)),0)</f>
        <v>0</v>
      </c>
      <c r="W58" s="526">
        <f ca="1">IF(SUM($E58:V58)&lt;$C58*1000,MIN($C58*1000-SUM($C58:T58),$C58*1000*VLOOKUP(W$7,[0]!_4_15_YR_MACRS,3)),0)</f>
        <v>0</v>
      </c>
      <c r="X58" s="526">
        <f ca="1">IF(SUM($E58:W58)&lt;$C58*1000,MIN($C58*1000-SUM($C58:U58),$C58*1000*VLOOKUP(X$7,[0]!_4_15_YR_MACRS,3)),0)</f>
        <v>0</v>
      </c>
      <c r="Y58" s="526">
        <f ca="1">IF(SUM($E58:X58)&lt;$C58*1000,MIN($C58*1000-SUM($C58:V58),$C58*1000*VLOOKUP(Y$7,[0]!_4_15_YR_MACRS,3)),0)</f>
        <v>0</v>
      </c>
      <c r="Z58" s="526"/>
      <c r="AA58" s="527">
        <f ca="1">SUM(F58:Y58)-C58*1000</f>
        <v>0</v>
      </c>
      <c r="AB58" s="511"/>
    </row>
    <row r="59" spans="1:28">
      <c r="A59" s="514" t="str">
        <f ca="1">'TAXDEPR 144A'!A59</f>
        <v>Engineering / Construction</v>
      </c>
      <c r="B59" s="514">
        <f ca="1">'TAXDEPR 144A'!B59</f>
        <v>1</v>
      </c>
      <c r="C59" s="525">
        <f ca="1">'TAXDEPR 144A'!C59</f>
        <v>0</v>
      </c>
      <c r="D59" s="520">
        <f>'ASSUM 2'!P57</f>
        <v>1</v>
      </c>
      <c r="E59" s="524">
        <f>'ASSUM 2'!Q57</f>
        <v>0</v>
      </c>
      <c r="F59" s="526">
        <f ca="1">IF(SUM($E59:E59)&lt;$C59*1000,MIN($C59*1000-SUM($C59:C59),$C59*1000*VLOOKUP(F$7,[0]!_4_15_YR_MACRS,2)),0)</f>
        <v>0</v>
      </c>
      <c r="G59" s="526">
        <f ca="1">IF(SUM($E59:F59)&lt;$C59*1000,MIN($C59*1000-SUM($C59:D59),$C59*1000*VLOOKUP(G$7,[0]!_4_15_YR_MACRS,2)),0)</f>
        <v>0</v>
      </c>
      <c r="H59" s="526">
        <f ca="1">IF(SUM($E59:G59)&lt;$C59*1000,MIN($C59*1000-SUM($C59:E59),$C59*1000*VLOOKUP(H$7,[0]!_4_15_YR_MACRS,2)),0)</f>
        <v>0</v>
      </c>
      <c r="I59" s="526">
        <f ca="1">IF(SUM($E59:H59)&lt;$C59*1000,MIN($C59*1000-SUM($C59:F59),$C59*1000*VLOOKUP(I$7,[0]!_4_15_YR_MACRS,2)),0)</f>
        <v>0</v>
      </c>
      <c r="J59" s="526">
        <f ca="1">IF(SUM($E59:I59)&lt;$C59*1000,MIN($C59*1000-SUM($C59:G59),$C59*1000*VLOOKUP(J$7,[0]!_4_15_YR_MACRS,2)),0)</f>
        <v>0</v>
      </c>
      <c r="K59" s="526">
        <f ca="1">IF(SUM($E59:J59)&lt;$C59*1000,MIN($C59*1000-SUM($C59:H59),$C59*1000*VLOOKUP(K$7,[0]!_4_15_YR_MACRS,2)),0)</f>
        <v>0</v>
      </c>
      <c r="L59" s="526">
        <f ca="1">IF(SUM($E59:K59)&lt;$C59*1000,MIN($C59*1000-SUM($C59:I59),$C59*1000*VLOOKUP(L$7,[0]!_4_15_YR_MACRS,2)),0)</f>
        <v>0</v>
      </c>
      <c r="M59" s="526">
        <f ca="1">IF(SUM($E59:L59)&lt;$C59*1000,MIN($C59*1000-SUM($C59:J59),$C59*1000*VLOOKUP(M$7,[0]!_4_15_YR_MACRS,2)),0)</f>
        <v>0</v>
      </c>
      <c r="N59" s="526">
        <f ca="1">IF(SUM($E59:M59)&lt;$C59*1000,MIN($C59*1000-SUM($C59:K59),$C59*1000*VLOOKUP(N$7,[0]!_4_15_YR_MACRS,2)),0)</f>
        <v>0</v>
      </c>
      <c r="O59" s="526">
        <f ca="1">IF(SUM($E59:N59)&lt;$C59*1000,MIN($C59*1000-SUM($C59:L59),$C59*1000*VLOOKUP(O$7,[0]!_4_15_YR_MACRS,2)),0)</f>
        <v>0</v>
      </c>
      <c r="P59" s="526">
        <f ca="1">IF(SUM($E59:O59)&lt;$C59*1000,MIN($C59*1000-SUM($C59:M59),$C59*1000*VLOOKUP(P$7,[0]!_4_15_YR_MACRS,2)),0)</f>
        <v>0</v>
      </c>
      <c r="Q59" s="526">
        <f ca="1">IF(SUM($E59:P59)&lt;$C59*1000,MIN($C59*1000-SUM($C59:N59),$C59*1000*VLOOKUP(Q$7,[0]!_4_15_YR_MACRS,2)),0)</f>
        <v>0</v>
      </c>
      <c r="R59" s="526">
        <f ca="1">IF(SUM($E59:Q59)&lt;$C59*1000,MIN($C59*1000-SUM($C59:O59),$C59*1000*VLOOKUP(R$7,[0]!_4_15_YR_MACRS,2)),0)</f>
        <v>0</v>
      </c>
      <c r="S59" s="526">
        <f ca="1">IF(SUM($E59:R59)&lt;$C59*1000,MIN($C59*1000-SUM($C59:P59),$C59*1000*VLOOKUP(S$7,[0]!_4_15_YR_MACRS,2)),0)</f>
        <v>0</v>
      </c>
      <c r="T59" s="526">
        <f ca="1">IF(SUM($E59:S59)&lt;$C59*1000,MIN($C59*1000-SUM($C59:Q59),$C59*1000*VLOOKUP(T$7,[0]!_4_15_YR_MACRS,2)),0)</f>
        <v>0</v>
      </c>
      <c r="U59" s="526">
        <f ca="1">IF(SUM($E59:T59)&lt;$C59*1000,MIN($C59*1000-SUM($C59:R59),$C59*1000*VLOOKUP(U$7,[0]!_4_15_YR_MACRS,2)),0)</f>
        <v>0</v>
      </c>
      <c r="V59" s="526">
        <f ca="1">IF(SUM($E59:U59)&lt;$C59*1000,MIN($C59*1000-SUM($C59:S59),$C59*1000*VLOOKUP(V$7,[0]!_4_15_YR_MACRS,2)),0)</f>
        <v>0</v>
      </c>
      <c r="W59" s="526">
        <f ca="1">IF(SUM($E59:V59)&lt;$C59*1000,MIN($C59*1000-SUM($C59:T59),$C59*1000*VLOOKUP(W$7,[0]!_4_15_YR_MACRS,2)),0)</f>
        <v>0</v>
      </c>
      <c r="X59" s="526">
        <f ca="1">IF(SUM($E59:W59)&lt;$C59*1000,MIN($C59*1000-SUM($C59:U59),$C59*1000*VLOOKUP(X$7,[0]!_4_15_YR_MACRS,2)),0)</f>
        <v>0</v>
      </c>
      <c r="Y59" s="526">
        <f ca="1">IF(SUM($E59:X59)&lt;$C59*1000,MIN($C59*1000-SUM($C59:V59),$C59*1000*VLOOKUP(Y$7,[0]!_4_15_YR_MACRS,2)),0)</f>
        <v>0</v>
      </c>
      <c r="Z59" s="526"/>
      <c r="AA59" s="527">
        <f ca="1">SUM(F59:Y59)-C59*1000</f>
        <v>0</v>
      </c>
      <c r="AB59" s="511"/>
    </row>
    <row r="60" spans="1:28">
      <c r="A60" s="514" t="str">
        <f ca="1">'TAXDEPR 144A'!A60</f>
        <v>Other</v>
      </c>
      <c r="B60" s="514">
        <f ca="1">'TAXDEPR 144A'!B60</f>
        <v>1</v>
      </c>
      <c r="C60" s="525">
        <f ca="1">'TAXDEPR 144A'!C60</f>
        <v>0.19485</v>
      </c>
      <c r="D60" s="520">
        <f>'ASSUM 2'!P58</f>
        <v>1</v>
      </c>
      <c r="E60" s="524">
        <f>'ASSUM 2'!Q58</f>
        <v>0</v>
      </c>
      <c r="F60" s="526">
        <f ca="1">IF(SUM($E60:E60)&lt;$C60*1000,MIN($C60*1000-SUM($C60:C60),$C60*1000*VLOOKUP(F$7,[0]!_4_15_YR_MACRS,3)),0)</f>
        <v>9.7424999999999997</v>
      </c>
      <c r="G60" s="526">
        <f ca="1">IF(SUM($E60:F60)&lt;$C60*1000,MIN($C60*1000-SUM($C60:D60),$C60*1000*VLOOKUP(G$7,[0]!_4_15_YR_MACRS,3)),0)</f>
        <v>18.510749999999998</v>
      </c>
      <c r="H60" s="526">
        <f ca="1">IF(SUM($E60:G60)&lt;$C60*1000,MIN($C60*1000-SUM($C60:E60),$C60*1000*VLOOKUP(H$7,[0]!_4_15_YR_MACRS,3)),0)</f>
        <v>16.659675</v>
      </c>
      <c r="I60" s="526">
        <f ca="1">IF(SUM($E60:H60)&lt;$C60*1000,MIN($C60*1000-SUM($C60:F60),$C60*1000*VLOOKUP(I$7,[0]!_4_15_YR_MACRS,3)),0)</f>
        <v>15.003449999999999</v>
      </c>
      <c r="J60" s="526">
        <f ca="1">IF(SUM($E60:I60)&lt;$C60*1000,MIN($C60*1000-SUM($C60:G60),$C60*1000*VLOOKUP(J$7,[0]!_4_15_YR_MACRS,3)),0)</f>
        <v>13.503105</v>
      </c>
      <c r="K60" s="526">
        <f ca="1">IF(SUM($E60:J60)&lt;$C60*1000,MIN($C60*1000-SUM($C60:H60),$C60*1000*VLOOKUP(K$7,[0]!_4_15_YR_MACRS,3)),0)</f>
        <v>12.139155000000001</v>
      </c>
      <c r="L60" s="526">
        <f ca="1">IF(SUM($E60:K60)&lt;$C60*1000,MIN($C60*1000-SUM($C60:I60),$C60*1000*VLOOKUP(L$7,[0]!_4_15_YR_MACRS,3)),0)</f>
        <v>11.496149999999998</v>
      </c>
      <c r="M60" s="526">
        <f ca="1">IF(SUM($E60:L60)&lt;$C60*1000,MIN($C60*1000-SUM($C60:J60),$C60*1000*VLOOKUP(M$7,[0]!_4_15_YR_MACRS,3)),0)</f>
        <v>11.496149999999998</v>
      </c>
      <c r="N60" s="526">
        <f ca="1">IF(SUM($E60:M60)&lt;$C60*1000,MIN($C60*1000-SUM($C60:K60),$C60*1000*VLOOKUP(N$7,[0]!_4_15_YR_MACRS,3)),0)</f>
        <v>11.515635</v>
      </c>
      <c r="O60" s="526">
        <f ca="1">IF(SUM($E60:N60)&lt;$C60*1000,MIN($C60*1000-SUM($C60:L60),$C60*1000*VLOOKUP(O$7,[0]!_4_15_YR_MACRS,3)),0)</f>
        <v>11.496149999999998</v>
      </c>
      <c r="P60" s="526">
        <f ca="1">IF(SUM($E60:O60)&lt;$C60*1000,MIN($C60*1000-SUM($C60:M60),$C60*1000*VLOOKUP(P$7,[0]!_4_15_YR_MACRS,3)),0)</f>
        <v>11.515635</v>
      </c>
      <c r="Q60" s="526">
        <f ca="1">IF(SUM($E60:P60)&lt;$C60*1000,MIN($C60*1000-SUM($C60:N60),$C60*1000*VLOOKUP(Q$7,[0]!_4_15_YR_MACRS,3)),0)</f>
        <v>11.496149999999998</v>
      </c>
      <c r="R60" s="526">
        <f ca="1">IF(SUM($E60:Q60)&lt;$C60*1000,MIN($C60*1000-SUM($C60:O60),$C60*1000*VLOOKUP(R$7,[0]!_4_15_YR_MACRS,3)),0)</f>
        <v>11.515635</v>
      </c>
      <c r="S60" s="526">
        <f ca="1">IF(SUM($E60:R60)&lt;$C60*1000,MIN($C60*1000-SUM($C60:P60),$C60*1000*VLOOKUP(S$7,[0]!_4_15_YR_MACRS,3)),0)</f>
        <v>11.496149999999998</v>
      </c>
      <c r="T60" s="526">
        <f ca="1">IF(SUM($E60:S60)&lt;$C60*1000,MIN($C60*1000-SUM($C60:Q60),$C60*1000*VLOOKUP(T$7,[0]!_4_15_YR_MACRS,3)),0)</f>
        <v>11.515635</v>
      </c>
      <c r="U60" s="526">
        <f ca="1">IF(SUM($E60:T60)&lt;$C60*1000,MIN($C60*1000-SUM($C60:R60),$C60*1000*VLOOKUP(U$7,[0]!_4_15_YR_MACRS,3)),0)</f>
        <v>5.7480749999999992</v>
      </c>
      <c r="V60" s="526">
        <f ca="1">IF(SUM($E60:U60)&lt;$C60*1000,MIN($C60*1000-SUM($C60:S60),$C60*1000*VLOOKUP(V$7,[0]!_4_15_YR_MACRS,3)),0)</f>
        <v>0</v>
      </c>
      <c r="W60" s="526">
        <f ca="1">IF(SUM($E60:V60)&lt;$C60*1000,MIN($C60*1000-SUM($C60:T60),$C60*1000*VLOOKUP(W$7,[0]!_4_15_YR_MACRS,3)),0)</f>
        <v>0</v>
      </c>
      <c r="X60" s="526">
        <f ca="1">IF(SUM($E60:W60)&lt;$C60*1000,MIN($C60*1000-SUM($C60:U60),$C60*1000*VLOOKUP(X$7,[0]!_4_15_YR_MACRS,3)),0)</f>
        <v>0</v>
      </c>
      <c r="Y60" s="526">
        <f ca="1">IF(SUM($E60:X60)&lt;$C60*1000,MIN($C60*1000-SUM($C60:V60),$C60*1000*VLOOKUP(Y$7,[0]!_4_15_YR_MACRS,3)),0)</f>
        <v>0</v>
      </c>
      <c r="Z60" s="526"/>
      <c r="AA60" s="527">
        <f ca="1">SUM(F60:Y60)-C60*1000</f>
        <v>0</v>
      </c>
      <c r="AB60" s="511"/>
    </row>
    <row r="61" spans="1:28">
      <c r="A61" s="514" t="str">
        <f ca="1">'TAXDEPR 144A'!A61</f>
        <v>Soft Costs</v>
      </c>
      <c r="B61" s="514">
        <f ca="1">'TAXDEPR 144A'!B61</f>
        <v>1</v>
      </c>
      <c r="C61" s="525">
        <f ca="1">'TAXDEPR 144A'!C61</f>
        <v>0.71848413029071156</v>
      </c>
      <c r="D61" s="520">
        <f>'ASSUM 2'!P59</f>
        <v>4</v>
      </c>
      <c r="E61" s="524">
        <f>'ASSUM 2'!Q59</f>
        <v>0.2</v>
      </c>
      <c r="F61" s="526">
        <f ca="1">IF(SUM($E61:E61)&lt;$C61*1000,MIN($C61*1000-SUM($C61:C61),$C61*1000*VLOOKUP(F$7,[0]!_4_15_YR_MACRS,3)),0)</f>
        <v>35.924206514535584</v>
      </c>
      <c r="G61" s="526">
        <f ca="1">IF(SUM($E61:F61)&lt;$C61*1000,MIN($C61*1000-SUM($C61:D61),$C61*1000*VLOOKUP(G$7,[0]!_4_15_YR_MACRS,3)),0)</f>
        <v>68.255992377617602</v>
      </c>
      <c r="H61" s="526">
        <f ca="1">IF(SUM($E61:G61)&lt;$C61*1000,MIN($C61*1000-SUM($C61:E61),$C61*1000*VLOOKUP(H$7,[0]!_4_15_YR_MACRS,3)),0)</f>
        <v>61.430393139855845</v>
      </c>
      <c r="I61" s="526">
        <f ca="1">IF(SUM($E61:H61)&lt;$C61*1000,MIN($C61*1000-SUM($C61:F61),$C61*1000*VLOOKUP(I$7,[0]!_4_15_YR_MACRS,3)),0)</f>
        <v>55.323278032384792</v>
      </c>
      <c r="J61" s="526">
        <f ca="1">IF(SUM($E61:I61)&lt;$C61*1000,MIN($C61*1000-SUM($C61:G61),$C61*1000*VLOOKUP(J$7,[0]!_4_15_YR_MACRS,3)),0)</f>
        <v>49.790950229146318</v>
      </c>
      <c r="K61" s="526">
        <f ca="1">IF(SUM($E61:J61)&lt;$C61*1000,MIN($C61*1000-SUM($C61:H61),$C61*1000*VLOOKUP(K$7,[0]!_4_15_YR_MACRS,3)),0)</f>
        <v>44.761561317111337</v>
      </c>
      <c r="L61" s="526">
        <f ca="1">IF(SUM($E61:K61)&lt;$C61*1000,MIN($C61*1000-SUM($C61:I61),$C61*1000*VLOOKUP(L$7,[0]!_4_15_YR_MACRS,3)),0)</f>
        <v>42.390563687151982</v>
      </c>
      <c r="M61" s="526">
        <f ca="1">IF(SUM($E61:L61)&lt;$C61*1000,MIN($C61*1000-SUM($C61:J61),$C61*1000*VLOOKUP(M$7,[0]!_4_15_YR_MACRS,3)),0)</f>
        <v>42.390563687151982</v>
      </c>
      <c r="N61" s="526">
        <f ca="1">IF(SUM($E61:M61)&lt;$C61*1000,MIN($C61*1000-SUM($C61:K61),$C61*1000*VLOOKUP(N$7,[0]!_4_15_YR_MACRS,3)),0)</f>
        <v>42.462412100181055</v>
      </c>
      <c r="O61" s="526">
        <f ca="1">IF(SUM($E61:N61)&lt;$C61*1000,MIN($C61*1000-SUM($C61:L61),$C61*1000*VLOOKUP(O$7,[0]!_4_15_YR_MACRS,3)),0)</f>
        <v>42.390563687151982</v>
      </c>
      <c r="P61" s="526">
        <f ca="1">IF(SUM($E61:O61)&lt;$C61*1000,MIN($C61*1000-SUM($C61:M61),$C61*1000*VLOOKUP(P$7,[0]!_4_15_YR_MACRS,3)),0)</f>
        <v>42.462412100181055</v>
      </c>
      <c r="Q61" s="526">
        <f ca="1">IF(SUM($E61:P61)&lt;$C61*1000,MIN($C61*1000-SUM($C61:N61),$C61*1000*VLOOKUP(Q$7,[0]!_4_15_YR_MACRS,3)),0)</f>
        <v>42.390563687151982</v>
      </c>
      <c r="R61" s="526">
        <f ca="1">IF(SUM($E61:Q61)&lt;$C61*1000,MIN($C61*1000-SUM($C61:O61),$C61*1000*VLOOKUP(R$7,[0]!_4_15_YR_MACRS,3)),0)</f>
        <v>42.462412100181055</v>
      </c>
      <c r="S61" s="526">
        <f ca="1">IF(SUM($E61:R61)&lt;$C61*1000,MIN($C61*1000-SUM($C61:P61),$C61*1000*VLOOKUP(S$7,[0]!_4_15_YR_MACRS,3)),0)</f>
        <v>42.390563687151982</v>
      </c>
      <c r="T61" s="526">
        <f ca="1">IF(SUM($E61:S61)&lt;$C61*1000,MIN($C61*1000-SUM($C61:Q61),$C61*1000*VLOOKUP(T$7,[0]!_4_15_YR_MACRS,3)),0)</f>
        <v>42.462412100181055</v>
      </c>
      <c r="U61" s="526">
        <f ca="1">IF(SUM($E61:T61)&lt;$C61*1000,MIN($C61*1000-SUM($C61:R61),$C61*1000*VLOOKUP(U$7,[0]!_4_15_YR_MACRS,3)),0)</f>
        <v>21.195281843575991</v>
      </c>
      <c r="V61" s="526">
        <f ca="1">IF(SUM($E61:U61)&lt;$C61*1000,MIN($C61*1000-SUM($C61:S61),$C61*1000*VLOOKUP(V$7,[0]!_4_15_YR_MACRS,3)),0)</f>
        <v>0</v>
      </c>
      <c r="W61" s="526">
        <f ca="1">IF(SUM($E61:V61)&lt;$C61*1000,MIN($C61*1000-SUM($C61:T61),$C61*1000*VLOOKUP(W$7,[0]!_4_15_YR_MACRS,3)),0)</f>
        <v>0</v>
      </c>
      <c r="X61" s="526">
        <f ca="1">IF(SUM($E61:W61)&lt;$C61*1000,MIN($C61*1000-SUM($C61:U61),$C61*1000*VLOOKUP(X$7,[0]!_4_15_YR_MACRS,3)),0)</f>
        <v>0</v>
      </c>
      <c r="Y61" s="526">
        <f ca="1">IF(SUM($E61:X61)&lt;$C61*1000,MIN($C61*1000-SUM($C61:V61),$C61*1000*VLOOKUP(Y$7,[0]!_4_15_YR_MACRS,3)),0)</f>
        <v>0</v>
      </c>
      <c r="Z61" s="526"/>
      <c r="AA61" s="527">
        <f ca="1">SUM(F61:Y61)-C61*1000</f>
        <v>0</v>
      </c>
      <c r="AB61" s="511"/>
    </row>
    <row r="62" spans="1:28">
      <c r="A62" s="514"/>
      <c r="B62" s="514"/>
      <c r="C62" s="525"/>
      <c r="D62" s="520"/>
      <c r="E62" s="524"/>
      <c r="F62" s="526"/>
      <c r="G62" s="526"/>
      <c r="H62" s="526"/>
      <c r="I62" s="526"/>
      <c r="J62" s="526"/>
      <c r="K62" s="526"/>
      <c r="L62" s="526"/>
      <c r="M62" s="526"/>
      <c r="N62" s="526"/>
      <c r="O62" s="526"/>
      <c r="P62" s="526"/>
      <c r="Q62" s="526"/>
      <c r="R62" s="526"/>
      <c r="S62" s="526"/>
      <c r="T62" s="526"/>
      <c r="U62" s="526"/>
      <c r="V62" s="526"/>
      <c r="W62" s="526"/>
      <c r="X62" s="526"/>
      <c r="Y62" s="526"/>
      <c r="Z62" s="526"/>
      <c r="AA62" s="527"/>
      <c r="AB62" s="511"/>
    </row>
    <row r="63" spans="1:28">
      <c r="A63" s="514" t="str">
        <f ca="1">'TAXDEPR 144A'!A63</f>
        <v>Interest During Construction</v>
      </c>
      <c r="B63" s="514">
        <f ca="1">'TAXDEPR 144A'!B63</f>
        <v>1</v>
      </c>
      <c r="C63" s="525">
        <f ca="1">'TAXDEPR 144A'!C63</f>
        <v>4.592206311481597</v>
      </c>
      <c r="D63" s="520">
        <f>'ASSUM 2'!P62</f>
        <v>1</v>
      </c>
      <c r="E63" s="524">
        <f>'ASSUM 2'!Q62</f>
        <v>0</v>
      </c>
      <c r="F63" s="526">
        <f ca="1">IF(SUM($E63:E63)&lt;$C63*1000,MIN($C63*1000-SUM($C63:C63),$C63*1000*VLOOKUP(F$7,[0]!_4_15_YR_MACRS,3)),0)</f>
        <v>229.61031557407989</v>
      </c>
      <c r="G63" s="526">
        <f ca="1">IF(SUM($E63:F63)&lt;$C63*1000,MIN($C63*1000-SUM($C63:D63),$C63*1000*VLOOKUP(G$7,[0]!_4_15_YR_MACRS,3)),0)</f>
        <v>436.25959959075175</v>
      </c>
      <c r="H63" s="526">
        <f ca="1">IF(SUM($E63:G63)&lt;$C63*1000,MIN($C63*1000-SUM($C63:E63),$C63*1000*VLOOKUP(H$7,[0]!_4_15_YR_MACRS,3)),0)</f>
        <v>392.6336396316766</v>
      </c>
      <c r="I63" s="526">
        <f ca="1">IF(SUM($E63:H63)&lt;$C63*1000,MIN($C63*1000-SUM($C63:F63),$C63*1000*VLOOKUP(I$7,[0]!_4_15_YR_MACRS,3)),0)</f>
        <v>353.59988598408302</v>
      </c>
      <c r="J63" s="526">
        <f ca="1">IF(SUM($E63:I63)&lt;$C63*1000,MIN($C63*1000-SUM($C63:G63),$C63*1000*VLOOKUP(J$7,[0]!_4_15_YR_MACRS,3)),0)</f>
        <v>318.23989738567468</v>
      </c>
      <c r="K63" s="526">
        <f ca="1">IF(SUM($E63:J63)&lt;$C63*1000,MIN($C63*1000-SUM($C63:H63),$C63*1000*VLOOKUP(K$7,[0]!_4_15_YR_MACRS,3)),0)</f>
        <v>286.09445320530352</v>
      </c>
      <c r="L63" s="526">
        <f ca="1">IF(SUM($E63:K63)&lt;$C63*1000,MIN($C63*1000-SUM($C63:I63),$C63*1000*VLOOKUP(L$7,[0]!_4_15_YR_MACRS,3)),0)</f>
        <v>270.94017237741423</v>
      </c>
      <c r="M63" s="526">
        <f ca="1">IF(SUM($E63:L63)&lt;$C63*1000,MIN($C63*1000-SUM($C63:J63),$C63*1000*VLOOKUP(M$7,[0]!_4_15_YR_MACRS,3)),0)</f>
        <v>270.94017237741423</v>
      </c>
      <c r="N63" s="526">
        <f ca="1">IF(SUM($E63:M63)&lt;$C63*1000,MIN($C63*1000-SUM($C63:K63),$C63*1000*VLOOKUP(N$7,[0]!_4_15_YR_MACRS,3)),0)</f>
        <v>271.39939300856241</v>
      </c>
      <c r="O63" s="526">
        <f ca="1">IF(SUM($E63:N63)&lt;$C63*1000,MIN($C63*1000-SUM($C63:L63),$C63*1000*VLOOKUP(O$7,[0]!_4_15_YR_MACRS,3)),0)</f>
        <v>270.94017237741423</v>
      </c>
      <c r="P63" s="526">
        <f ca="1">IF(SUM($E63:O63)&lt;$C63*1000,MIN($C63*1000-SUM($C63:M63),$C63*1000*VLOOKUP(P$7,[0]!_4_15_YR_MACRS,3)),0)</f>
        <v>271.39939300856241</v>
      </c>
      <c r="Q63" s="526">
        <f ca="1">IF(SUM($E63:P63)&lt;$C63*1000,MIN($C63*1000-SUM($C63:N63),$C63*1000*VLOOKUP(Q$7,[0]!_4_15_YR_MACRS,3)),0)</f>
        <v>270.94017237741423</v>
      </c>
      <c r="R63" s="526">
        <f ca="1">IF(SUM($E63:Q63)&lt;$C63*1000,MIN($C63*1000-SUM($C63:O63),$C63*1000*VLOOKUP(R$7,[0]!_4_15_YR_MACRS,3)),0)</f>
        <v>271.39939300856241</v>
      </c>
      <c r="S63" s="526">
        <f ca="1">IF(SUM($E63:R63)&lt;$C63*1000,MIN($C63*1000-SUM($C63:P63),$C63*1000*VLOOKUP(S$7,[0]!_4_15_YR_MACRS,3)),0)</f>
        <v>270.94017237741423</v>
      </c>
      <c r="T63" s="526">
        <f ca="1">IF(SUM($E63:S63)&lt;$C63*1000,MIN($C63*1000-SUM($C63:Q63),$C63*1000*VLOOKUP(T$7,[0]!_4_15_YR_MACRS,3)),0)</f>
        <v>271.39939300856241</v>
      </c>
      <c r="U63" s="526">
        <f ca="1">IF(SUM($E63:T63)&lt;$C63*1000,MIN($C63*1000-SUM($C63:R63),$C63*1000*VLOOKUP(U$7,[0]!_4_15_YR_MACRS,3)),0)</f>
        <v>135.47008618870711</v>
      </c>
      <c r="V63" s="526">
        <f ca="1">IF(SUM($E63:U63)&lt;$C63*1000,MIN($C63*1000-SUM($C63:S63),$C63*1000*VLOOKUP(V$7,[0]!_4_15_YR_MACRS,3)),0)</f>
        <v>0</v>
      </c>
      <c r="W63" s="526">
        <f ca="1">IF(SUM($E63:V63)&lt;$C63*1000,MIN($C63*1000-SUM($C63:T63),$C63*1000*VLOOKUP(W$7,[0]!_4_15_YR_MACRS,3)),0)</f>
        <v>0</v>
      </c>
      <c r="X63" s="526">
        <f ca="1">IF(SUM($E63:W63)&lt;$C63*1000,MIN($C63*1000-SUM($C63:U63),$C63*1000*VLOOKUP(X$7,[0]!_4_15_YR_MACRS,3)),0)</f>
        <v>0</v>
      </c>
      <c r="Y63" s="526">
        <f ca="1">IF(SUM($E63:X63)&lt;$C63*1000,MIN($C63*1000-SUM($C63:V63),$C63*1000*VLOOKUP(Y$7,[0]!_4_15_YR_MACRS,3)),0)</f>
        <v>0</v>
      </c>
      <c r="Z63" s="526"/>
      <c r="AA63" s="527">
        <f ca="1">SUM(F63:Y63)-C63*1000</f>
        <v>0</v>
      </c>
      <c r="AB63" s="511"/>
    </row>
    <row r="64" spans="1:28">
      <c r="A64" s="514"/>
      <c r="B64" s="514"/>
      <c r="C64" s="525"/>
      <c r="D64" s="520"/>
      <c r="E64" s="524"/>
      <c r="F64" s="517"/>
      <c r="G64" s="517"/>
      <c r="H64" s="517"/>
      <c r="I64" s="517"/>
      <c r="J64" s="517"/>
      <c r="K64" s="517"/>
      <c r="L64" s="517"/>
      <c r="M64" s="517"/>
      <c r="N64" s="517"/>
      <c r="O64" s="517"/>
      <c r="P64" s="517"/>
      <c r="Q64" s="517"/>
      <c r="R64" s="517"/>
      <c r="S64" s="517"/>
      <c r="T64" s="517"/>
      <c r="U64" s="517"/>
      <c r="V64" s="517"/>
      <c r="W64" s="517"/>
      <c r="X64" s="517"/>
      <c r="Y64" s="517"/>
      <c r="Z64" s="517"/>
      <c r="AA64" s="517"/>
      <c r="AB64" s="511"/>
    </row>
    <row r="65" spans="1:28">
      <c r="A65" s="514"/>
      <c r="B65" s="514"/>
      <c r="C65" s="525"/>
      <c r="D65" s="520"/>
      <c r="E65" s="524"/>
      <c r="F65" s="517"/>
      <c r="G65" s="517"/>
      <c r="H65" s="517"/>
      <c r="I65" s="517"/>
      <c r="J65" s="517"/>
      <c r="K65" s="517"/>
      <c r="L65" s="517"/>
      <c r="M65" s="517"/>
      <c r="N65" s="517"/>
      <c r="O65" s="517"/>
      <c r="P65" s="517"/>
      <c r="Q65" s="517"/>
      <c r="R65" s="517"/>
      <c r="S65" s="517"/>
      <c r="T65" s="517"/>
      <c r="U65" s="517"/>
      <c r="V65" s="517"/>
      <c r="W65" s="517"/>
      <c r="X65" s="517"/>
      <c r="Y65" s="517"/>
      <c r="Z65" s="517"/>
      <c r="AA65" s="517"/>
      <c r="AB65" s="511"/>
    </row>
    <row r="66" spans="1:28">
      <c r="A66" s="505" t="s">
        <v>370</v>
      </c>
      <c r="B66" s="505"/>
      <c r="C66" s="528"/>
      <c r="D66" s="529"/>
      <c r="E66" s="529"/>
      <c r="F66" s="529"/>
      <c r="G66" s="530"/>
      <c r="H66" s="530"/>
      <c r="I66" s="530"/>
      <c r="J66" s="530"/>
      <c r="K66" s="530"/>
      <c r="L66" s="530"/>
      <c r="M66" s="530"/>
      <c r="N66" s="530"/>
      <c r="O66" s="530"/>
      <c r="P66" s="530"/>
      <c r="Q66" s="530"/>
      <c r="R66" s="530"/>
      <c r="S66" s="530"/>
      <c r="T66" s="530"/>
      <c r="U66" s="530"/>
      <c r="V66" s="530"/>
      <c r="W66" s="530"/>
      <c r="X66" s="530"/>
      <c r="Y66" s="530"/>
      <c r="Z66" s="530"/>
      <c r="AA66" s="517"/>
      <c r="AB66" s="511"/>
    </row>
    <row r="67" spans="1:28">
      <c r="A67" s="531" t="s">
        <v>371</v>
      </c>
      <c r="B67" s="531"/>
      <c r="C67" s="525"/>
      <c r="D67" s="520"/>
      <c r="E67" s="520"/>
      <c r="F67" s="532">
        <f t="shared" ref="F67:Y67" ca="1" si="2">SUM(F15:F63)</f>
        <v>9828.2572408846736</v>
      </c>
      <c r="G67" s="532">
        <f t="shared" ca="1" si="2"/>
        <v>16650.241765010054</v>
      </c>
      <c r="H67" s="532">
        <f t="shared" ca="1" si="2"/>
        <v>15210.045032139142</v>
      </c>
      <c r="I67" s="532">
        <f t="shared" ca="1" si="2"/>
        <v>13921.447955359901</v>
      </c>
      <c r="J67" s="532">
        <f t="shared" ca="1" si="2"/>
        <v>12754.130603454003</v>
      </c>
      <c r="K67" s="532">
        <f t="shared" ca="1" si="2"/>
        <v>9444.6585745113662</v>
      </c>
      <c r="L67" s="532">
        <f t="shared" ca="1" si="2"/>
        <v>8944.3797094088332</v>
      </c>
      <c r="M67" s="532">
        <f t="shared" ca="1" si="2"/>
        <v>8944.3797094088332</v>
      </c>
      <c r="N67" s="532">
        <f t="shared" ca="1" si="2"/>
        <v>8959.5396750180007</v>
      </c>
      <c r="O67" s="532">
        <f t="shared" ca="1" si="2"/>
        <v>8944.3797094088332</v>
      </c>
      <c r="P67" s="532">
        <f t="shared" ca="1" si="2"/>
        <v>8959.5396750180007</v>
      </c>
      <c r="Q67" s="532">
        <f t="shared" ca="1" si="2"/>
        <v>8944.3797094088332</v>
      </c>
      <c r="R67" s="532">
        <f t="shared" ca="1" si="2"/>
        <v>8959.5396750180007</v>
      </c>
      <c r="S67" s="532">
        <f t="shared" ca="1" si="2"/>
        <v>8944.3797094088332</v>
      </c>
      <c r="T67" s="532">
        <f t="shared" ca="1" si="2"/>
        <v>8959.5396750180007</v>
      </c>
      <c r="U67" s="532">
        <f t="shared" ca="1" si="2"/>
        <v>4472.1898547044166</v>
      </c>
      <c r="V67" s="532">
        <f t="shared" ca="1" si="2"/>
        <v>0</v>
      </c>
      <c r="W67" s="532">
        <f t="shared" ca="1" si="2"/>
        <v>0</v>
      </c>
      <c r="X67" s="532">
        <f t="shared" ca="1" si="2"/>
        <v>0</v>
      </c>
      <c r="Y67" s="532">
        <f t="shared" ca="1" si="2"/>
        <v>0</v>
      </c>
      <c r="Z67" s="532"/>
      <c r="AA67" s="517"/>
      <c r="AB67" s="511"/>
    </row>
    <row r="68" spans="1:28">
      <c r="A68" s="533"/>
      <c r="B68" s="533"/>
      <c r="C68" s="525"/>
      <c r="D68" s="520"/>
      <c r="E68" s="520"/>
      <c r="F68" s="517"/>
      <c r="G68" s="517"/>
      <c r="H68" s="517"/>
      <c r="I68" s="517"/>
      <c r="J68" s="517"/>
      <c r="K68" s="517"/>
      <c r="L68" s="517"/>
      <c r="M68" s="517"/>
      <c r="N68" s="517"/>
      <c r="O68" s="517"/>
      <c r="P68" s="517"/>
      <c r="Q68" s="517"/>
      <c r="R68" s="517"/>
      <c r="S68" s="517"/>
      <c r="T68" s="517"/>
      <c r="U68" s="517"/>
      <c r="V68" s="517"/>
      <c r="W68" s="517"/>
      <c r="X68" s="517"/>
      <c r="Y68" s="517"/>
      <c r="Z68" s="517"/>
      <c r="AA68" s="517"/>
      <c r="AB68" s="511"/>
    </row>
    <row r="69" spans="1:28">
      <c r="A69" s="531" t="s">
        <v>372</v>
      </c>
      <c r="B69" s="531"/>
      <c r="C69" s="525"/>
      <c r="D69" s="520"/>
      <c r="E69" s="534"/>
      <c r="F69" s="535">
        <f ca="1">SUM(C15:C63)*1000</f>
        <v>162841.02827317978</v>
      </c>
      <c r="G69" s="535">
        <f t="shared" ref="G69:Y69" ca="1" si="3">F70</f>
        <v>153012.7710322951</v>
      </c>
      <c r="H69" s="535">
        <f t="shared" ca="1" si="3"/>
        <v>136362.52926728505</v>
      </c>
      <c r="I69" s="535">
        <f t="shared" ca="1" si="3"/>
        <v>121152.48423514591</v>
      </c>
      <c r="J69" s="535">
        <f t="shared" ca="1" si="3"/>
        <v>107231.036279786</v>
      </c>
      <c r="K69" s="535">
        <f t="shared" ca="1" si="3"/>
        <v>94476.905676331997</v>
      </c>
      <c r="L69" s="535">
        <f t="shared" ca="1" si="3"/>
        <v>85032.247101820627</v>
      </c>
      <c r="M69" s="535">
        <f t="shared" ca="1" si="3"/>
        <v>76087.86739241179</v>
      </c>
      <c r="N69" s="535">
        <f t="shared" ca="1" si="3"/>
        <v>67143.487683002953</v>
      </c>
      <c r="O69" s="535">
        <f t="shared" ca="1" si="3"/>
        <v>58183.948007984953</v>
      </c>
      <c r="P69" s="535">
        <f t="shared" ca="1" si="3"/>
        <v>49239.568298576123</v>
      </c>
      <c r="Q69" s="535">
        <f t="shared" ca="1" si="3"/>
        <v>40280.028623558122</v>
      </c>
      <c r="R69" s="535">
        <f t="shared" ca="1" si="3"/>
        <v>31335.648914149289</v>
      </c>
      <c r="S69" s="535">
        <f t="shared" ca="1" si="3"/>
        <v>22376.109239131289</v>
      </c>
      <c r="T69" s="535">
        <f t="shared" ca="1" si="3"/>
        <v>13431.729529722455</v>
      </c>
      <c r="U69" s="535">
        <f t="shared" ca="1" si="3"/>
        <v>4472.1898547044548</v>
      </c>
      <c r="V69" s="535">
        <f t="shared" ca="1" si="3"/>
        <v>3.8198777474462986E-11</v>
      </c>
      <c r="W69" s="535">
        <f t="shared" ca="1" si="3"/>
        <v>3.8198777474462986E-11</v>
      </c>
      <c r="X69" s="535">
        <f t="shared" ca="1" si="3"/>
        <v>3.8198777474462986E-11</v>
      </c>
      <c r="Y69" s="535">
        <f t="shared" ca="1" si="3"/>
        <v>3.8198777474462986E-11</v>
      </c>
      <c r="Z69" s="535"/>
      <c r="AA69" s="517"/>
      <c r="AB69" s="511"/>
    </row>
    <row r="70" spans="1:28">
      <c r="A70" s="531" t="s">
        <v>373</v>
      </c>
      <c r="B70" s="531"/>
      <c r="C70" s="525"/>
      <c r="D70" s="520"/>
      <c r="E70" s="534"/>
      <c r="F70" s="535">
        <f t="shared" ref="F70:Y70" ca="1" si="4">F69-F67</f>
        <v>153012.7710322951</v>
      </c>
      <c r="G70" s="535">
        <f t="shared" ca="1" si="4"/>
        <v>136362.52926728505</v>
      </c>
      <c r="H70" s="535">
        <f t="shared" ca="1" si="4"/>
        <v>121152.48423514591</v>
      </c>
      <c r="I70" s="535">
        <f t="shared" ca="1" si="4"/>
        <v>107231.036279786</v>
      </c>
      <c r="J70" s="535">
        <f t="shared" ca="1" si="4"/>
        <v>94476.905676331997</v>
      </c>
      <c r="K70" s="535">
        <f t="shared" ca="1" si="4"/>
        <v>85032.247101820627</v>
      </c>
      <c r="L70" s="535">
        <f t="shared" ca="1" si="4"/>
        <v>76087.86739241179</v>
      </c>
      <c r="M70" s="535">
        <f t="shared" ca="1" si="4"/>
        <v>67143.487683002953</v>
      </c>
      <c r="N70" s="535">
        <f t="shared" ca="1" si="4"/>
        <v>58183.948007984953</v>
      </c>
      <c r="O70" s="535">
        <f t="shared" ca="1" si="4"/>
        <v>49239.568298576123</v>
      </c>
      <c r="P70" s="535">
        <f t="shared" ca="1" si="4"/>
        <v>40280.028623558122</v>
      </c>
      <c r="Q70" s="535">
        <f t="shared" ca="1" si="4"/>
        <v>31335.648914149289</v>
      </c>
      <c r="R70" s="535">
        <f t="shared" ca="1" si="4"/>
        <v>22376.109239131289</v>
      </c>
      <c r="S70" s="535">
        <f t="shared" ca="1" si="4"/>
        <v>13431.729529722455</v>
      </c>
      <c r="T70" s="535">
        <f t="shared" ca="1" si="4"/>
        <v>4472.1898547044548</v>
      </c>
      <c r="U70" s="535">
        <f t="shared" ca="1" si="4"/>
        <v>3.8198777474462986E-11</v>
      </c>
      <c r="V70" s="535">
        <f t="shared" ca="1" si="4"/>
        <v>3.8198777474462986E-11</v>
      </c>
      <c r="W70" s="535">
        <f t="shared" ca="1" si="4"/>
        <v>3.8198777474462986E-11</v>
      </c>
      <c r="X70" s="535">
        <f t="shared" ca="1" si="4"/>
        <v>3.8198777474462986E-11</v>
      </c>
      <c r="Y70" s="535">
        <f t="shared" ca="1" si="4"/>
        <v>3.8198777474462986E-11</v>
      </c>
      <c r="Z70" s="535"/>
      <c r="AA70" s="517"/>
      <c r="AB70" s="511"/>
    </row>
    <row r="71" spans="1:28">
      <c r="A71" s="533"/>
      <c r="B71" s="533"/>
      <c r="C71" s="525"/>
      <c r="D71" s="520"/>
      <c r="E71" s="534"/>
      <c r="F71" s="517"/>
      <c r="G71" s="517"/>
      <c r="H71" s="517"/>
      <c r="I71" s="517"/>
      <c r="J71" s="517"/>
      <c r="K71" s="517"/>
      <c r="L71" s="517"/>
      <c r="M71" s="517"/>
      <c r="N71" s="517"/>
      <c r="O71" s="517"/>
      <c r="P71" s="517"/>
      <c r="Q71" s="517"/>
      <c r="R71" s="517"/>
      <c r="S71" s="517"/>
      <c r="T71" s="517"/>
      <c r="U71" s="517"/>
      <c r="V71" s="517"/>
      <c r="W71" s="517"/>
      <c r="X71" s="517"/>
      <c r="Y71" s="517"/>
      <c r="Z71" s="517"/>
      <c r="AA71" s="517"/>
      <c r="AB71" s="511"/>
    </row>
    <row r="72" spans="1:28">
      <c r="A72" s="529"/>
      <c r="B72" s="529"/>
      <c r="C72" s="536"/>
      <c r="D72" s="529"/>
      <c r="E72" s="537"/>
      <c r="F72" s="538"/>
      <c r="G72" s="538"/>
      <c r="H72" s="538"/>
      <c r="I72" s="538"/>
      <c r="J72" s="538"/>
      <c r="K72" s="538"/>
      <c r="L72" s="538"/>
      <c r="M72" s="538"/>
      <c r="N72" s="538"/>
      <c r="O72" s="538"/>
      <c r="P72" s="538"/>
      <c r="Q72" s="538"/>
      <c r="R72" s="538"/>
      <c r="S72" s="538"/>
      <c r="T72" s="538"/>
      <c r="U72" s="538"/>
      <c r="V72" s="538"/>
      <c r="W72" s="538"/>
      <c r="X72" s="538"/>
      <c r="Y72" s="538"/>
      <c r="Z72" s="538"/>
      <c r="AA72" s="511"/>
      <c r="AB72" s="511"/>
    </row>
    <row r="73" spans="1:28">
      <c r="A73" s="514"/>
      <c r="B73" s="514"/>
      <c r="C73" s="539"/>
      <c r="D73" s="514"/>
      <c r="E73" s="540"/>
      <c r="F73" s="511"/>
      <c r="G73" s="511"/>
      <c r="H73" s="511"/>
      <c r="I73" s="511"/>
      <c r="J73" s="511"/>
      <c r="K73" s="511"/>
      <c r="L73" s="511"/>
      <c r="M73" s="511"/>
      <c r="N73" s="511"/>
      <c r="O73" s="511"/>
      <c r="P73" s="511"/>
      <c r="Q73" s="511"/>
      <c r="R73" s="511"/>
      <c r="S73" s="511"/>
      <c r="T73" s="511"/>
      <c r="U73" s="511"/>
      <c r="V73" s="511"/>
      <c r="W73" s="511"/>
      <c r="X73" s="511"/>
      <c r="Y73" s="511"/>
      <c r="Z73" s="511"/>
      <c r="AA73" s="511"/>
      <c r="AB73" s="511"/>
    </row>
    <row r="74" spans="1:28">
      <c r="C74" s="539"/>
      <c r="E74" s="541"/>
    </row>
  </sheetData>
  <pageMargins left="0.5" right="0.55347222222222203" top="0.5" bottom="0.75" header="0.5" footer="0.25"/>
  <pageSetup scale="38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1" manualBreakCount="1">
    <brk id="70" max="24" man="1"/>
  </rowBreaks>
  <colBreaks count="1" manualBreakCount="1">
    <brk id="25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U35"/>
  <sheetViews>
    <sheetView showOutlineSymbols="0" view="pageBreakPreview" zoomScale="60" zoomScaleNormal="75" workbookViewId="0">
      <selection activeCell="F26" sqref="F26"/>
    </sheetView>
  </sheetViews>
  <sheetFormatPr defaultColWidth="9.81640625" defaultRowHeight="15.6"/>
  <cols>
    <col min="1" max="1" width="25.81640625" style="543" customWidth="1"/>
    <col min="2" max="2" width="6.81640625" style="543" customWidth="1"/>
    <col min="3" max="22" width="9.81640625" style="543" customWidth="1"/>
    <col min="23" max="23" width="5.08984375" style="546" customWidth="1"/>
    <col min="24" max="16384" width="9.81640625" style="546"/>
  </cols>
  <sheetData>
    <row r="1" spans="1:255" ht="22.2">
      <c r="A1" s="542" t="str">
        <f ca="1">'144A IDC'!A1</f>
        <v>DELMARVA, VA</v>
      </c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  <c r="Q1" s="545"/>
      <c r="R1" s="545"/>
      <c r="S1" s="545"/>
      <c r="T1" s="545"/>
      <c r="U1" s="545"/>
      <c r="V1" s="545"/>
    </row>
    <row r="2" spans="1:255">
      <c r="A2" s="547" t="s">
        <v>374</v>
      </c>
      <c r="B2" s="548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9"/>
      <c r="R2" s="549"/>
      <c r="S2" s="549"/>
      <c r="T2" s="549"/>
      <c r="U2" s="549"/>
      <c r="V2" s="549"/>
    </row>
    <row r="3" spans="1:255" ht="6" customHeight="1">
      <c r="A3" s="550"/>
      <c r="B3" s="551"/>
      <c r="C3" s="551"/>
      <c r="D3" s="551"/>
      <c r="E3" s="551"/>
      <c r="F3" s="551"/>
      <c r="G3" s="551"/>
      <c r="H3" s="551"/>
      <c r="I3" s="551"/>
      <c r="J3" s="551"/>
      <c r="K3" s="551"/>
      <c r="L3" s="551"/>
      <c r="M3" s="551"/>
      <c r="N3" s="551"/>
      <c r="O3" s="551"/>
      <c r="P3" s="551"/>
      <c r="Q3" s="552"/>
      <c r="R3" s="552"/>
      <c r="S3" s="552"/>
      <c r="T3" s="552"/>
      <c r="U3" s="552"/>
      <c r="V3" s="552"/>
    </row>
    <row r="4" spans="1:255">
      <c r="B4" s="544"/>
      <c r="C4" s="544"/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53"/>
      <c r="R4" s="553"/>
      <c r="S4" s="553"/>
      <c r="T4" s="553"/>
      <c r="U4" s="553"/>
      <c r="V4" s="553"/>
    </row>
    <row r="5" spans="1:255">
      <c r="A5" s="554" t="str">
        <f>Tariff!A5</f>
        <v>US $ 000s</v>
      </c>
      <c r="B5" s="555"/>
      <c r="C5" s="556">
        <f>Tariff!C5</f>
        <v>2000</v>
      </c>
      <c r="D5" s="556">
        <f>Tariff!D5</f>
        <v>2001</v>
      </c>
      <c r="E5" s="556">
        <f>Tariff!E5</f>
        <v>2002</v>
      </c>
      <c r="F5" s="556">
        <f>Tariff!F5</f>
        <v>2003</v>
      </c>
      <c r="G5" s="556">
        <f>Tariff!G5</f>
        <v>2004</v>
      </c>
      <c r="H5" s="556">
        <f>Tariff!H5</f>
        <v>2005</v>
      </c>
      <c r="I5" s="556">
        <f>Tariff!I5</f>
        <v>2006</v>
      </c>
      <c r="J5" s="556">
        <f>Tariff!J5</f>
        <v>2007</v>
      </c>
      <c r="K5" s="556">
        <f>Tariff!K5</f>
        <v>2008</v>
      </c>
      <c r="L5" s="556">
        <f>Tariff!L5</f>
        <v>2009</v>
      </c>
      <c r="M5" s="556">
        <f>Tariff!M5</f>
        <v>2010</v>
      </c>
      <c r="N5" s="556">
        <f>Tariff!N5</f>
        <v>2011</v>
      </c>
      <c r="O5" s="556">
        <f>Tariff!O5</f>
        <v>2012</v>
      </c>
      <c r="P5" s="556">
        <f>Tariff!P5</f>
        <v>2013</v>
      </c>
      <c r="Q5" s="556">
        <f>Tariff!Q5</f>
        <v>2014</v>
      </c>
      <c r="R5" s="556">
        <f>Tariff!R5</f>
        <v>2015</v>
      </c>
      <c r="S5" s="556">
        <f>Tariff!S5</f>
        <v>2016</v>
      </c>
      <c r="T5" s="556">
        <f>Tariff!T5</f>
        <v>2017</v>
      </c>
      <c r="U5" s="556">
        <f>Tariff!U5</f>
        <v>2018</v>
      </c>
      <c r="V5" s="556">
        <f>Tariff!V5</f>
        <v>2019</v>
      </c>
    </row>
    <row r="6" spans="1:255">
      <c r="A6" s="555" t="str">
        <f>Tariff!A6</f>
        <v>Year</v>
      </c>
      <c r="B6" s="555"/>
      <c r="C6" s="555">
        <f>Tariff!C6</f>
        <v>1</v>
      </c>
      <c r="D6" s="555">
        <f>Tariff!D6</f>
        <v>2</v>
      </c>
      <c r="E6" s="555">
        <f>Tariff!E6</f>
        <v>3</v>
      </c>
      <c r="F6" s="555">
        <f>Tariff!F6</f>
        <v>4</v>
      </c>
      <c r="G6" s="555">
        <f>Tariff!G6</f>
        <v>5</v>
      </c>
      <c r="H6" s="555">
        <f>Tariff!H6</f>
        <v>6</v>
      </c>
      <c r="I6" s="555">
        <f>Tariff!I6</f>
        <v>7</v>
      </c>
      <c r="J6" s="555">
        <f>Tariff!J6</f>
        <v>8</v>
      </c>
      <c r="K6" s="555">
        <f>Tariff!K6</f>
        <v>9</v>
      </c>
      <c r="L6" s="555">
        <f>Tariff!L6</f>
        <v>10</v>
      </c>
      <c r="M6" s="555">
        <f>Tariff!M6</f>
        <v>11</v>
      </c>
      <c r="N6" s="555">
        <f>Tariff!N6</f>
        <v>12</v>
      </c>
      <c r="O6" s="555">
        <f>Tariff!O6</f>
        <v>13</v>
      </c>
      <c r="P6" s="555">
        <f>Tariff!P6</f>
        <v>14</v>
      </c>
      <c r="Q6" s="555">
        <f>Tariff!Q6</f>
        <v>15</v>
      </c>
      <c r="R6" s="555">
        <f>Tariff!R6</f>
        <v>16</v>
      </c>
      <c r="S6" s="555">
        <f>Tariff!S6</f>
        <v>17</v>
      </c>
      <c r="T6" s="555">
        <f>Tariff!T6</f>
        <v>18</v>
      </c>
      <c r="U6" s="555">
        <f>Tariff!U6</f>
        <v>19</v>
      </c>
      <c r="V6" s="555">
        <f>Tariff!V6</f>
        <v>20</v>
      </c>
      <c r="W6" s="543"/>
      <c r="X6" s="543"/>
      <c r="Y6" s="543"/>
      <c r="Z6" s="543"/>
      <c r="AA6" s="543"/>
      <c r="AB6" s="543"/>
      <c r="AC6" s="543"/>
      <c r="AD6" s="543"/>
      <c r="AE6" s="543"/>
      <c r="AF6" s="543"/>
      <c r="AG6" s="543"/>
      <c r="AH6" s="543"/>
      <c r="AI6" s="543"/>
      <c r="AJ6" s="543"/>
      <c r="AK6" s="543"/>
      <c r="AL6" s="543"/>
      <c r="AM6" s="543"/>
      <c r="AN6" s="543"/>
      <c r="AO6" s="543"/>
      <c r="AP6" s="543"/>
      <c r="AQ6" s="543"/>
      <c r="AR6" s="543"/>
      <c r="AS6" s="543"/>
      <c r="AT6" s="543"/>
      <c r="AU6" s="543"/>
      <c r="AV6" s="543"/>
      <c r="AW6" s="543"/>
      <c r="AX6" s="543"/>
      <c r="AY6" s="543"/>
      <c r="AZ6" s="543"/>
      <c r="BA6" s="543"/>
      <c r="BB6" s="543"/>
      <c r="BC6" s="543"/>
      <c r="BD6" s="543"/>
      <c r="BE6" s="543"/>
      <c r="BF6" s="543"/>
      <c r="BG6" s="543"/>
      <c r="BH6" s="543"/>
      <c r="BI6" s="543"/>
      <c r="BJ6" s="543"/>
      <c r="BK6" s="543"/>
      <c r="BL6" s="543"/>
      <c r="BM6" s="543"/>
      <c r="BN6" s="543"/>
      <c r="BO6" s="543"/>
      <c r="BP6" s="543"/>
      <c r="BQ6" s="543"/>
      <c r="BR6" s="543"/>
      <c r="BS6" s="543"/>
      <c r="BT6" s="543"/>
      <c r="BU6" s="543"/>
      <c r="BV6" s="543"/>
      <c r="BW6" s="543"/>
      <c r="BX6" s="543"/>
      <c r="BY6" s="543"/>
      <c r="BZ6" s="543"/>
      <c r="CA6" s="543"/>
      <c r="CB6" s="543"/>
      <c r="CC6" s="543"/>
      <c r="CD6" s="543"/>
      <c r="CE6" s="543"/>
      <c r="CF6" s="543"/>
      <c r="CG6" s="543"/>
      <c r="CH6" s="543"/>
      <c r="CI6" s="543"/>
      <c r="CJ6" s="543"/>
      <c r="CK6" s="543"/>
      <c r="CL6" s="543"/>
      <c r="CM6" s="543"/>
      <c r="CN6" s="543"/>
      <c r="CO6" s="543"/>
      <c r="CP6" s="543"/>
      <c r="CQ6" s="543"/>
      <c r="CR6" s="543"/>
      <c r="CS6" s="543"/>
      <c r="CT6" s="543"/>
      <c r="CU6" s="543"/>
      <c r="CV6" s="543"/>
      <c r="CW6" s="543"/>
      <c r="CX6" s="543"/>
      <c r="CY6" s="543"/>
      <c r="CZ6" s="543"/>
      <c r="DA6" s="543"/>
      <c r="DB6" s="543"/>
      <c r="DC6" s="543"/>
      <c r="DD6" s="543"/>
      <c r="DE6" s="543"/>
      <c r="DF6" s="543"/>
      <c r="DG6" s="543"/>
      <c r="DH6" s="543"/>
      <c r="DI6" s="543"/>
      <c r="DJ6" s="543"/>
      <c r="DK6" s="543"/>
      <c r="DL6" s="543"/>
      <c r="DM6" s="543"/>
      <c r="DN6" s="543"/>
      <c r="DO6" s="543"/>
      <c r="DP6" s="543"/>
      <c r="DQ6" s="543"/>
      <c r="DR6" s="543"/>
      <c r="DS6" s="543"/>
      <c r="DT6" s="543"/>
      <c r="DU6" s="543"/>
      <c r="DV6" s="543"/>
      <c r="DW6" s="543"/>
      <c r="DX6" s="543"/>
      <c r="DY6" s="543"/>
      <c r="DZ6" s="543"/>
      <c r="EA6" s="543"/>
      <c r="EB6" s="543"/>
      <c r="EC6" s="543"/>
      <c r="ED6" s="543"/>
      <c r="EE6" s="543"/>
      <c r="EF6" s="543"/>
      <c r="EG6" s="543"/>
      <c r="EH6" s="543"/>
      <c r="EI6" s="543"/>
      <c r="EJ6" s="543"/>
      <c r="EK6" s="543"/>
      <c r="EL6" s="543"/>
      <c r="EM6" s="543"/>
      <c r="EN6" s="543"/>
      <c r="EO6" s="543"/>
      <c r="EP6" s="543"/>
      <c r="EQ6" s="543"/>
      <c r="ER6" s="543"/>
      <c r="ES6" s="543"/>
      <c r="ET6" s="543"/>
      <c r="EU6" s="543"/>
      <c r="EV6" s="543"/>
      <c r="EW6" s="543"/>
      <c r="EX6" s="543"/>
      <c r="EY6" s="543"/>
      <c r="EZ6" s="543"/>
      <c r="FA6" s="543"/>
      <c r="FB6" s="543"/>
      <c r="FC6" s="543"/>
      <c r="FD6" s="543"/>
      <c r="FE6" s="543"/>
      <c r="FF6" s="543"/>
      <c r="FG6" s="543"/>
      <c r="FH6" s="543"/>
      <c r="FI6" s="543"/>
      <c r="FJ6" s="543"/>
      <c r="FK6" s="543"/>
      <c r="FL6" s="543"/>
      <c r="FM6" s="543"/>
      <c r="FN6" s="543"/>
      <c r="FO6" s="543"/>
      <c r="FP6" s="543"/>
      <c r="FQ6" s="543"/>
      <c r="FR6" s="543"/>
      <c r="FS6" s="543"/>
      <c r="FT6" s="543"/>
      <c r="FU6" s="543"/>
      <c r="FV6" s="543"/>
      <c r="FW6" s="543"/>
      <c r="FX6" s="543"/>
      <c r="FY6" s="543"/>
      <c r="FZ6" s="543"/>
      <c r="GA6" s="543"/>
      <c r="GB6" s="543"/>
      <c r="GC6" s="543"/>
      <c r="GD6" s="543"/>
      <c r="GE6" s="543"/>
      <c r="GF6" s="543"/>
      <c r="GG6" s="543"/>
      <c r="GH6" s="543"/>
      <c r="GI6" s="543"/>
      <c r="GJ6" s="543"/>
      <c r="GK6" s="543"/>
      <c r="GL6" s="543"/>
      <c r="GM6" s="543"/>
      <c r="GN6" s="543"/>
      <c r="GO6" s="543"/>
      <c r="GP6" s="543"/>
      <c r="GQ6" s="543"/>
      <c r="GR6" s="543"/>
      <c r="GS6" s="543"/>
      <c r="GT6" s="543"/>
      <c r="GU6" s="543"/>
      <c r="GV6" s="543"/>
      <c r="GW6" s="543"/>
      <c r="GX6" s="543"/>
      <c r="GY6" s="543"/>
      <c r="GZ6" s="543"/>
      <c r="HA6" s="543"/>
      <c r="HB6" s="543"/>
      <c r="HC6" s="543"/>
      <c r="HD6" s="543"/>
      <c r="HE6" s="543"/>
      <c r="HF6" s="543"/>
      <c r="HG6" s="543"/>
      <c r="HH6" s="543"/>
      <c r="HI6" s="543"/>
      <c r="HJ6" s="543"/>
      <c r="HK6" s="543"/>
      <c r="HL6" s="543"/>
      <c r="HM6" s="543"/>
      <c r="HN6" s="543"/>
      <c r="HO6" s="543"/>
      <c r="HP6" s="543"/>
      <c r="HQ6" s="543"/>
      <c r="HR6" s="543"/>
      <c r="HS6" s="543"/>
      <c r="HT6" s="543"/>
      <c r="HU6" s="543"/>
      <c r="HV6" s="543"/>
      <c r="HW6" s="543"/>
      <c r="HX6" s="543"/>
      <c r="HY6" s="543"/>
      <c r="HZ6" s="543"/>
      <c r="IA6" s="543"/>
      <c r="IB6" s="543"/>
      <c r="IC6" s="543"/>
      <c r="ID6" s="543"/>
      <c r="IE6" s="543"/>
      <c r="IF6" s="543"/>
      <c r="IG6" s="543"/>
      <c r="IH6" s="543"/>
      <c r="II6" s="543"/>
      <c r="IJ6" s="543"/>
      <c r="IK6" s="543"/>
      <c r="IL6" s="543"/>
      <c r="IM6" s="543"/>
      <c r="IN6" s="543"/>
      <c r="IO6" s="543"/>
      <c r="IP6" s="543"/>
      <c r="IQ6" s="543"/>
      <c r="IR6" s="543"/>
      <c r="IS6" s="543"/>
      <c r="IT6" s="543"/>
      <c r="IU6" s="543"/>
    </row>
    <row r="7" spans="1:255">
      <c r="A7" s="555" t="str">
        <f>Tariff!A7</f>
        <v>Months of Operation</v>
      </c>
      <c r="B7" s="555"/>
      <c r="C7" s="555">
        <f>Tariff!C7</f>
        <v>7</v>
      </c>
      <c r="D7" s="555">
        <f>Tariff!D7</f>
        <v>12</v>
      </c>
      <c r="E7" s="555">
        <f>Tariff!E7</f>
        <v>12</v>
      </c>
      <c r="F7" s="555">
        <f>Tariff!F7</f>
        <v>12</v>
      </c>
      <c r="G7" s="555">
        <f>Tariff!G7</f>
        <v>12</v>
      </c>
      <c r="H7" s="555">
        <f>Tariff!H7</f>
        <v>12</v>
      </c>
      <c r="I7" s="555">
        <f>Tariff!I7</f>
        <v>12</v>
      </c>
      <c r="J7" s="555">
        <f>Tariff!J7</f>
        <v>12</v>
      </c>
      <c r="K7" s="555">
        <f>Tariff!K7</f>
        <v>12</v>
      </c>
      <c r="L7" s="555">
        <f>Tariff!L7</f>
        <v>12</v>
      </c>
      <c r="M7" s="555">
        <f>Tariff!M7</f>
        <v>12</v>
      </c>
      <c r="N7" s="555">
        <f>Tariff!N7</f>
        <v>12</v>
      </c>
      <c r="O7" s="555">
        <f>Tariff!O7</f>
        <v>12</v>
      </c>
      <c r="P7" s="555">
        <f>Tariff!P7</f>
        <v>12</v>
      </c>
      <c r="Q7" s="555">
        <f>Tariff!Q7</f>
        <v>12</v>
      </c>
      <c r="R7" s="555">
        <f>Tariff!R7</f>
        <v>12</v>
      </c>
      <c r="S7" s="555">
        <f>Tariff!S7</f>
        <v>12</v>
      </c>
      <c r="T7" s="555">
        <f>Tariff!T7</f>
        <v>12</v>
      </c>
      <c r="U7" s="555">
        <f>Tariff!U7</f>
        <v>12</v>
      </c>
      <c r="V7" s="555">
        <f>Tariff!V7</f>
        <v>12</v>
      </c>
      <c r="W7" s="543"/>
      <c r="X7" s="543"/>
      <c r="Y7" s="543"/>
      <c r="Z7" s="543"/>
      <c r="AA7" s="543"/>
      <c r="AB7" s="543"/>
      <c r="AC7" s="543"/>
      <c r="AD7" s="543"/>
      <c r="AE7" s="543"/>
      <c r="AF7" s="543"/>
      <c r="AG7" s="543"/>
      <c r="AH7" s="543"/>
      <c r="AI7" s="543"/>
      <c r="AJ7" s="543"/>
      <c r="AK7" s="543"/>
      <c r="AL7" s="543"/>
      <c r="AM7" s="543"/>
      <c r="AN7" s="543"/>
      <c r="AO7" s="543"/>
      <c r="AP7" s="543"/>
      <c r="AQ7" s="543"/>
      <c r="AR7" s="543"/>
      <c r="AS7" s="543"/>
      <c r="AT7" s="543"/>
      <c r="AU7" s="543"/>
      <c r="AV7" s="543"/>
      <c r="AW7" s="543"/>
      <c r="AX7" s="543"/>
      <c r="AY7" s="543"/>
      <c r="AZ7" s="543"/>
      <c r="BA7" s="543"/>
      <c r="BB7" s="543"/>
      <c r="BC7" s="543"/>
      <c r="BD7" s="543"/>
      <c r="BE7" s="543"/>
      <c r="BF7" s="543"/>
      <c r="BG7" s="543"/>
      <c r="BH7" s="543"/>
      <c r="BI7" s="543"/>
      <c r="BJ7" s="543"/>
      <c r="BK7" s="543"/>
      <c r="BL7" s="543"/>
      <c r="BM7" s="543"/>
      <c r="BN7" s="543"/>
      <c r="BO7" s="543"/>
      <c r="BP7" s="543"/>
      <c r="BQ7" s="543"/>
      <c r="BR7" s="543"/>
      <c r="BS7" s="543"/>
      <c r="BT7" s="543"/>
      <c r="BU7" s="543"/>
      <c r="BV7" s="543"/>
      <c r="BW7" s="543"/>
      <c r="BX7" s="543"/>
      <c r="BY7" s="543"/>
      <c r="BZ7" s="543"/>
      <c r="CA7" s="543"/>
      <c r="CB7" s="543"/>
      <c r="CC7" s="543"/>
      <c r="CD7" s="543"/>
      <c r="CE7" s="543"/>
      <c r="CF7" s="543"/>
      <c r="CG7" s="543"/>
      <c r="CH7" s="543"/>
      <c r="CI7" s="543"/>
      <c r="CJ7" s="543"/>
      <c r="CK7" s="543"/>
      <c r="CL7" s="543"/>
      <c r="CM7" s="543"/>
      <c r="CN7" s="543"/>
      <c r="CO7" s="543"/>
      <c r="CP7" s="543"/>
      <c r="CQ7" s="543"/>
      <c r="CR7" s="543"/>
      <c r="CS7" s="543"/>
      <c r="CT7" s="543"/>
      <c r="CU7" s="543"/>
      <c r="CV7" s="543"/>
      <c r="CW7" s="543"/>
      <c r="CX7" s="543"/>
      <c r="CY7" s="543"/>
      <c r="CZ7" s="543"/>
      <c r="DA7" s="543"/>
      <c r="DB7" s="543"/>
      <c r="DC7" s="543"/>
      <c r="DD7" s="543"/>
      <c r="DE7" s="543"/>
      <c r="DF7" s="543"/>
      <c r="DG7" s="543"/>
      <c r="DH7" s="543"/>
      <c r="DI7" s="543"/>
      <c r="DJ7" s="543"/>
      <c r="DK7" s="543"/>
      <c r="DL7" s="543"/>
      <c r="DM7" s="543"/>
      <c r="DN7" s="543"/>
      <c r="DO7" s="543"/>
      <c r="DP7" s="543"/>
      <c r="DQ7" s="543"/>
      <c r="DR7" s="543"/>
      <c r="DS7" s="543"/>
      <c r="DT7" s="543"/>
      <c r="DU7" s="543"/>
      <c r="DV7" s="543"/>
      <c r="DW7" s="543"/>
      <c r="DX7" s="543"/>
      <c r="DY7" s="543"/>
      <c r="DZ7" s="543"/>
      <c r="EA7" s="543"/>
      <c r="EB7" s="543"/>
      <c r="EC7" s="543"/>
      <c r="ED7" s="543"/>
      <c r="EE7" s="543"/>
      <c r="EF7" s="543"/>
      <c r="EG7" s="543"/>
      <c r="EH7" s="543"/>
      <c r="EI7" s="543"/>
      <c r="EJ7" s="543"/>
      <c r="EK7" s="543"/>
      <c r="EL7" s="543"/>
      <c r="EM7" s="543"/>
      <c r="EN7" s="543"/>
      <c r="EO7" s="543"/>
      <c r="EP7" s="543"/>
      <c r="EQ7" s="543"/>
      <c r="ER7" s="543"/>
      <c r="ES7" s="543"/>
      <c r="ET7" s="543"/>
      <c r="EU7" s="543"/>
      <c r="EV7" s="543"/>
      <c r="EW7" s="543"/>
      <c r="EX7" s="543"/>
      <c r="EY7" s="543"/>
      <c r="EZ7" s="543"/>
      <c r="FA7" s="543"/>
      <c r="FB7" s="543"/>
      <c r="FC7" s="543"/>
      <c r="FD7" s="543"/>
      <c r="FE7" s="543"/>
      <c r="FF7" s="543"/>
      <c r="FG7" s="543"/>
      <c r="FH7" s="543"/>
      <c r="FI7" s="543"/>
      <c r="FJ7" s="543"/>
      <c r="FK7" s="543"/>
      <c r="FL7" s="543"/>
      <c r="FM7" s="543"/>
      <c r="FN7" s="543"/>
      <c r="FO7" s="543"/>
      <c r="FP7" s="543"/>
      <c r="FQ7" s="543"/>
      <c r="FR7" s="543"/>
      <c r="FS7" s="543"/>
      <c r="FT7" s="543"/>
      <c r="FU7" s="543"/>
      <c r="FV7" s="543"/>
      <c r="FW7" s="543"/>
      <c r="FX7" s="543"/>
      <c r="FY7" s="543"/>
      <c r="FZ7" s="543"/>
      <c r="GA7" s="543"/>
      <c r="GB7" s="543"/>
      <c r="GC7" s="543"/>
      <c r="GD7" s="543"/>
      <c r="GE7" s="543"/>
      <c r="GF7" s="543"/>
      <c r="GG7" s="543"/>
      <c r="GH7" s="543"/>
      <c r="GI7" s="543"/>
      <c r="GJ7" s="543"/>
      <c r="GK7" s="543"/>
      <c r="GL7" s="543"/>
      <c r="GM7" s="543"/>
      <c r="GN7" s="543"/>
      <c r="GO7" s="543"/>
      <c r="GP7" s="543"/>
      <c r="GQ7" s="543"/>
      <c r="GR7" s="543"/>
      <c r="GS7" s="543"/>
      <c r="GT7" s="543"/>
      <c r="GU7" s="543"/>
      <c r="GV7" s="543"/>
      <c r="GW7" s="543"/>
      <c r="GX7" s="543"/>
      <c r="GY7" s="543"/>
      <c r="GZ7" s="543"/>
      <c r="HA7" s="543"/>
      <c r="HB7" s="543"/>
      <c r="HC7" s="543"/>
      <c r="HD7" s="543"/>
      <c r="HE7" s="543"/>
      <c r="HF7" s="543"/>
      <c r="HG7" s="543"/>
      <c r="HH7" s="543"/>
      <c r="HI7" s="543"/>
      <c r="HJ7" s="543"/>
      <c r="HK7" s="543"/>
      <c r="HL7" s="543"/>
      <c r="HM7" s="543"/>
      <c r="HN7" s="543"/>
      <c r="HO7" s="543"/>
      <c r="HP7" s="543"/>
      <c r="HQ7" s="543"/>
      <c r="HR7" s="543"/>
      <c r="HS7" s="543"/>
      <c r="HT7" s="543"/>
      <c r="HU7" s="543"/>
      <c r="HV7" s="543"/>
      <c r="HW7" s="543"/>
      <c r="HX7" s="543"/>
      <c r="HY7" s="543"/>
      <c r="HZ7" s="543"/>
      <c r="IA7" s="543"/>
      <c r="IB7" s="543"/>
      <c r="IC7" s="543"/>
      <c r="ID7" s="543"/>
      <c r="IE7" s="543"/>
      <c r="IF7" s="543"/>
      <c r="IG7" s="543"/>
      <c r="IH7" s="543"/>
      <c r="II7" s="543"/>
      <c r="IJ7" s="543"/>
      <c r="IK7" s="543"/>
      <c r="IL7" s="543"/>
      <c r="IM7" s="543"/>
      <c r="IN7" s="543"/>
      <c r="IO7" s="543"/>
      <c r="IP7" s="543"/>
      <c r="IQ7" s="543"/>
      <c r="IR7" s="543"/>
      <c r="IS7" s="543"/>
      <c r="IT7" s="543"/>
      <c r="IU7" s="543"/>
    </row>
    <row r="8" spans="1:255">
      <c r="A8" s="556"/>
      <c r="B8" s="555"/>
      <c r="C8" s="555"/>
      <c r="D8" s="555"/>
      <c r="E8" s="555"/>
      <c r="F8" s="555"/>
      <c r="G8" s="555"/>
      <c r="H8" s="555"/>
      <c r="I8" s="555"/>
      <c r="J8" s="555"/>
      <c r="K8" s="555"/>
      <c r="L8" s="555"/>
      <c r="M8" s="555"/>
      <c r="N8" s="555"/>
      <c r="O8" s="555"/>
      <c r="P8" s="555"/>
      <c r="Q8" s="555"/>
      <c r="R8" s="555"/>
      <c r="S8" s="555"/>
      <c r="T8" s="555"/>
      <c r="U8" s="555"/>
      <c r="V8" s="555"/>
      <c r="W8" s="543"/>
      <c r="X8" s="543"/>
      <c r="Y8" s="543"/>
      <c r="Z8" s="543"/>
      <c r="AA8" s="543"/>
      <c r="AB8" s="543"/>
      <c r="AC8" s="543"/>
      <c r="AD8" s="543"/>
      <c r="AE8" s="543"/>
      <c r="AF8" s="543"/>
      <c r="AG8" s="543"/>
      <c r="AH8" s="543"/>
      <c r="AI8" s="543"/>
      <c r="AJ8" s="543"/>
      <c r="AK8" s="543"/>
      <c r="AL8" s="543"/>
      <c r="AM8" s="543"/>
      <c r="AN8" s="543"/>
      <c r="AO8" s="543"/>
      <c r="AP8" s="543"/>
      <c r="AQ8" s="543"/>
      <c r="AR8" s="543"/>
      <c r="AS8" s="543"/>
      <c r="AT8" s="543"/>
      <c r="AU8" s="543"/>
      <c r="AV8" s="543"/>
      <c r="AW8" s="543"/>
      <c r="AX8" s="543"/>
      <c r="AY8" s="543"/>
      <c r="AZ8" s="543"/>
      <c r="BA8" s="543"/>
      <c r="BB8" s="543"/>
      <c r="BC8" s="543"/>
      <c r="BD8" s="543"/>
      <c r="BE8" s="543"/>
      <c r="BF8" s="543"/>
      <c r="BG8" s="543"/>
      <c r="BH8" s="543"/>
      <c r="BI8" s="543"/>
      <c r="BJ8" s="543"/>
      <c r="BK8" s="543"/>
      <c r="BL8" s="543"/>
      <c r="BM8" s="543"/>
      <c r="BN8" s="543"/>
      <c r="BO8" s="543"/>
      <c r="BP8" s="543"/>
      <c r="BQ8" s="543"/>
      <c r="BR8" s="543"/>
      <c r="BS8" s="543"/>
      <c r="BT8" s="543"/>
      <c r="BU8" s="543"/>
      <c r="BV8" s="543"/>
      <c r="BW8" s="543"/>
      <c r="BX8" s="543"/>
      <c r="BY8" s="543"/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/>
      <c r="DR8" s="543"/>
      <c r="DS8" s="543"/>
      <c r="DT8" s="543"/>
      <c r="DU8" s="543"/>
      <c r="DV8" s="543"/>
      <c r="DW8" s="543"/>
      <c r="DX8" s="543"/>
      <c r="DY8" s="543"/>
      <c r="DZ8" s="543"/>
      <c r="EA8" s="543"/>
      <c r="EB8" s="543"/>
      <c r="EC8" s="543"/>
      <c r="ED8" s="543"/>
      <c r="EE8" s="543"/>
      <c r="EF8" s="543"/>
      <c r="EG8" s="543"/>
      <c r="EH8" s="543"/>
      <c r="EI8" s="543"/>
      <c r="EJ8" s="543"/>
      <c r="EK8" s="543"/>
      <c r="EL8" s="543"/>
      <c r="EM8" s="543"/>
      <c r="EN8" s="543"/>
      <c r="EO8" s="543"/>
      <c r="EP8" s="543"/>
      <c r="EQ8" s="543"/>
      <c r="ER8" s="543"/>
      <c r="ES8" s="543"/>
      <c r="ET8" s="543"/>
      <c r="EU8" s="543"/>
      <c r="EV8" s="543"/>
      <c r="EW8" s="543"/>
      <c r="EX8" s="543"/>
      <c r="EY8" s="543"/>
      <c r="EZ8" s="543"/>
      <c r="FA8" s="543"/>
      <c r="FB8" s="543"/>
      <c r="FC8" s="543"/>
      <c r="FD8" s="543"/>
      <c r="FE8" s="543"/>
      <c r="FF8" s="543"/>
      <c r="FG8" s="543"/>
      <c r="FH8" s="543"/>
      <c r="FI8" s="543"/>
      <c r="FJ8" s="543"/>
      <c r="FK8" s="543"/>
      <c r="FL8" s="543"/>
      <c r="FM8" s="543"/>
      <c r="FN8" s="543"/>
      <c r="FO8" s="543"/>
      <c r="FP8" s="543"/>
      <c r="FQ8" s="543"/>
      <c r="FR8" s="543"/>
      <c r="FS8" s="543"/>
      <c r="FT8" s="543"/>
      <c r="FU8" s="543"/>
      <c r="FV8" s="543"/>
      <c r="FW8" s="543"/>
      <c r="FX8" s="543"/>
      <c r="FY8" s="543"/>
      <c r="FZ8" s="543"/>
      <c r="GA8" s="543"/>
      <c r="GB8" s="543"/>
      <c r="GC8" s="543"/>
      <c r="GD8" s="543"/>
      <c r="GE8" s="543"/>
      <c r="GF8" s="543"/>
      <c r="GG8" s="543"/>
      <c r="GH8" s="543"/>
      <c r="GI8" s="543"/>
      <c r="GJ8" s="543"/>
      <c r="GK8" s="543"/>
      <c r="GL8" s="543"/>
      <c r="GM8" s="543"/>
      <c r="GN8" s="543"/>
      <c r="GO8" s="543"/>
      <c r="GP8" s="543"/>
      <c r="GQ8" s="543"/>
      <c r="GR8" s="543"/>
      <c r="GS8" s="543"/>
      <c r="GT8" s="543"/>
      <c r="GU8" s="543"/>
      <c r="GV8" s="543"/>
      <c r="GW8" s="543"/>
      <c r="GX8" s="543"/>
      <c r="GY8" s="543"/>
      <c r="GZ8" s="543"/>
      <c r="HA8" s="543"/>
      <c r="HB8" s="543"/>
      <c r="HC8" s="543"/>
      <c r="HD8" s="543"/>
      <c r="HE8" s="543"/>
      <c r="HF8" s="543"/>
      <c r="HG8" s="543"/>
      <c r="HH8" s="543"/>
      <c r="HI8" s="543"/>
      <c r="HJ8" s="543"/>
      <c r="HK8" s="543"/>
      <c r="HL8" s="543"/>
      <c r="HM8" s="543"/>
      <c r="HN8" s="543"/>
      <c r="HO8" s="543"/>
      <c r="HP8" s="543"/>
      <c r="HQ8" s="543"/>
      <c r="HR8" s="543"/>
      <c r="HS8" s="543"/>
      <c r="HT8" s="543"/>
      <c r="HU8" s="543"/>
      <c r="HV8" s="543"/>
      <c r="HW8" s="543"/>
      <c r="HX8" s="543"/>
      <c r="HY8" s="543"/>
      <c r="HZ8" s="543"/>
      <c r="IA8" s="543"/>
      <c r="IB8" s="543"/>
      <c r="IC8" s="543"/>
      <c r="ID8" s="543"/>
      <c r="IE8" s="543"/>
      <c r="IF8" s="543"/>
      <c r="IG8" s="543"/>
      <c r="IH8" s="543"/>
      <c r="II8" s="543"/>
      <c r="IJ8" s="543"/>
      <c r="IK8" s="543"/>
      <c r="IL8" s="543"/>
      <c r="IM8" s="543"/>
      <c r="IN8" s="543"/>
      <c r="IO8" s="543"/>
      <c r="IP8" s="543"/>
      <c r="IQ8" s="543"/>
      <c r="IR8" s="543"/>
      <c r="IS8" s="543"/>
      <c r="IT8" s="543"/>
      <c r="IU8" s="543"/>
    </row>
    <row r="9" spans="1:255">
      <c r="A9" s="555" t="s">
        <v>375</v>
      </c>
      <c r="B9" s="555"/>
      <c r="C9" s="557">
        <f ca="1">'Co IS'!C29</f>
        <v>10073.583711789115</v>
      </c>
      <c r="D9" s="557">
        <f ca="1">'Co IS'!D29</f>
        <v>20814.142843159461</v>
      </c>
      <c r="E9" s="557">
        <f ca="1">'Co IS'!E29</f>
        <v>19904.869110230549</v>
      </c>
      <c r="F9" s="557">
        <f ca="1">'Co IS'!F29</f>
        <v>21394.369197227668</v>
      </c>
      <c r="G9" s="557">
        <f ca="1">'Co IS'!G29</f>
        <v>22179.114634017293</v>
      </c>
      <c r="H9" s="557">
        <f ca="1">'Co IS'!H29</f>
        <v>14021.735633022514</v>
      </c>
      <c r="I9" s="557">
        <f ca="1">'Co IS'!I29</f>
        <v>21116.179808077737</v>
      </c>
      <c r="J9" s="557">
        <f ca="1">'Co IS'!J29</f>
        <v>29307.555035005367</v>
      </c>
      <c r="K9" s="557">
        <f ca="1">'Co IS'!K29</f>
        <v>30474.580625956827</v>
      </c>
      <c r="L9" s="557">
        <f ca="1">'Co IS'!L29</f>
        <v>29049.477982589182</v>
      </c>
      <c r="M9" s="557">
        <f ca="1">'Co IS'!M29</f>
        <v>30435.04611861565</v>
      </c>
      <c r="N9" s="557">
        <f ca="1">'Co IS'!N29</f>
        <v>29350.677575846283</v>
      </c>
      <c r="O9" s="557">
        <f ca="1">'Co IS'!O29</f>
        <v>28862.723684893579</v>
      </c>
      <c r="P9" s="557">
        <f ca="1">'Co IS'!P29</f>
        <v>26422.651951447529</v>
      </c>
      <c r="Q9" s="557">
        <f ca="1">'Co IS'!Q29</f>
        <v>32469.596404357275</v>
      </c>
      <c r="R9" s="557">
        <f ca="1">'Co IS'!R29</f>
        <v>38701.262251351873</v>
      </c>
      <c r="S9" s="557">
        <f ca="1">'Co IS'!S29</f>
        <v>44636.340954694824</v>
      </c>
      <c r="T9" s="557">
        <f ca="1">'Co IS'!T29</f>
        <v>45237.196805177358</v>
      </c>
      <c r="U9" s="557">
        <f ca="1">'Co IS'!U29</f>
        <v>47263.719144122901</v>
      </c>
      <c r="V9" s="557">
        <f ca="1">'Co IS'!V29</f>
        <v>39091.213348702535</v>
      </c>
      <c r="W9" s="543"/>
      <c r="X9" s="543"/>
      <c r="Y9" s="543"/>
      <c r="Z9" s="543"/>
      <c r="AA9" s="543"/>
      <c r="AB9" s="543"/>
      <c r="AC9" s="543"/>
      <c r="AD9" s="543"/>
      <c r="AE9" s="543"/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3"/>
      <c r="AR9" s="543"/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3"/>
      <c r="BG9" s="543"/>
      <c r="BH9" s="543"/>
      <c r="BI9" s="543"/>
      <c r="BJ9" s="543"/>
      <c r="BK9" s="543"/>
      <c r="BL9" s="543"/>
      <c r="BM9" s="543"/>
      <c r="BN9" s="543"/>
      <c r="BO9" s="543"/>
      <c r="BP9" s="543"/>
      <c r="BQ9" s="543"/>
      <c r="BR9" s="543"/>
      <c r="BS9" s="543"/>
      <c r="BT9" s="543"/>
      <c r="BU9" s="543"/>
      <c r="BV9" s="543"/>
      <c r="BW9" s="543"/>
      <c r="BX9" s="543"/>
      <c r="BY9" s="543"/>
      <c r="BZ9" s="543"/>
      <c r="CA9" s="543"/>
      <c r="CB9" s="543"/>
      <c r="CC9" s="543"/>
      <c r="CD9" s="543"/>
      <c r="CE9" s="543"/>
      <c r="CF9" s="543"/>
      <c r="CG9" s="543"/>
      <c r="CH9" s="543"/>
      <c r="CI9" s="543"/>
      <c r="CJ9" s="543"/>
      <c r="CK9" s="543"/>
      <c r="CL9" s="543"/>
      <c r="CM9" s="543"/>
      <c r="CN9" s="543"/>
      <c r="CO9" s="543"/>
      <c r="CP9" s="543"/>
      <c r="CQ9" s="543"/>
      <c r="CR9" s="543"/>
      <c r="CS9" s="543"/>
      <c r="CT9" s="543"/>
      <c r="CU9" s="543"/>
      <c r="CV9" s="543"/>
      <c r="CW9" s="543"/>
      <c r="CX9" s="543"/>
      <c r="CY9" s="543"/>
      <c r="CZ9" s="543"/>
      <c r="DA9" s="543"/>
      <c r="DB9" s="543"/>
      <c r="DC9" s="543"/>
      <c r="DD9" s="543"/>
      <c r="DE9" s="543"/>
      <c r="DF9" s="543"/>
      <c r="DG9" s="543"/>
      <c r="DH9" s="543"/>
      <c r="DI9" s="543"/>
      <c r="DJ9" s="543"/>
      <c r="DK9" s="543"/>
      <c r="DL9" s="543"/>
      <c r="DM9" s="543"/>
      <c r="DN9" s="543"/>
      <c r="DO9" s="543"/>
      <c r="DP9" s="543"/>
      <c r="DQ9" s="543"/>
      <c r="DR9" s="543"/>
      <c r="DS9" s="543"/>
      <c r="DT9" s="543"/>
      <c r="DU9" s="543"/>
      <c r="DV9" s="543"/>
      <c r="DW9" s="543"/>
      <c r="DX9" s="543"/>
      <c r="DY9" s="543"/>
      <c r="DZ9" s="543"/>
      <c r="EA9" s="543"/>
      <c r="EB9" s="543"/>
      <c r="EC9" s="543"/>
      <c r="ED9" s="543"/>
      <c r="EE9" s="543"/>
      <c r="EF9" s="543"/>
      <c r="EG9" s="543"/>
      <c r="EH9" s="543"/>
      <c r="EI9" s="543"/>
      <c r="EJ9" s="543"/>
      <c r="EK9" s="543"/>
      <c r="EL9" s="543"/>
      <c r="EM9" s="543"/>
      <c r="EN9" s="543"/>
      <c r="EO9" s="543"/>
      <c r="EP9" s="543"/>
      <c r="EQ9" s="543"/>
      <c r="ER9" s="543"/>
      <c r="ES9" s="543"/>
      <c r="ET9" s="543"/>
      <c r="EU9" s="543"/>
      <c r="EV9" s="543"/>
      <c r="EW9" s="543"/>
      <c r="EX9" s="543"/>
      <c r="EY9" s="543"/>
      <c r="EZ9" s="543"/>
      <c r="FA9" s="543"/>
      <c r="FB9" s="543"/>
      <c r="FC9" s="543"/>
      <c r="FD9" s="543"/>
      <c r="FE9" s="543"/>
      <c r="FF9" s="543"/>
      <c r="FG9" s="543"/>
      <c r="FH9" s="543"/>
      <c r="FI9" s="543"/>
      <c r="FJ9" s="543"/>
      <c r="FK9" s="543"/>
      <c r="FL9" s="543"/>
      <c r="FM9" s="543"/>
      <c r="FN9" s="543"/>
      <c r="FO9" s="543"/>
      <c r="FP9" s="543"/>
      <c r="FQ9" s="543"/>
      <c r="FR9" s="543"/>
      <c r="FS9" s="543"/>
      <c r="FT9" s="543"/>
      <c r="FU9" s="543"/>
      <c r="FV9" s="543"/>
      <c r="FW9" s="543"/>
      <c r="FX9" s="543"/>
      <c r="FY9" s="543"/>
      <c r="FZ9" s="543"/>
      <c r="GA9" s="543"/>
      <c r="GB9" s="543"/>
      <c r="GC9" s="543"/>
      <c r="GD9" s="543"/>
      <c r="GE9" s="543"/>
      <c r="GF9" s="543"/>
      <c r="GG9" s="543"/>
      <c r="GH9" s="543"/>
      <c r="GI9" s="543"/>
      <c r="GJ9" s="543"/>
      <c r="GK9" s="543"/>
      <c r="GL9" s="543"/>
      <c r="GM9" s="543"/>
      <c r="GN9" s="543"/>
      <c r="GO9" s="543"/>
      <c r="GP9" s="543"/>
      <c r="GQ9" s="543"/>
      <c r="GR9" s="543"/>
      <c r="GS9" s="543"/>
      <c r="GT9" s="543"/>
      <c r="GU9" s="543"/>
      <c r="GV9" s="543"/>
      <c r="GW9" s="543"/>
      <c r="GX9" s="543"/>
      <c r="GY9" s="543"/>
      <c r="GZ9" s="543"/>
      <c r="HA9" s="543"/>
      <c r="HB9" s="543"/>
      <c r="HC9" s="543"/>
      <c r="HD9" s="543"/>
      <c r="HE9" s="543"/>
      <c r="HF9" s="543"/>
      <c r="HG9" s="543"/>
      <c r="HH9" s="543"/>
      <c r="HI9" s="543"/>
      <c r="HJ9" s="543"/>
      <c r="HK9" s="543"/>
      <c r="HL9" s="543"/>
      <c r="HM9" s="543"/>
      <c r="HN9" s="543"/>
      <c r="HO9" s="543"/>
      <c r="HP9" s="543"/>
      <c r="HQ9" s="543"/>
      <c r="HR9" s="543"/>
      <c r="HS9" s="543"/>
      <c r="HT9" s="543"/>
      <c r="HU9" s="543"/>
      <c r="HV9" s="543"/>
      <c r="HW9" s="543"/>
      <c r="HX9" s="543"/>
      <c r="HY9" s="543"/>
      <c r="HZ9" s="543"/>
      <c r="IA9" s="543"/>
      <c r="IB9" s="543"/>
      <c r="IC9" s="543"/>
      <c r="ID9" s="543"/>
      <c r="IE9" s="543"/>
      <c r="IF9" s="543"/>
      <c r="IG9" s="543"/>
      <c r="IH9" s="543"/>
      <c r="II9" s="543"/>
      <c r="IJ9" s="543"/>
      <c r="IK9" s="543"/>
      <c r="IL9" s="543"/>
      <c r="IM9" s="543"/>
      <c r="IN9" s="543"/>
      <c r="IO9" s="543"/>
      <c r="IP9" s="543"/>
      <c r="IQ9" s="543"/>
      <c r="IR9" s="543"/>
      <c r="IS9" s="543"/>
      <c r="IT9" s="543"/>
      <c r="IU9" s="543"/>
    </row>
    <row r="10" spans="1:255">
      <c r="A10" s="555"/>
      <c r="B10" s="555"/>
      <c r="C10" s="555"/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5"/>
      <c r="O10" s="555"/>
      <c r="P10" s="555"/>
      <c r="Q10" s="555"/>
      <c r="R10" s="555"/>
      <c r="S10" s="555"/>
      <c r="T10" s="555"/>
      <c r="U10" s="555"/>
      <c r="V10" s="555"/>
      <c r="W10" s="543"/>
      <c r="X10" s="543"/>
      <c r="Y10" s="543"/>
      <c r="Z10" s="543"/>
      <c r="AA10" s="543"/>
      <c r="AB10" s="543"/>
      <c r="AC10" s="543"/>
      <c r="AD10" s="543"/>
      <c r="AE10" s="543"/>
      <c r="AF10" s="543"/>
      <c r="AG10" s="543"/>
      <c r="AH10" s="543"/>
      <c r="AI10" s="543"/>
      <c r="AJ10" s="543"/>
      <c r="AK10" s="543"/>
      <c r="AL10" s="543"/>
      <c r="AM10" s="543"/>
      <c r="AN10" s="543"/>
      <c r="AO10" s="543"/>
      <c r="AP10" s="543"/>
      <c r="AQ10" s="543"/>
      <c r="AR10" s="543"/>
      <c r="AS10" s="543"/>
      <c r="AT10" s="543"/>
      <c r="AU10" s="543"/>
      <c r="AV10" s="543"/>
      <c r="AW10" s="543"/>
      <c r="AX10" s="543"/>
      <c r="AY10" s="543"/>
      <c r="AZ10" s="543"/>
      <c r="BA10" s="543"/>
      <c r="BB10" s="543"/>
      <c r="BC10" s="543"/>
      <c r="BD10" s="543"/>
      <c r="BE10" s="543"/>
      <c r="BF10" s="543"/>
      <c r="BG10" s="543"/>
      <c r="BH10" s="543"/>
      <c r="BI10" s="543"/>
      <c r="BJ10" s="543"/>
      <c r="BK10" s="543"/>
      <c r="BL10" s="543"/>
      <c r="BM10" s="543"/>
      <c r="BN10" s="543"/>
      <c r="BO10" s="543"/>
      <c r="BP10" s="543"/>
      <c r="BQ10" s="543"/>
      <c r="BR10" s="543"/>
      <c r="BS10" s="543"/>
      <c r="BT10" s="543"/>
      <c r="BU10" s="543"/>
      <c r="BV10" s="543"/>
      <c r="BW10" s="543"/>
      <c r="BX10" s="543"/>
      <c r="BY10" s="543"/>
      <c r="BZ10" s="543"/>
      <c r="CA10" s="543"/>
      <c r="CB10" s="543"/>
      <c r="CC10" s="543"/>
      <c r="CD10" s="543"/>
      <c r="CE10" s="543"/>
      <c r="CF10" s="543"/>
      <c r="CG10" s="543"/>
      <c r="CH10" s="543"/>
      <c r="CI10" s="543"/>
      <c r="CJ10" s="543"/>
      <c r="CK10" s="543"/>
      <c r="CL10" s="543"/>
      <c r="CM10" s="543"/>
      <c r="CN10" s="543"/>
      <c r="CO10" s="543"/>
      <c r="CP10" s="543"/>
      <c r="CQ10" s="543"/>
      <c r="CR10" s="543"/>
      <c r="CS10" s="543"/>
      <c r="CT10" s="543"/>
      <c r="CU10" s="543"/>
      <c r="CV10" s="543"/>
      <c r="CW10" s="543"/>
      <c r="CX10" s="543"/>
      <c r="CY10" s="543"/>
      <c r="CZ10" s="543"/>
      <c r="DA10" s="543"/>
      <c r="DB10" s="543"/>
      <c r="DC10" s="543"/>
      <c r="DD10" s="543"/>
      <c r="DE10" s="543"/>
      <c r="DF10" s="543"/>
      <c r="DG10" s="543"/>
      <c r="DH10" s="543"/>
      <c r="DI10" s="543"/>
      <c r="DJ10" s="543"/>
      <c r="DK10" s="543"/>
      <c r="DL10" s="543"/>
      <c r="DM10" s="543"/>
      <c r="DN10" s="543"/>
      <c r="DO10" s="543"/>
      <c r="DP10" s="543"/>
      <c r="DQ10" s="543"/>
      <c r="DR10" s="543"/>
      <c r="DS10" s="543"/>
      <c r="DT10" s="543"/>
      <c r="DU10" s="543"/>
      <c r="DV10" s="543"/>
      <c r="DW10" s="543"/>
      <c r="DX10" s="543"/>
      <c r="DY10" s="543"/>
      <c r="DZ10" s="543"/>
      <c r="EA10" s="543"/>
      <c r="EB10" s="543"/>
      <c r="EC10" s="543"/>
      <c r="ED10" s="543"/>
      <c r="EE10" s="543"/>
      <c r="EF10" s="543"/>
      <c r="EG10" s="543"/>
      <c r="EH10" s="543"/>
      <c r="EI10" s="543"/>
      <c r="EJ10" s="543"/>
      <c r="EK10" s="543"/>
      <c r="EL10" s="543"/>
      <c r="EM10" s="543"/>
      <c r="EN10" s="543"/>
      <c r="EO10" s="543"/>
      <c r="EP10" s="543"/>
      <c r="EQ10" s="543"/>
      <c r="ER10" s="543"/>
      <c r="ES10" s="543"/>
      <c r="ET10" s="543"/>
      <c r="EU10" s="543"/>
      <c r="EV10" s="543"/>
      <c r="EW10" s="543"/>
      <c r="EX10" s="543"/>
      <c r="EY10" s="543"/>
      <c r="EZ10" s="543"/>
      <c r="FA10" s="543"/>
      <c r="FB10" s="543"/>
      <c r="FC10" s="543"/>
      <c r="FD10" s="543"/>
      <c r="FE10" s="543"/>
      <c r="FF10" s="543"/>
      <c r="FG10" s="543"/>
      <c r="FH10" s="543"/>
      <c r="FI10" s="543"/>
      <c r="FJ10" s="543"/>
      <c r="FK10" s="543"/>
      <c r="FL10" s="543"/>
      <c r="FM10" s="543"/>
      <c r="FN10" s="543"/>
      <c r="FO10" s="543"/>
      <c r="FP10" s="543"/>
      <c r="FQ10" s="543"/>
      <c r="FR10" s="543"/>
      <c r="FS10" s="543"/>
      <c r="FT10" s="543"/>
      <c r="FU10" s="543"/>
      <c r="FV10" s="543"/>
      <c r="FW10" s="543"/>
      <c r="FX10" s="543"/>
      <c r="FY10" s="543"/>
      <c r="FZ10" s="543"/>
      <c r="GA10" s="543"/>
      <c r="GB10" s="543"/>
      <c r="GC10" s="543"/>
      <c r="GD10" s="543"/>
      <c r="GE10" s="543"/>
      <c r="GF10" s="543"/>
      <c r="GG10" s="543"/>
      <c r="GH10" s="543"/>
      <c r="GI10" s="543"/>
      <c r="GJ10" s="543"/>
      <c r="GK10" s="543"/>
      <c r="GL10" s="543"/>
      <c r="GM10" s="543"/>
      <c r="GN10" s="543"/>
      <c r="GO10" s="543"/>
      <c r="GP10" s="543"/>
      <c r="GQ10" s="543"/>
      <c r="GR10" s="543"/>
      <c r="GS10" s="543"/>
      <c r="GT10" s="543"/>
      <c r="GU10" s="543"/>
      <c r="GV10" s="543"/>
      <c r="GW10" s="543"/>
      <c r="GX10" s="543"/>
      <c r="GY10" s="543"/>
      <c r="GZ10" s="543"/>
      <c r="HA10" s="543"/>
      <c r="HB10" s="543"/>
      <c r="HC10" s="543"/>
      <c r="HD10" s="543"/>
      <c r="HE10" s="543"/>
      <c r="HF10" s="543"/>
      <c r="HG10" s="543"/>
      <c r="HH10" s="543"/>
      <c r="HI10" s="543"/>
      <c r="HJ10" s="543"/>
      <c r="HK10" s="543"/>
      <c r="HL10" s="543"/>
      <c r="HM10" s="543"/>
      <c r="HN10" s="543"/>
      <c r="HO10" s="543"/>
      <c r="HP10" s="543"/>
      <c r="HQ10" s="543"/>
      <c r="HR10" s="543"/>
      <c r="HS10" s="543"/>
      <c r="HT10" s="543"/>
      <c r="HU10" s="543"/>
      <c r="HV10" s="543"/>
      <c r="HW10" s="543"/>
      <c r="HX10" s="543"/>
      <c r="HY10" s="543"/>
      <c r="HZ10" s="543"/>
      <c r="IA10" s="543"/>
      <c r="IB10" s="543"/>
      <c r="IC10" s="543"/>
      <c r="ID10" s="543"/>
      <c r="IE10" s="543"/>
      <c r="IF10" s="543"/>
      <c r="IG10" s="543"/>
      <c r="IH10" s="543"/>
      <c r="II10" s="543"/>
      <c r="IJ10" s="543"/>
      <c r="IK10" s="543"/>
      <c r="IL10" s="543"/>
      <c r="IM10" s="543"/>
      <c r="IN10" s="543"/>
      <c r="IO10" s="543"/>
      <c r="IP10" s="543"/>
      <c r="IQ10" s="543"/>
      <c r="IR10" s="543"/>
      <c r="IS10" s="543"/>
      <c r="IT10" s="543"/>
      <c r="IU10" s="543"/>
    </row>
    <row r="11" spans="1:255">
      <c r="A11" s="555" t="s">
        <v>376</v>
      </c>
      <c r="B11" s="555"/>
      <c r="C11" s="557">
        <f ca="1">'TAXDEPR 144A'!F67</f>
        <v>9828.2572408846736</v>
      </c>
      <c r="D11" s="557">
        <f ca="1">'TAXDEPR 144A'!G67</f>
        <v>16650.241765010054</v>
      </c>
      <c r="E11" s="557">
        <f ca="1">'TAXDEPR 144A'!H67</f>
        <v>15210.045032139142</v>
      </c>
      <c r="F11" s="557">
        <f ca="1">'TAXDEPR 144A'!I67</f>
        <v>13921.447955359901</v>
      </c>
      <c r="G11" s="557">
        <f ca="1">'TAXDEPR 144A'!J67</f>
        <v>12754.130603454003</v>
      </c>
      <c r="H11" s="557">
        <f ca="1">'TAXDEPR 144A'!K67</f>
        <v>9444.6585745113662</v>
      </c>
      <c r="I11" s="557">
        <f ca="1">'TAXDEPR 144A'!L67</f>
        <v>8944.3797094088332</v>
      </c>
      <c r="J11" s="557">
        <f ca="1">'TAXDEPR 144A'!M67</f>
        <v>8944.3797094088332</v>
      </c>
      <c r="K11" s="557">
        <f ca="1">'TAXDEPR 144A'!N67</f>
        <v>8959.5396750180007</v>
      </c>
      <c r="L11" s="557">
        <f ca="1">'TAXDEPR 144A'!O67</f>
        <v>8944.3797094088332</v>
      </c>
      <c r="M11" s="557">
        <f ca="1">'TAXDEPR 144A'!P67</f>
        <v>8959.5396750180007</v>
      </c>
      <c r="N11" s="557">
        <f ca="1">'TAXDEPR 144A'!Q67</f>
        <v>8944.3797094088332</v>
      </c>
      <c r="O11" s="557">
        <f ca="1">'TAXDEPR 144A'!R67</f>
        <v>8959.5396750180007</v>
      </c>
      <c r="P11" s="557">
        <f ca="1">'TAXDEPR 144A'!S67</f>
        <v>8944.3797094088332</v>
      </c>
      <c r="Q11" s="557">
        <f ca="1">'TAXDEPR 144A'!T67</f>
        <v>8959.5396750180007</v>
      </c>
      <c r="R11" s="557">
        <f ca="1">'TAXDEPR 144A'!U67</f>
        <v>4472.1898547044166</v>
      </c>
      <c r="S11" s="557">
        <f ca="1">'TAXDEPR 144A'!V67</f>
        <v>0</v>
      </c>
      <c r="T11" s="557">
        <f ca="1">'TAXDEPR 144A'!W67</f>
        <v>0</v>
      </c>
      <c r="U11" s="557">
        <f ca="1">'TAXDEPR 144A'!X67</f>
        <v>0</v>
      </c>
      <c r="V11" s="557">
        <f ca="1">'TAXDEPR 144A'!Y67</f>
        <v>0</v>
      </c>
      <c r="W11" s="543"/>
      <c r="X11" s="543"/>
      <c r="Y11" s="543"/>
      <c r="Z11" s="543"/>
      <c r="AA11" s="543"/>
      <c r="AB11" s="543"/>
      <c r="AC11" s="543"/>
      <c r="AD11" s="543"/>
      <c r="AE11" s="543"/>
      <c r="AF11" s="543"/>
      <c r="AG11" s="543"/>
      <c r="AH11" s="543"/>
      <c r="AI11" s="543"/>
      <c r="AJ11" s="543"/>
      <c r="AK11" s="543"/>
      <c r="AL11" s="543"/>
      <c r="AM11" s="543"/>
      <c r="AN11" s="543"/>
      <c r="AO11" s="543"/>
      <c r="AP11" s="543"/>
      <c r="AQ11" s="543"/>
      <c r="AR11" s="543"/>
      <c r="AS11" s="543"/>
      <c r="AT11" s="543"/>
      <c r="AU11" s="543"/>
      <c r="AV11" s="543"/>
      <c r="AW11" s="543"/>
      <c r="AX11" s="543"/>
      <c r="AY11" s="543"/>
      <c r="AZ11" s="543"/>
      <c r="BA11" s="543"/>
      <c r="BB11" s="543"/>
      <c r="BC11" s="543"/>
      <c r="BD11" s="543"/>
      <c r="BE11" s="543"/>
      <c r="BF11" s="543"/>
      <c r="BG11" s="543"/>
      <c r="BH11" s="543"/>
      <c r="BI11" s="543"/>
      <c r="BJ11" s="543"/>
      <c r="BK11" s="543"/>
      <c r="BL11" s="543"/>
      <c r="BM11" s="543"/>
      <c r="BN11" s="543"/>
      <c r="BO11" s="543"/>
      <c r="BP11" s="543"/>
      <c r="BQ11" s="543"/>
      <c r="BR11" s="543"/>
      <c r="BS11" s="543"/>
      <c r="BT11" s="543"/>
      <c r="BU11" s="543"/>
      <c r="BV11" s="543"/>
      <c r="BW11" s="543"/>
      <c r="BX11" s="543"/>
      <c r="BY11" s="543"/>
      <c r="BZ11" s="543"/>
      <c r="CA11" s="543"/>
      <c r="CB11" s="543"/>
      <c r="CC11" s="543"/>
      <c r="CD11" s="543"/>
      <c r="CE11" s="543"/>
      <c r="CF11" s="543"/>
      <c r="CG11" s="543"/>
      <c r="CH11" s="543"/>
      <c r="CI11" s="543"/>
      <c r="CJ11" s="543"/>
      <c r="CK11" s="543"/>
      <c r="CL11" s="543"/>
      <c r="CM11" s="543"/>
      <c r="CN11" s="543"/>
      <c r="CO11" s="543"/>
      <c r="CP11" s="543"/>
      <c r="CQ11" s="543"/>
      <c r="CR11" s="543"/>
      <c r="CS11" s="543"/>
      <c r="CT11" s="543"/>
      <c r="CU11" s="543"/>
      <c r="CV11" s="543"/>
      <c r="CW11" s="543"/>
      <c r="CX11" s="543"/>
      <c r="CY11" s="543"/>
      <c r="CZ11" s="543"/>
      <c r="DA11" s="543"/>
      <c r="DB11" s="543"/>
      <c r="DC11" s="543"/>
      <c r="DD11" s="543"/>
      <c r="DE11" s="543"/>
      <c r="DF11" s="543"/>
      <c r="DG11" s="543"/>
      <c r="DH11" s="543"/>
      <c r="DI11" s="543"/>
      <c r="DJ11" s="543"/>
      <c r="DK11" s="543"/>
      <c r="DL11" s="543"/>
      <c r="DM11" s="543"/>
      <c r="DN11" s="543"/>
      <c r="DO11" s="543"/>
      <c r="DP11" s="543"/>
      <c r="DQ11" s="543"/>
      <c r="DR11" s="543"/>
      <c r="DS11" s="543"/>
      <c r="DT11" s="543"/>
      <c r="DU11" s="543"/>
      <c r="DV11" s="543"/>
      <c r="DW11" s="543"/>
      <c r="DX11" s="543"/>
      <c r="DY11" s="543"/>
      <c r="DZ11" s="543"/>
      <c r="EA11" s="543"/>
      <c r="EB11" s="543"/>
      <c r="EC11" s="543"/>
      <c r="ED11" s="543"/>
      <c r="EE11" s="543"/>
      <c r="EF11" s="543"/>
      <c r="EG11" s="543"/>
      <c r="EH11" s="543"/>
      <c r="EI11" s="543"/>
      <c r="EJ11" s="543"/>
      <c r="EK11" s="543"/>
      <c r="EL11" s="543"/>
      <c r="EM11" s="543"/>
      <c r="EN11" s="543"/>
      <c r="EO11" s="543"/>
      <c r="EP11" s="543"/>
      <c r="EQ11" s="543"/>
      <c r="ER11" s="543"/>
      <c r="ES11" s="543"/>
      <c r="ET11" s="543"/>
      <c r="EU11" s="543"/>
      <c r="EV11" s="543"/>
      <c r="EW11" s="543"/>
      <c r="EX11" s="543"/>
      <c r="EY11" s="543"/>
      <c r="EZ11" s="543"/>
      <c r="FA11" s="543"/>
      <c r="FB11" s="543"/>
      <c r="FC11" s="543"/>
      <c r="FD11" s="543"/>
      <c r="FE11" s="543"/>
      <c r="FF11" s="543"/>
      <c r="FG11" s="543"/>
      <c r="FH11" s="543"/>
      <c r="FI11" s="543"/>
      <c r="FJ11" s="543"/>
      <c r="FK11" s="543"/>
      <c r="FL11" s="543"/>
      <c r="FM11" s="543"/>
      <c r="FN11" s="543"/>
      <c r="FO11" s="543"/>
      <c r="FP11" s="543"/>
      <c r="FQ11" s="543"/>
      <c r="FR11" s="543"/>
      <c r="FS11" s="543"/>
      <c r="FT11" s="543"/>
      <c r="FU11" s="543"/>
      <c r="FV11" s="543"/>
      <c r="FW11" s="543"/>
      <c r="FX11" s="543"/>
      <c r="FY11" s="543"/>
      <c r="FZ11" s="543"/>
      <c r="GA11" s="543"/>
      <c r="GB11" s="543"/>
      <c r="GC11" s="543"/>
      <c r="GD11" s="543"/>
      <c r="GE11" s="543"/>
      <c r="GF11" s="543"/>
      <c r="GG11" s="543"/>
      <c r="GH11" s="543"/>
      <c r="GI11" s="543"/>
      <c r="GJ11" s="543"/>
      <c r="GK11" s="543"/>
      <c r="GL11" s="543"/>
      <c r="GM11" s="543"/>
      <c r="GN11" s="543"/>
      <c r="GO11" s="543"/>
      <c r="GP11" s="543"/>
      <c r="GQ11" s="543"/>
      <c r="GR11" s="543"/>
      <c r="GS11" s="543"/>
      <c r="GT11" s="543"/>
      <c r="GU11" s="543"/>
      <c r="GV11" s="543"/>
      <c r="GW11" s="543"/>
      <c r="GX11" s="543"/>
      <c r="GY11" s="543"/>
      <c r="GZ11" s="543"/>
      <c r="HA11" s="543"/>
      <c r="HB11" s="543"/>
      <c r="HC11" s="543"/>
      <c r="HD11" s="543"/>
      <c r="HE11" s="543"/>
      <c r="HF11" s="543"/>
      <c r="HG11" s="543"/>
      <c r="HH11" s="543"/>
      <c r="HI11" s="543"/>
      <c r="HJ11" s="543"/>
      <c r="HK11" s="543"/>
      <c r="HL11" s="543"/>
      <c r="HM11" s="543"/>
      <c r="HN11" s="543"/>
      <c r="HO11" s="543"/>
      <c r="HP11" s="543"/>
      <c r="HQ11" s="543"/>
      <c r="HR11" s="543"/>
      <c r="HS11" s="543"/>
      <c r="HT11" s="543"/>
      <c r="HU11" s="543"/>
      <c r="HV11" s="543"/>
      <c r="HW11" s="543"/>
      <c r="HX11" s="543"/>
      <c r="HY11" s="543"/>
      <c r="HZ11" s="543"/>
      <c r="IA11" s="543"/>
      <c r="IB11" s="543"/>
      <c r="IC11" s="543"/>
      <c r="ID11" s="543"/>
      <c r="IE11" s="543"/>
      <c r="IF11" s="543"/>
      <c r="IG11" s="543"/>
      <c r="IH11" s="543"/>
      <c r="II11" s="543"/>
      <c r="IJ11" s="543"/>
      <c r="IK11" s="543"/>
      <c r="IL11" s="543"/>
      <c r="IM11" s="543"/>
      <c r="IN11" s="543"/>
      <c r="IO11" s="543"/>
      <c r="IP11" s="543"/>
      <c r="IQ11" s="543"/>
      <c r="IR11" s="543"/>
      <c r="IS11" s="543"/>
      <c r="IT11" s="543"/>
      <c r="IU11" s="543"/>
    </row>
    <row r="12" spans="1:255">
      <c r="A12" s="555"/>
      <c r="B12" s="555"/>
      <c r="C12" s="557"/>
      <c r="D12" s="557"/>
      <c r="E12" s="557"/>
      <c r="F12" s="557"/>
      <c r="G12" s="557"/>
      <c r="H12" s="557"/>
      <c r="I12" s="557"/>
      <c r="J12" s="557"/>
      <c r="K12" s="557"/>
      <c r="L12" s="557"/>
      <c r="M12" s="557"/>
      <c r="N12" s="557"/>
      <c r="O12" s="557"/>
      <c r="P12" s="557"/>
      <c r="Q12" s="557"/>
      <c r="R12" s="557"/>
      <c r="S12" s="557"/>
      <c r="T12" s="557"/>
      <c r="U12" s="557"/>
      <c r="V12" s="557"/>
      <c r="W12" s="543"/>
      <c r="X12" s="543"/>
      <c r="Y12" s="543"/>
      <c r="Z12" s="543"/>
      <c r="AA12" s="543"/>
      <c r="AB12" s="543"/>
      <c r="AC12" s="543"/>
      <c r="AD12" s="543"/>
      <c r="AE12" s="543"/>
      <c r="AF12" s="543"/>
      <c r="AG12" s="543"/>
      <c r="AH12" s="543"/>
      <c r="AI12" s="543"/>
      <c r="AJ12" s="543"/>
      <c r="AK12" s="543"/>
      <c r="AL12" s="543"/>
      <c r="AM12" s="543"/>
      <c r="AN12" s="543"/>
      <c r="AO12" s="543"/>
      <c r="AP12" s="543"/>
      <c r="AQ12" s="543"/>
      <c r="AR12" s="543"/>
      <c r="AS12" s="543"/>
      <c r="AT12" s="543"/>
      <c r="AU12" s="543"/>
      <c r="AV12" s="543"/>
      <c r="AW12" s="543"/>
      <c r="AX12" s="543"/>
      <c r="AY12" s="543"/>
      <c r="AZ12" s="543"/>
      <c r="BA12" s="543"/>
      <c r="BB12" s="543"/>
      <c r="BC12" s="543"/>
      <c r="BD12" s="543"/>
      <c r="BE12" s="543"/>
      <c r="BF12" s="543"/>
      <c r="BG12" s="543"/>
      <c r="BH12" s="543"/>
      <c r="BI12" s="543"/>
      <c r="BJ12" s="543"/>
      <c r="BK12" s="543"/>
      <c r="BL12" s="543"/>
      <c r="BM12" s="543"/>
      <c r="BN12" s="543"/>
      <c r="BO12" s="543"/>
      <c r="BP12" s="543"/>
      <c r="BQ12" s="543"/>
      <c r="BR12" s="543"/>
      <c r="BS12" s="543"/>
      <c r="BT12" s="543"/>
      <c r="BU12" s="543"/>
      <c r="BV12" s="543"/>
      <c r="BW12" s="543"/>
      <c r="BX12" s="543"/>
      <c r="BY12" s="543"/>
      <c r="BZ12" s="543"/>
      <c r="CA12" s="543"/>
      <c r="CB12" s="543"/>
      <c r="CC12" s="543"/>
      <c r="CD12" s="543"/>
      <c r="CE12" s="543"/>
      <c r="CF12" s="543"/>
      <c r="CG12" s="543"/>
      <c r="CH12" s="543"/>
      <c r="CI12" s="543"/>
      <c r="CJ12" s="543"/>
      <c r="CK12" s="543"/>
      <c r="CL12" s="543"/>
      <c r="CM12" s="543"/>
      <c r="CN12" s="543"/>
      <c r="CO12" s="543"/>
      <c r="CP12" s="543"/>
      <c r="CQ12" s="543"/>
      <c r="CR12" s="543"/>
      <c r="CS12" s="543"/>
      <c r="CT12" s="543"/>
      <c r="CU12" s="543"/>
      <c r="CV12" s="543"/>
      <c r="CW12" s="543"/>
      <c r="CX12" s="543"/>
      <c r="CY12" s="543"/>
      <c r="CZ12" s="543"/>
      <c r="DA12" s="543"/>
      <c r="DB12" s="543"/>
      <c r="DC12" s="543"/>
      <c r="DD12" s="543"/>
      <c r="DE12" s="543"/>
      <c r="DF12" s="543"/>
      <c r="DG12" s="543"/>
      <c r="DH12" s="543"/>
      <c r="DI12" s="543"/>
      <c r="DJ12" s="543"/>
      <c r="DK12" s="543"/>
      <c r="DL12" s="543"/>
      <c r="DM12" s="543"/>
      <c r="DN12" s="543"/>
      <c r="DO12" s="543"/>
      <c r="DP12" s="543"/>
      <c r="DQ12" s="543"/>
      <c r="DR12" s="543"/>
      <c r="DS12" s="543"/>
      <c r="DT12" s="543"/>
      <c r="DU12" s="543"/>
      <c r="DV12" s="543"/>
      <c r="DW12" s="543"/>
      <c r="DX12" s="543"/>
      <c r="DY12" s="543"/>
      <c r="DZ12" s="543"/>
      <c r="EA12" s="543"/>
      <c r="EB12" s="543"/>
      <c r="EC12" s="543"/>
      <c r="ED12" s="543"/>
      <c r="EE12" s="543"/>
      <c r="EF12" s="543"/>
      <c r="EG12" s="543"/>
      <c r="EH12" s="543"/>
      <c r="EI12" s="543"/>
      <c r="EJ12" s="543"/>
      <c r="EK12" s="543"/>
      <c r="EL12" s="543"/>
      <c r="EM12" s="543"/>
      <c r="EN12" s="543"/>
      <c r="EO12" s="543"/>
      <c r="EP12" s="543"/>
      <c r="EQ12" s="543"/>
      <c r="ER12" s="543"/>
      <c r="ES12" s="543"/>
      <c r="ET12" s="543"/>
      <c r="EU12" s="543"/>
      <c r="EV12" s="543"/>
      <c r="EW12" s="543"/>
      <c r="EX12" s="543"/>
      <c r="EY12" s="543"/>
      <c r="EZ12" s="543"/>
      <c r="FA12" s="543"/>
      <c r="FB12" s="543"/>
      <c r="FC12" s="543"/>
      <c r="FD12" s="543"/>
      <c r="FE12" s="543"/>
      <c r="FF12" s="543"/>
      <c r="FG12" s="543"/>
      <c r="FH12" s="543"/>
      <c r="FI12" s="543"/>
      <c r="FJ12" s="543"/>
      <c r="FK12" s="543"/>
      <c r="FL12" s="543"/>
      <c r="FM12" s="543"/>
      <c r="FN12" s="543"/>
      <c r="FO12" s="543"/>
      <c r="FP12" s="543"/>
      <c r="FQ12" s="543"/>
      <c r="FR12" s="543"/>
      <c r="FS12" s="543"/>
      <c r="FT12" s="543"/>
      <c r="FU12" s="543"/>
      <c r="FV12" s="543"/>
      <c r="FW12" s="543"/>
      <c r="FX12" s="543"/>
      <c r="FY12" s="543"/>
      <c r="FZ12" s="543"/>
      <c r="GA12" s="543"/>
      <c r="GB12" s="543"/>
      <c r="GC12" s="543"/>
      <c r="GD12" s="543"/>
      <c r="GE12" s="543"/>
      <c r="GF12" s="543"/>
      <c r="GG12" s="543"/>
      <c r="GH12" s="543"/>
      <c r="GI12" s="543"/>
      <c r="GJ12" s="543"/>
      <c r="GK12" s="543"/>
      <c r="GL12" s="543"/>
      <c r="GM12" s="543"/>
      <c r="GN12" s="543"/>
      <c r="GO12" s="543"/>
      <c r="GP12" s="543"/>
      <c r="GQ12" s="543"/>
      <c r="GR12" s="543"/>
      <c r="GS12" s="543"/>
      <c r="GT12" s="543"/>
      <c r="GU12" s="543"/>
      <c r="GV12" s="543"/>
      <c r="GW12" s="543"/>
      <c r="GX12" s="543"/>
      <c r="GY12" s="543"/>
      <c r="GZ12" s="543"/>
      <c r="HA12" s="543"/>
      <c r="HB12" s="543"/>
      <c r="HC12" s="543"/>
      <c r="HD12" s="543"/>
      <c r="HE12" s="543"/>
      <c r="HF12" s="543"/>
      <c r="HG12" s="543"/>
      <c r="HH12" s="543"/>
      <c r="HI12" s="543"/>
      <c r="HJ12" s="543"/>
      <c r="HK12" s="543"/>
      <c r="HL12" s="543"/>
      <c r="HM12" s="543"/>
      <c r="HN12" s="543"/>
      <c r="HO12" s="543"/>
      <c r="HP12" s="543"/>
      <c r="HQ12" s="543"/>
      <c r="HR12" s="543"/>
      <c r="HS12" s="543"/>
      <c r="HT12" s="543"/>
      <c r="HU12" s="543"/>
      <c r="HV12" s="543"/>
      <c r="HW12" s="543"/>
      <c r="HX12" s="543"/>
      <c r="HY12" s="543"/>
      <c r="HZ12" s="543"/>
      <c r="IA12" s="543"/>
      <c r="IB12" s="543"/>
      <c r="IC12" s="543"/>
      <c r="ID12" s="543"/>
      <c r="IE12" s="543"/>
      <c r="IF12" s="543"/>
      <c r="IG12" s="543"/>
      <c r="IH12" s="543"/>
      <c r="II12" s="543"/>
      <c r="IJ12" s="543"/>
      <c r="IK12" s="543"/>
      <c r="IL12" s="543"/>
      <c r="IM12" s="543"/>
      <c r="IN12" s="543"/>
      <c r="IO12" s="543"/>
      <c r="IP12" s="543"/>
      <c r="IQ12" s="543"/>
      <c r="IR12" s="543"/>
      <c r="IS12" s="543"/>
      <c r="IT12" s="543"/>
      <c r="IU12" s="543"/>
    </row>
    <row r="13" spans="1:255">
      <c r="A13" s="555" t="s">
        <v>299</v>
      </c>
      <c r="B13" s="555"/>
      <c r="C13" s="557">
        <f t="shared" ref="C13:V13" ca="1" si="0">C9-C11</f>
        <v>245.32647090444152</v>
      </c>
      <c r="D13" s="557">
        <f t="shared" ca="1" si="0"/>
        <v>4163.9010781494071</v>
      </c>
      <c r="E13" s="557">
        <f t="shared" ca="1" si="0"/>
        <v>4694.8240780914075</v>
      </c>
      <c r="F13" s="557">
        <f t="shared" ca="1" si="0"/>
        <v>7472.9212418677671</v>
      </c>
      <c r="G13" s="557">
        <f t="shared" ca="1" si="0"/>
        <v>9424.9840305632897</v>
      </c>
      <c r="H13" s="557">
        <f t="shared" ca="1" si="0"/>
        <v>4577.0770585111477</v>
      </c>
      <c r="I13" s="557">
        <f t="shared" ca="1" si="0"/>
        <v>12171.800098668904</v>
      </c>
      <c r="J13" s="557">
        <f t="shared" ca="1" si="0"/>
        <v>20363.175325596534</v>
      </c>
      <c r="K13" s="557">
        <f t="shared" ca="1" si="0"/>
        <v>21515.040950938826</v>
      </c>
      <c r="L13" s="557">
        <f t="shared" ca="1" si="0"/>
        <v>20105.098273180349</v>
      </c>
      <c r="M13" s="557">
        <f t="shared" ca="1" si="0"/>
        <v>21475.506443597649</v>
      </c>
      <c r="N13" s="557">
        <f t="shared" ca="1" si="0"/>
        <v>20406.29786643745</v>
      </c>
      <c r="O13" s="557">
        <f t="shared" ca="1" si="0"/>
        <v>19903.184009875578</v>
      </c>
      <c r="P13" s="557">
        <f t="shared" ca="1" si="0"/>
        <v>17478.272242038696</v>
      </c>
      <c r="Q13" s="557">
        <f t="shared" ca="1" si="0"/>
        <v>23510.056729339274</v>
      </c>
      <c r="R13" s="557">
        <f t="shared" ca="1" si="0"/>
        <v>34229.072396647454</v>
      </c>
      <c r="S13" s="557">
        <f t="shared" ca="1" si="0"/>
        <v>44636.340954694824</v>
      </c>
      <c r="T13" s="557">
        <f t="shared" ca="1" si="0"/>
        <v>45237.196805177358</v>
      </c>
      <c r="U13" s="557">
        <f t="shared" ca="1" si="0"/>
        <v>47263.719144122901</v>
      </c>
      <c r="V13" s="557">
        <f t="shared" ca="1" si="0"/>
        <v>39091.213348702535</v>
      </c>
      <c r="W13" s="543"/>
      <c r="X13" s="543"/>
      <c r="Y13" s="543"/>
      <c r="Z13" s="543"/>
      <c r="AA13" s="543"/>
      <c r="AB13" s="543"/>
      <c r="AC13" s="543"/>
      <c r="AD13" s="543"/>
      <c r="AE13" s="543"/>
      <c r="AF13" s="543"/>
      <c r="AG13" s="543"/>
      <c r="AH13" s="543"/>
      <c r="AI13" s="543"/>
      <c r="AJ13" s="543"/>
      <c r="AK13" s="543"/>
      <c r="AL13" s="543"/>
      <c r="AM13" s="543"/>
      <c r="AN13" s="543"/>
      <c r="AO13" s="543"/>
      <c r="AP13" s="543"/>
      <c r="AQ13" s="543"/>
      <c r="AR13" s="543"/>
      <c r="AS13" s="543"/>
      <c r="AT13" s="543"/>
      <c r="AU13" s="543"/>
      <c r="AV13" s="543"/>
      <c r="AW13" s="543"/>
      <c r="AX13" s="543"/>
      <c r="AY13" s="543"/>
      <c r="AZ13" s="543"/>
      <c r="BA13" s="543"/>
      <c r="BB13" s="543"/>
      <c r="BC13" s="543"/>
      <c r="BD13" s="543"/>
      <c r="BE13" s="543"/>
      <c r="BF13" s="543"/>
      <c r="BG13" s="543"/>
      <c r="BH13" s="543"/>
      <c r="BI13" s="543"/>
      <c r="BJ13" s="543"/>
      <c r="BK13" s="543"/>
      <c r="BL13" s="543"/>
      <c r="BM13" s="543"/>
      <c r="BN13" s="543"/>
      <c r="BO13" s="543"/>
      <c r="BP13" s="543"/>
      <c r="BQ13" s="543"/>
      <c r="BR13" s="543"/>
      <c r="BS13" s="543"/>
      <c r="BT13" s="543"/>
      <c r="BU13" s="543"/>
      <c r="BV13" s="543"/>
      <c r="BW13" s="543"/>
      <c r="BX13" s="543"/>
      <c r="BY13" s="543"/>
      <c r="BZ13" s="543"/>
      <c r="CA13" s="543"/>
      <c r="CB13" s="543"/>
      <c r="CC13" s="543"/>
      <c r="CD13" s="543"/>
      <c r="CE13" s="543"/>
      <c r="CF13" s="543"/>
      <c r="CG13" s="543"/>
      <c r="CH13" s="543"/>
      <c r="CI13" s="543"/>
      <c r="CJ13" s="543"/>
      <c r="CK13" s="543"/>
      <c r="CL13" s="543"/>
      <c r="CM13" s="543"/>
      <c r="CN13" s="543"/>
      <c r="CO13" s="543"/>
      <c r="CP13" s="543"/>
      <c r="CQ13" s="543"/>
      <c r="CR13" s="543"/>
      <c r="CS13" s="543"/>
      <c r="CT13" s="543"/>
      <c r="CU13" s="543"/>
      <c r="CV13" s="543"/>
      <c r="CW13" s="543"/>
      <c r="CX13" s="543"/>
      <c r="CY13" s="543"/>
      <c r="CZ13" s="543"/>
      <c r="DA13" s="543"/>
      <c r="DB13" s="543"/>
      <c r="DC13" s="543"/>
      <c r="DD13" s="543"/>
      <c r="DE13" s="543"/>
      <c r="DF13" s="543"/>
      <c r="DG13" s="543"/>
      <c r="DH13" s="543"/>
      <c r="DI13" s="543"/>
      <c r="DJ13" s="543"/>
      <c r="DK13" s="543"/>
      <c r="DL13" s="543"/>
      <c r="DM13" s="543"/>
      <c r="DN13" s="543"/>
      <c r="DO13" s="543"/>
      <c r="DP13" s="543"/>
      <c r="DQ13" s="543"/>
      <c r="DR13" s="543"/>
      <c r="DS13" s="543"/>
      <c r="DT13" s="543"/>
      <c r="DU13" s="543"/>
      <c r="DV13" s="543"/>
      <c r="DW13" s="543"/>
      <c r="DX13" s="543"/>
      <c r="DY13" s="543"/>
      <c r="DZ13" s="543"/>
      <c r="EA13" s="543"/>
      <c r="EB13" s="543"/>
      <c r="EC13" s="543"/>
      <c r="ED13" s="543"/>
      <c r="EE13" s="543"/>
      <c r="EF13" s="543"/>
      <c r="EG13" s="543"/>
      <c r="EH13" s="543"/>
      <c r="EI13" s="543"/>
      <c r="EJ13" s="543"/>
      <c r="EK13" s="543"/>
      <c r="EL13" s="543"/>
      <c r="EM13" s="543"/>
      <c r="EN13" s="543"/>
      <c r="EO13" s="543"/>
      <c r="EP13" s="543"/>
      <c r="EQ13" s="543"/>
      <c r="ER13" s="543"/>
      <c r="ES13" s="543"/>
      <c r="ET13" s="543"/>
      <c r="EU13" s="543"/>
      <c r="EV13" s="543"/>
      <c r="EW13" s="543"/>
      <c r="EX13" s="543"/>
      <c r="EY13" s="543"/>
      <c r="EZ13" s="543"/>
      <c r="FA13" s="543"/>
      <c r="FB13" s="543"/>
      <c r="FC13" s="543"/>
      <c r="FD13" s="543"/>
      <c r="FE13" s="543"/>
      <c r="FF13" s="543"/>
      <c r="FG13" s="543"/>
      <c r="FH13" s="543"/>
      <c r="FI13" s="543"/>
      <c r="FJ13" s="543"/>
      <c r="FK13" s="543"/>
      <c r="FL13" s="543"/>
      <c r="FM13" s="543"/>
      <c r="FN13" s="543"/>
      <c r="FO13" s="543"/>
      <c r="FP13" s="543"/>
      <c r="FQ13" s="543"/>
      <c r="FR13" s="543"/>
      <c r="FS13" s="543"/>
      <c r="FT13" s="543"/>
      <c r="FU13" s="543"/>
      <c r="FV13" s="543"/>
      <c r="FW13" s="543"/>
      <c r="FX13" s="543"/>
      <c r="FY13" s="543"/>
      <c r="FZ13" s="543"/>
      <c r="GA13" s="543"/>
      <c r="GB13" s="543"/>
      <c r="GC13" s="543"/>
      <c r="GD13" s="543"/>
      <c r="GE13" s="543"/>
      <c r="GF13" s="543"/>
      <c r="GG13" s="543"/>
      <c r="GH13" s="543"/>
      <c r="GI13" s="543"/>
      <c r="GJ13" s="543"/>
      <c r="GK13" s="543"/>
      <c r="GL13" s="543"/>
      <c r="GM13" s="543"/>
      <c r="GN13" s="543"/>
      <c r="GO13" s="543"/>
      <c r="GP13" s="543"/>
      <c r="GQ13" s="543"/>
      <c r="GR13" s="543"/>
      <c r="GS13" s="543"/>
      <c r="GT13" s="543"/>
      <c r="GU13" s="543"/>
      <c r="GV13" s="543"/>
      <c r="GW13" s="543"/>
      <c r="GX13" s="543"/>
      <c r="GY13" s="543"/>
      <c r="GZ13" s="543"/>
      <c r="HA13" s="543"/>
      <c r="HB13" s="543"/>
      <c r="HC13" s="543"/>
      <c r="HD13" s="543"/>
      <c r="HE13" s="543"/>
      <c r="HF13" s="543"/>
      <c r="HG13" s="543"/>
      <c r="HH13" s="543"/>
      <c r="HI13" s="543"/>
      <c r="HJ13" s="543"/>
      <c r="HK13" s="543"/>
      <c r="HL13" s="543"/>
      <c r="HM13" s="543"/>
      <c r="HN13" s="543"/>
      <c r="HO13" s="543"/>
      <c r="HP13" s="543"/>
      <c r="HQ13" s="543"/>
      <c r="HR13" s="543"/>
      <c r="HS13" s="543"/>
      <c r="HT13" s="543"/>
      <c r="HU13" s="543"/>
      <c r="HV13" s="543"/>
      <c r="HW13" s="543"/>
      <c r="HX13" s="543"/>
      <c r="HY13" s="543"/>
      <c r="HZ13" s="543"/>
      <c r="IA13" s="543"/>
      <c r="IB13" s="543"/>
      <c r="IC13" s="543"/>
      <c r="ID13" s="543"/>
      <c r="IE13" s="543"/>
      <c r="IF13" s="543"/>
      <c r="IG13" s="543"/>
      <c r="IH13" s="543"/>
      <c r="II13" s="543"/>
      <c r="IJ13" s="543"/>
      <c r="IK13" s="543"/>
      <c r="IL13" s="543"/>
      <c r="IM13" s="543"/>
      <c r="IN13" s="543"/>
      <c r="IO13" s="543"/>
      <c r="IP13" s="543"/>
      <c r="IQ13" s="543"/>
      <c r="IR13" s="543"/>
      <c r="IS13" s="543"/>
      <c r="IT13" s="543"/>
      <c r="IU13" s="543"/>
    </row>
    <row r="14" spans="1:255">
      <c r="A14" s="555" t="s">
        <v>377</v>
      </c>
      <c r="B14" s="558"/>
      <c r="C14" s="559">
        <f>IF(C5='ASSUM 1'!$M$39,+CSHFLO!C13*'ASSUM 1'!$N$39,C13*'ASSUM 1'!$N$40)</f>
        <v>325.51323265238909</v>
      </c>
      <c r="D14" s="559">
        <f ca="1">IF(D5='ASSUM 1'!$M$39,+CSHFLO!D13*'ASSUM 1'!$N$39,D13*'ASSUM 1'!$N$40)</f>
        <v>249.83406468896442</v>
      </c>
      <c r="E14" s="559">
        <f ca="1">IF(E5='ASSUM 1'!$M$39,+CSHFLO!E13*'ASSUM 1'!$N$39,E13*'ASSUM 1'!$N$40)</f>
        <v>281.68944468548443</v>
      </c>
      <c r="F14" s="559">
        <f ca="1">IF(F5='ASSUM 1'!$M$39,+CSHFLO!F13*'ASSUM 1'!$N$39,F13*'ASSUM 1'!$N$40)</f>
        <v>448.37527451206603</v>
      </c>
      <c r="G14" s="559">
        <f ca="1">IF(G5='ASSUM 1'!$M$39,+CSHFLO!G13*'ASSUM 1'!$N$39,G13*'ASSUM 1'!$N$40)</f>
        <v>565.49904183379738</v>
      </c>
      <c r="H14" s="559">
        <f ca="1">IF(H5='ASSUM 1'!$M$39,+CSHFLO!H13*'ASSUM 1'!$N$39,H13*'ASSUM 1'!$N$40)</f>
        <v>274.62462351066887</v>
      </c>
      <c r="I14" s="559">
        <f ca="1">IF(I5='ASSUM 1'!$M$39,+CSHFLO!I13*'ASSUM 1'!$N$39,I13*'ASSUM 1'!$N$40)</f>
        <v>730.30800592013418</v>
      </c>
      <c r="J14" s="559">
        <f ca="1">IF(J5='ASSUM 1'!$M$39,+CSHFLO!J13*'ASSUM 1'!$N$39,J13*'ASSUM 1'!$N$40)</f>
        <v>1221.7905195357921</v>
      </c>
      <c r="K14" s="559">
        <f ca="1">IF(K5='ASSUM 1'!$M$39,+CSHFLO!K13*'ASSUM 1'!$N$39,K13*'ASSUM 1'!$N$40)</f>
        <v>1290.9024570563295</v>
      </c>
      <c r="L14" s="559">
        <f ca="1">IF(L5='ASSUM 1'!$M$39,+CSHFLO!L13*'ASSUM 1'!$N$39,L13*'ASSUM 1'!$N$40)</f>
        <v>1206.3058963908209</v>
      </c>
      <c r="M14" s="559">
        <f ca="1">IF(M5='ASSUM 1'!$M$39,+CSHFLO!M13*'ASSUM 1'!$N$39,M13*'ASSUM 1'!$N$40)</f>
        <v>1288.530386615859</v>
      </c>
      <c r="N14" s="559">
        <f ca="1">IF(N5='ASSUM 1'!$M$39,+CSHFLO!N13*'ASSUM 1'!$N$39,N13*'ASSUM 1'!$N$40)</f>
        <v>1224.3778719862469</v>
      </c>
      <c r="O14" s="559">
        <f ca="1">IF(O5='ASSUM 1'!$M$39,+CSHFLO!O13*'ASSUM 1'!$N$39,O13*'ASSUM 1'!$N$40)</f>
        <v>1194.1910405925346</v>
      </c>
      <c r="P14" s="559">
        <f ca="1">IF(P5='ASSUM 1'!$M$39,+CSHFLO!P13*'ASSUM 1'!$N$39,P13*'ASSUM 1'!$N$40)</f>
        <v>1048.6963345223216</v>
      </c>
      <c r="Q14" s="559">
        <f ca="1">IF(Q5='ASSUM 1'!$M$39,+CSHFLO!Q13*'ASSUM 1'!$N$39,Q13*'ASSUM 1'!$N$40)</f>
        <v>1410.6034037603563</v>
      </c>
      <c r="R14" s="559">
        <f ca="1">IF(R5='ASSUM 1'!$M$39,+CSHFLO!R13*'ASSUM 1'!$N$39,R13*'ASSUM 1'!$N$40)</f>
        <v>2053.7443437988472</v>
      </c>
      <c r="S14" s="559">
        <f ca="1">IF(S5='ASSUM 1'!$M$39,+CSHFLO!S13*'ASSUM 1'!$N$39,S13*'ASSUM 1'!$N$40)</f>
        <v>2678.1804572816895</v>
      </c>
      <c r="T14" s="559">
        <f ca="1">IF(T5='ASSUM 1'!$M$39,+CSHFLO!T13*'ASSUM 1'!$N$39,T13*'ASSUM 1'!$N$40)</f>
        <v>2714.2318083106416</v>
      </c>
      <c r="U14" s="559">
        <f ca="1">IF(U5='ASSUM 1'!$M$39,+CSHFLO!U13*'ASSUM 1'!$N$39,U13*'ASSUM 1'!$N$40)</f>
        <v>2835.8231486473737</v>
      </c>
      <c r="V14" s="559">
        <f ca="1">IF(V5='ASSUM 1'!$M$39,+CSHFLO!V13*'ASSUM 1'!$N$39,V13*'ASSUM 1'!$N$40)</f>
        <v>2345.4728009221521</v>
      </c>
      <c r="W14" s="543"/>
      <c r="X14" s="543"/>
      <c r="Y14" s="543"/>
      <c r="Z14" s="543"/>
      <c r="AA14" s="543"/>
      <c r="AB14" s="543"/>
      <c r="AC14" s="543"/>
      <c r="AD14" s="543"/>
      <c r="AE14" s="543"/>
      <c r="AF14" s="543"/>
      <c r="AG14" s="543"/>
      <c r="AH14" s="543"/>
      <c r="AI14" s="543"/>
      <c r="AJ14" s="543"/>
      <c r="AK14" s="543"/>
      <c r="AL14" s="543"/>
      <c r="AM14" s="543"/>
      <c r="AN14" s="543"/>
      <c r="AO14" s="543"/>
      <c r="AP14" s="543"/>
      <c r="AQ14" s="543"/>
      <c r="AR14" s="543"/>
      <c r="AS14" s="543"/>
      <c r="AT14" s="543"/>
      <c r="AU14" s="543"/>
      <c r="AV14" s="543"/>
      <c r="AW14" s="543"/>
      <c r="AX14" s="543"/>
      <c r="AY14" s="543"/>
      <c r="AZ14" s="543"/>
      <c r="BA14" s="543"/>
      <c r="BB14" s="543"/>
      <c r="BC14" s="543"/>
      <c r="BD14" s="543"/>
      <c r="BE14" s="543"/>
      <c r="BF14" s="543"/>
      <c r="BG14" s="543"/>
      <c r="BH14" s="543"/>
      <c r="BI14" s="543"/>
      <c r="BJ14" s="543"/>
      <c r="BK14" s="543"/>
      <c r="BL14" s="543"/>
      <c r="BM14" s="543"/>
      <c r="BN14" s="543"/>
      <c r="BO14" s="543"/>
      <c r="BP14" s="543"/>
      <c r="BQ14" s="543"/>
      <c r="BR14" s="543"/>
      <c r="BS14" s="543"/>
      <c r="BT14" s="543"/>
      <c r="BU14" s="543"/>
      <c r="BV14" s="543"/>
      <c r="BW14" s="543"/>
      <c r="BX14" s="543"/>
      <c r="BY14" s="543"/>
      <c r="BZ14" s="543"/>
      <c r="CA14" s="543"/>
      <c r="CB14" s="543"/>
      <c r="CC14" s="543"/>
      <c r="CD14" s="543"/>
      <c r="CE14" s="543"/>
      <c r="CF14" s="543"/>
      <c r="CG14" s="543"/>
      <c r="CH14" s="543"/>
      <c r="CI14" s="543"/>
      <c r="CJ14" s="543"/>
      <c r="CK14" s="543"/>
      <c r="CL14" s="543"/>
      <c r="CM14" s="543"/>
      <c r="CN14" s="543"/>
      <c r="CO14" s="543"/>
      <c r="CP14" s="543"/>
      <c r="CQ14" s="543"/>
      <c r="CR14" s="543"/>
      <c r="CS14" s="543"/>
      <c r="CT14" s="543"/>
      <c r="CU14" s="543"/>
      <c r="CV14" s="543"/>
      <c r="CW14" s="543"/>
      <c r="CX14" s="543"/>
      <c r="CY14" s="543"/>
      <c r="CZ14" s="543"/>
      <c r="DA14" s="543"/>
      <c r="DB14" s="543"/>
      <c r="DC14" s="543"/>
      <c r="DD14" s="543"/>
      <c r="DE14" s="543"/>
      <c r="DF14" s="543"/>
      <c r="DG14" s="543"/>
      <c r="DH14" s="543"/>
      <c r="DI14" s="543"/>
      <c r="DJ14" s="543"/>
      <c r="DK14" s="543"/>
      <c r="DL14" s="543"/>
      <c r="DM14" s="543"/>
      <c r="DN14" s="543"/>
      <c r="DO14" s="543"/>
      <c r="DP14" s="543"/>
      <c r="DQ14" s="543"/>
      <c r="DR14" s="543"/>
      <c r="DS14" s="543"/>
      <c r="DT14" s="543"/>
      <c r="DU14" s="543"/>
      <c r="DV14" s="543"/>
      <c r="DW14" s="543"/>
      <c r="DX14" s="543"/>
      <c r="DY14" s="543"/>
      <c r="DZ14" s="543"/>
      <c r="EA14" s="543"/>
      <c r="EB14" s="543"/>
      <c r="EC14" s="543"/>
      <c r="ED14" s="543"/>
      <c r="EE14" s="543"/>
      <c r="EF14" s="543"/>
      <c r="EG14" s="543"/>
      <c r="EH14" s="543"/>
      <c r="EI14" s="543"/>
      <c r="EJ14" s="543"/>
      <c r="EK14" s="543"/>
      <c r="EL14" s="543"/>
      <c r="EM14" s="543"/>
      <c r="EN14" s="543"/>
      <c r="EO14" s="543"/>
      <c r="EP14" s="543"/>
      <c r="EQ14" s="543"/>
      <c r="ER14" s="543"/>
      <c r="ES14" s="543"/>
      <c r="ET14" s="543"/>
      <c r="EU14" s="543"/>
      <c r="EV14" s="543"/>
      <c r="EW14" s="543"/>
      <c r="EX14" s="543"/>
      <c r="EY14" s="543"/>
      <c r="EZ14" s="543"/>
      <c r="FA14" s="543"/>
      <c r="FB14" s="543"/>
      <c r="FC14" s="543"/>
      <c r="FD14" s="543"/>
      <c r="FE14" s="543"/>
      <c r="FF14" s="543"/>
      <c r="FG14" s="543"/>
      <c r="FH14" s="543"/>
      <c r="FI14" s="543"/>
      <c r="FJ14" s="543"/>
      <c r="FK14" s="543"/>
      <c r="FL14" s="543"/>
      <c r="FM14" s="543"/>
      <c r="FN14" s="543"/>
      <c r="FO14" s="543"/>
      <c r="FP14" s="543"/>
      <c r="FQ14" s="543"/>
      <c r="FR14" s="543"/>
      <c r="FS14" s="543"/>
      <c r="FT14" s="543"/>
      <c r="FU14" s="543"/>
      <c r="FV14" s="543"/>
      <c r="FW14" s="543"/>
      <c r="FX14" s="543"/>
      <c r="FY14" s="543"/>
      <c r="FZ14" s="543"/>
      <c r="GA14" s="543"/>
      <c r="GB14" s="543"/>
      <c r="GC14" s="543"/>
      <c r="GD14" s="543"/>
      <c r="GE14" s="543"/>
      <c r="GF14" s="543"/>
      <c r="GG14" s="543"/>
      <c r="GH14" s="543"/>
      <c r="GI14" s="543"/>
      <c r="GJ14" s="543"/>
      <c r="GK14" s="543"/>
      <c r="GL14" s="543"/>
      <c r="GM14" s="543"/>
      <c r="GN14" s="543"/>
      <c r="GO14" s="543"/>
      <c r="GP14" s="543"/>
      <c r="GQ14" s="543"/>
      <c r="GR14" s="543"/>
      <c r="GS14" s="543"/>
      <c r="GT14" s="543"/>
      <c r="GU14" s="543"/>
      <c r="GV14" s="543"/>
      <c r="GW14" s="543"/>
      <c r="GX14" s="543"/>
      <c r="GY14" s="543"/>
      <c r="GZ14" s="543"/>
      <c r="HA14" s="543"/>
      <c r="HB14" s="543"/>
      <c r="HC14" s="543"/>
      <c r="HD14" s="543"/>
      <c r="HE14" s="543"/>
      <c r="HF14" s="543"/>
      <c r="HG14" s="543"/>
      <c r="HH14" s="543"/>
      <c r="HI14" s="543"/>
      <c r="HJ14" s="543"/>
      <c r="HK14" s="543"/>
      <c r="HL14" s="543"/>
      <c r="HM14" s="543"/>
      <c r="HN14" s="543"/>
      <c r="HO14" s="543"/>
      <c r="HP14" s="543"/>
      <c r="HQ14" s="543"/>
      <c r="HR14" s="543"/>
      <c r="HS14" s="543"/>
      <c r="HT14" s="543"/>
      <c r="HU14" s="543"/>
      <c r="HV14" s="543"/>
      <c r="HW14" s="543"/>
      <c r="HX14" s="543"/>
      <c r="HY14" s="543"/>
      <c r="HZ14" s="543"/>
      <c r="IA14" s="543"/>
      <c r="IB14" s="543"/>
      <c r="IC14" s="543"/>
      <c r="ID14" s="543"/>
      <c r="IE14" s="543"/>
      <c r="IF14" s="543"/>
      <c r="IG14" s="543"/>
      <c r="IH14" s="543"/>
      <c r="II14" s="543"/>
      <c r="IJ14" s="543"/>
      <c r="IK14" s="543"/>
      <c r="IL14" s="543"/>
      <c r="IM14" s="543"/>
      <c r="IN14" s="543"/>
      <c r="IO14" s="543"/>
      <c r="IP14" s="543"/>
      <c r="IQ14" s="543"/>
      <c r="IR14" s="543"/>
      <c r="IS14" s="543"/>
      <c r="IT14" s="543"/>
      <c r="IU14" s="543"/>
    </row>
    <row r="15" spans="1:255">
      <c r="A15" s="555" t="s">
        <v>378</v>
      </c>
      <c r="B15" s="555"/>
      <c r="C15" s="557">
        <f t="shared" ref="C15:V15" ca="1" si="1">C13-C14</f>
        <v>-80.186761747947571</v>
      </c>
      <c r="D15" s="557">
        <f t="shared" ca="1" si="1"/>
        <v>3914.0670134604425</v>
      </c>
      <c r="E15" s="557">
        <f t="shared" ca="1" si="1"/>
        <v>4413.1346334059235</v>
      </c>
      <c r="F15" s="557">
        <f t="shared" ca="1" si="1"/>
        <v>7024.5459673557007</v>
      </c>
      <c r="G15" s="557">
        <f t="shared" ca="1" si="1"/>
        <v>8859.4849887294931</v>
      </c>
      <c r="H15" s="557">
        <f t="shared" ca="1" si="1"/>
        <v>4302.4524350004785</v>
      </c>
      <c r="I15" s="557">
        <f t="shared" ca="1" si="1"/>
        <v>11441.492092748769</v>
      </c>
      <c r="J15" s="557">
        <f t="shared" ca="1" si="1"/>
        <v>19141.384806060742</v>
      </c>
      <c r="K15" s="557">
        <f t="shared" ca="1" si="1"/>
        <v>20224.138493882496</v>
      </c>
      <c r="L15" s="557">
        <f t="shared" ca="1" si="1"/>
        <v>18898.792376789526</v>
      </c>
      <c r="M15" s="557">
        <f t="shared" ca="1" si="1"/>
        <v>20186.976056981792</v>
      </c>
      <c r="N15" s="557">
        <f t="shared" ca="1" si="1"/>
        <v>19181.919994451204</v>
      </c>
      <c r="O15" s="557">
        <f t="shared" ca="1" si="1"/>
        <v>18708.992969283045</v>
      </c>
      <c r="P15" s="557">
        <f t="shared" ca="1" si="1"/>
        <v>16429.575907516373</v>
      </c>
      <c r="Q15" s="557">
        <f t="shared" ca="1" si="1"/>
        <v>22099.453325578917</v>
      </c>
      <c r="R15" s="557">
        <f t="shared" ca="1" si="1"/>
        <v>32175.328052848607</v>
      </c>
      <c r="S15" s="557">
        <f t="shared" ca="1" si="1"/>
        <v>41958.160497413133</v>
      </c>
      <c r="T15" s="557">
        <f t="shared" ca="1" si="1"/>
        <v>42522.964996866715</v>
      </c>
      <c r="U15" s="557">
        <f t="shared" ca="1" si="1"/>
        <v>44427.895995475526</v>
      </c>
      <c r="V15" s="557">
        <f t="shared" ca="1" si="1"/>
        <v>36745.740547780384</v>
      </c>
      <c r="W15" s="543"/>
      <c r="X15" s="543"/>
      <c r="Y15" s="543"/>
      <c r="Z15" s="543"/>
      <c r="AA15" s="543"/>
      <c r="AB15" s="543"/>
      <c r="AC15" s="543"/>
      <c r="AD15" s="543"/>
      <c r="AE15" s="543"/>
      <c r="AF15" s="543"/>
      <c r="AG15" s="543"/>
      <c r="AH15" s="543"/>
      <c r="AI15" s="543"/>
      <c r="AJ15" s="543"/>
      <c r="AK15" s="543"/>
      <c r="AL15" s="543"/>
      <c r="AM15" s="543"/>
      <c r="AN15" s="543"/>
      <c r="AO15" s="543"/>
      <c r="AP15" s="543"/>
      <c r="AQ15" s="543"/>
      <c r="AR15" s="543"/>
      <c r="AS15" s="543"/>
      <c r="AT15" s="543"/>
      <c r="AU15" s="543"/>
      <c r="AV15" s="543"/>
      <c r="AW15" s="543"/>
      <c r="AX15" s="543"/>
      <c r="AY15" s="543"/>
      <c r="AZ15" s="543"/>
      <c r="BA15" s="543"/>
      <c r="BB15" s="543"/>
      <c r="BC15" s="543"/>
      <c r="BD15" s="543"/>
      <c r="BE15" s="543"/>
      <c r="BF15" s="543"/>
      <c r="BG15" s="543"/>
      <c r="BH15" s="543"/>
      <c r="BI15" s="543"/>
      <c r="BJ15" s="543"/>
      <c r="BK15" s="543"/>
      <c r="BL15" s="543"/>
      <c r="BM15" s="543"/>
      <c r="BN15" s="543"/>
      <c r="BO15" s="543"/>
      <c r="BP15" s="543"/>
      <c r="BQ15" s="543"/>
      <c r="BR15" s="543"/>
      <c r="BS15" s="543"/>
      <c r="BT15" s="543"/>
      <c r="BU15" s="543"/>
      <c r="BV15" s="543"/>
      <c r="BW15" s="543"/>
      <c r="BX15" s="543"/>
      <c r="BY15" s="543"/>
      <c r="BZ15" s="543"/>
      <c r="CA15" s="543"/>
      <c r="CB15" s="543"/>
      <c r="CC15" s="543"/>
      <c r="CD15" s="543"/>
      <c r="CE15" s="543"/>
      <c r="CF15" s="543"/>
      <c r="CG15" s="543"/>
      <c r="CH15" s="543"/>
      <c r="CI15" s="543"/>
      <c r="CJ15" s="543"/>
      <c r="CK15" s="543"/>
      <c r="CL15" s="543"/>
      <c r="CM15" s="543"/>
      <c r="CN15" s="543"/>
      <c r="CO15" s="543"/>
      <c r="CP15" s="543"/>
      <c r="CQ15" s="543"/>
      <c r="CR15" s="543"/>
      <c r="CS15" s="543"/>
      <c r="CT15" s="543"/>
      <c r="CU15" s="543"/>
      <c r="CV15" s="543"/>
      <c r="CW15" s="543"/>
      <c r="CX15" s="543"/>
      <c r="CY15" s="543"/>
      <c r="CZ15" s="543"/>
      <c r="DA15" s="543"/>
      <c r="DB15" s="543"/>
      <c r="DC15" s="543"/>
      <c r="DD15" s="543"/>
      <c r="DE15" s="543"/>
      <c r="DF15" s="543"/>
      <c r="DG15" s="543"/>
      <c r="DH15" s="543"/>
      <c r="DI15" s="543"/>
      <c r="DJ15" s="543"/>
      <c r="DK15" s="543"/>
      <c r="DL15" s="543"/>
      <c r="DM15" s="543"/>
      <c r="DN15" s="543"/>
      <c r="DO15" s="543"/>
      <c r="DP15" s="543"/>
      <c r="DQ15" s="543"/>
      <c r="DR15" s="543"/>
      <c r="DS15" s="543"/>
      <c r="DT15" s="543"/>
      <c r="DU15" s="543"/>
      <c r="DV15" s="543"/>
      <c r="DW15" s="543"/>
      <c r="DX15" s="543"/>
      <c r="DY15" s="543"/>
      <c r="DZ15" s="543"/>
      <c r="EA15" s="543"/>
      <c r="EB15" s="543"/>
      <c r="EC15" s="543"/>
      <c r="ED15" s="543"/>
      <c r="EE15" s="543"/>
      <c r="EF15" s="543"/>
      <c r="EG15" s="543"/>
      <c r="EH15" s="543"/>
      <c r="EI15" s="543"/>
      <c r="EJ15" s="543"/>
      <c r="EK15" s="543"/>
      <c r="EL15" s="543"/>
      <c r="EM15" s="543"/>
      <c r="EN15" s="543"/>
      <c r="EO15" s="543"/>
      <c r="EP15" s="543"/>
      <c r="EQ15" s="543"/>
      <c r="ER15" s="543"/>
      <c r="ES15" s="543"/>
      <c r="ET15" s="543"/>
      <c r="EU15" s="543"/>
      <c r="EV15" s="543"/>
      <c r="EW15" s="543"/>
      <c r="EX15" s="543"/>
      <c r="EY15" s="543"/>
      <c r="EZ15" s="543"/>
      <c r="FA15" s="543"/>
      <c r="FB15" s="543"/>
      <c r="FC15" s="543"/>
      <c r="FD15" s="543"/>
      <c r="FE15" s="543"/>
      <c r="FF15" s="543"/>
      <c r="FG15" s="543"/>
      <c r="FH15" s="543"/>
      <c r="FI15" s="543"/>
      <c r="FJ15" s="543"/>
      <c r="FK15" s="543"/>
      <c r="FL15" s="543"/>
      <c r="FM15" s="543"/>
      <c r="FN15" s="543"/>
      <c r="FO15" s="543"/>
      <c r="FP15" s="543"/>
      <c r="FQ15" s="543"/>
      <c r="FR15" s="543"/>
      <c r="FS15" s="543"/>
      <c r="FT15" s="543"/>
      <c r="FU15" s="543"/>
      <c r="FV15" s="543"/>
      <c r="FW15" s="543"/>
      <c r="FX15" s="543"/>
      <c r="FY15" s="543"/>
      <c r="FZ15" s="543"/>
      <c r="GA15" s="543"/>
      <c r="GB15" s="543"/>
      <c r="GC15" s="543"/>
      <c r="GD15" s="543"/>
      <c r="GE15" s="543"/>
      <c r="GF15" s="543"/>
      <c r="GG15" s="543"/>
      <c r="GH15" s="543"/>
      <c r="GI15" s="543"/>
      <c r="GJ15" s="543"/>
      <c r="GK15" s="543"/>
      <c r="GL15" s="543"/>
      <c r="GM15" s="543"/>
      <c r="GN15" s="543"/>
      <c r="GO15" s="543"/>
      <c r="GP15" s="543"/>
      <c r="GQ15" s="543"/>
      <c r="GR15" s="543"/>
      <c r="GS15" s="543"/>
      <c r="GT15" s="543"/>
      <c r="GU15" s="543"/>
      <c r="GV15" s="543"/>
      <c r="GW15" s="543"/>
      <c r="GX15" s="543"/>
      <c r="GY15" s="543"/>
      <c r="GZ15" s="543"/>
      <c r="HA15" s="543"/>
      <c r="HB15" s="543"/>
      <c r="HC15" s="543"/>
      <c r="HD15" s="543"/>
      <c r="HE15" s="543"/>
      <c r="HF15" s="543"/>
      <c r="HG15" s="543"/>
      <c r="HH15" s="543"/>
      <c r="HI15" s="543"/>
      <c r="HJ15" s="543"/>
      <c r="HK15" s="543"/>
      <c r="HL15" s="543"/>
      <c r="HM15" s="543"/>
      <c r="HN15" s="543"/>
      <c r="HO15" s="543"/>
      <c r="HP15" s="543"/>
      <c r="HQ15" s="543"/>
      <c r="HR15" s="543"/>
      <c r="HS15" s="543"/>
      <c r="HT15" s="543"/>
      <c r="HU15" s="543"/>
      <c r="HV15" s="543"/>
      <c r="HW15" s="543"/>
      <c r="HX15" s="543"/>
      <c r="HY15" s="543"/>
      <c r="HZ15" s="543"/>
      <c r="IA15" s="543"/>
      <c r="IB15" s="543"/>
      <c r="IC15" s="543"/>
      <c r="ID15" s="543"/>
      <c r="IE15" s="543"/>
      <c r="IF15" s="543"/>
      <c r="IG15" s="543"/>
      <c r="IH15" s="543"/>
      <c r="II15" s="543"/>
      <c r="IJ15" s="543"/>
      <c r="IK15" s="543"/>
      <c r="IL15" s="543"/>
      <c r="IM15" s="543"/>
      <c r="IN15" s="543"/>
      <c r="IO15" s="543"/>
      <c r="IP15" s="543"/>
      <c r="IQ15" s="543"/>
      <c r="IR15" s="543"/>
      <c r="IS15" s="543"/>
      <c r="IT15" s="543"/>
      <c r="IU15" s="543"/>
    </row>
    <row r="16" spans="1:255">
      <c r="A16" s="555"/>
      <c r="B16" s="555"/>
      <c r="C16" s="555"/>
      <c r="D16" s="555"/>
      <c r="E16" s="555"/>
      <c r="F16" s="555"/>
      <c r="G16" s="555"/>
      <c r="H16" s="555"/>
      <c r="I16" s="555"/>
      <c r="J16" s="555"/>
      <c r="K16" s="555"/>
      <c r="L16" s="555"/>
      <c r="M16" s="555"/>
      <c r="N16" s="555"/>
      <c r="O16" s="555"/>
      <c r="P16" s="555"/>
      <c r="Q16" s="555"/>
      <c r="R16" s="555"/>
      <c r="S16" s="555"/>
      <c r="T16" s="555"/>
      <c r="U16" s="555"/>
      <c r="V16" s="555"/>
      <c r="W16" s="543"/>
      <c r="X16" s="543"/>
      <c r="Y16" s="543"/>
      <c r="Z16" s="543"/>
      <c r="AA16" s="543"/>
      <c r="AB16" s="543"/>
      <c r="AC16" s="543"/>
      <c r="AD16" s="543"/>
      <c r="AE16" s="543"/>
      <c r="AF16" s="543"/>
      <c r="AG16" s="543"/>
      <c r="AH16" s="543"/>
      <c r="AI16" s="543"/>
      <c r="AJ16" s="543"/>
      <c r="AK16" s="543"/>
      <c r="AL16" s="543"/>
      <c r="AM16" s="543"/>
      <c r="AN16" s="543"/>
      <c r="AO16" s="543"/>
      <c r="AP16" s="543"/>
      <c r="AQ16" s="543"/>
      <c r="AR16" s="543"/>
      <c r="AS16" s="543"/>
      <c r="AT16" s="543"/>
      <c r="AU16" s="543"/>
      <c r="AV16" s="543"/>
      <c r="AW16" s="543"/>
      <c r="AX16" s="543"/>
      <c r="AY16" s="543"/>
      <c r="AZ16" s="543"/>
      <c r="BA16" s="543"/>
      <c r="BB16" s="543"/>
      <c r="BC16" s="543"/>
      <c r="BD16" s="543"/>
      <c r="BE16" s="543"/>
      <c r="BF16" s="543"/>
      <c r="BG16" s="543"/>
      <c r="BH16" s="543"/>
      <c r="BI16" s="543"/>
      <c r="BJ16" s="543"/>
      <c r="BK16" s="543"/>
      <c r="BL16" s="543"/>
      <c r="BM16" s="543"/>
      <c r="BN16" s="543"/>
      <c r="BO16" s="543"/>
      <c r="BP16" s="543"/>
      <c r="BQ16" s="543"/>
      <c r="BR16" s="543"/>
      <c r="BS16" s="543"/>
      <c r="BT16" s="543"/>
      <c r="BU16" s="543"/>
      <c r="BV16" s="543"/>
      <c r="BW16" s="543"/>
      <c r="BX16" s="543"/>
      <c r="BY16" s="543"/>
      <c r="BZ16" s="543"/>
      <c r="CA16" s="543"/>
      <c r="CB16" s="543"/>
      <c r="CC16" s="543"/>
      <c r="CD16" s="543"/>
      <c r="CE16" s="543"/>
      <c r="CF16" s="543"/>
      <c r="CG16" s="543"/>
      <c r="CH16" s="543"/>
      <c r="CI16" s="543"/>
      <c r="CJ16" s="543"/>
      <c r="CK16" s="543"/>
      <c r="CL16" s="543"/>
      <c r="CM16" s="543"/>
      <c r="CN16" s="543"/>
      <c r="CO16" s="543"/>
      <c r="CP16" s="543"/>
      <c r="CQ16" s="543"/>
      <c r="CR16" s="543"/>
      <c r="CS16" s="543"/>
      <c r="CT16" s="543"/>
      <c r="CU16" s="543"/>
      <c r="CV16" s="543"/>
      <c r="CW16" s="543"/>
      <c r="CX16" s="543"/>
      <c r="CY16" s="543"/>
      <c r="CZ16" s="543"/>
      <c r="DA16" s="543"/>
      <c r="DB16" s="543"/>
      <c r="DC16" s="543"/>
      <c r="DD16" s="543"/>
      <c r="DE16" s="543"/>
      <c r="DF16" s="543"/>
      <c r="DG16" s="543"/>
      <c r="DH16" s="543"/>
      <c r="DI16" s="543"/>
      <c r="DJ16" s="543"/>
      <c r="DK16" s="543"/>
      <c r="DL16" s="543"/>
      <c r="DM16" s="543"/>
      <c r="DN16" s="543"/>
      <c r="DO16" s="543"/>
      <c r="DP16" s="543"/>
      <c r="DQ16" s="543"/>
      <c r="DR16" s="543"/>
      <c r="DS16" s="543"/>
      <c r="DT16" s="543"/>
      <c r="DU16" s="543"/>
      <c r="DV16" s="543"/>
      <c r="DW16" s="543"/>
      <c r="DX16" s="543"/>
      <c r="DY16" s="543"/>
      <c r="DZ16" s="543"/>
      <c r="EA16" s="543"/>
      <c r="EB16" s="543"/>
      <c r="EC16" s="543"/>
      <c r="ED16" s="543"/>
      <c r="EE16" s="543"/>
      <c r="EF16" s="543"/>
      <c r="EG16" s="543"/>
      <c r="EH16" s="543"/>
      <c r="EI16" s="543"/>
      <c r="EJ16" s="543"/>
      <c r="EK16" s="543"/>
      <c r="EL16" s="543"/>
      <c r="EM16" s="543"/>
      <c r="EN16" s="543"/>
      <c r="EO16" s="543"/>
      <c r="EP16" s="543"/>
      <c r="EQ16" s="543"/>
      <c r="ER16" s="543"/>
      <c r="ES16" s="543"/>
      <c r="ET16" s="543"/>
      <c r="EU16" s="543"/>
      <c r="EV16" s="543"/>
      <c r="EW16" s="543"/>
      <c r="EX16" s="543"/>
      <c r="EY16" s="543"/>
      <c r="EZ16" s="543"/>
      <c r="FA16" s="543"/>
      <c r="FB16" s="543"/>
      <c r="FC16" s="543"/>
      <c r="FD16" s="543"/>
      <c r="FE16" s="543"/>
      <c r="FF16" s="543"/>
      <c r="FG16" s="543"/>
      <c r="FH16" s="543"/>
      <c r="FI16" s="543"/>
      <c r="FJ16" s="543"/>
      <c r="FK16" s="543"/>
      <c r="FL16" s="543"/>
      <c r="FM16" s="543"/>
      <c r="FN16" s="543"/>
      <c r="FO16" s="543"/>
      <c r="FP16" s="543"/>
      <c r="FQ16" s="543"/>
      <c r="FR16" s="543"/>
      <c r="FS16" s="543"/>
      <c r="FT16" s="543"/>
      <c r="FU16" s="543"/>
      <c r="FV16" s="543"/>
      <c r="FW16" s="543"/>
      <c r="FX16" s="543"/>
      <c r="FY16" s="543"/>
      <c r="FZ16" s="543"/>
      <c r="GA16" s="543"/>
      <c r="GB16" s="543"/>
      <c r="GC16" s="543"/>
      <c r="GD16" s="543"/>
      <c r="GE16" s="543"/>
      <c r="GF16" s="543"/>
      <c r="GG16" s="543"/>
      <c r="GH16" s="543"/>
      <c r="GI16" s="543"/>
      <c r="GJ16" s="543"/>
      <c r="GK16" s="543"/>
      <c r="GL16" s="543"/>
      <c r="GM16" s="543"/>
      <c r="GN16" s="543"/>
      <c r="GO16" s="543"/>
      <c r="GP16" s="543"/>
      <c r="GQ16" s="543"/>
      <c r="GR16" s="543"/>
      <c r="GS16" s="543"/>
      <c r="GT16" s="543"/>
      <c r="GU16" s="543"/>
      <c r="GV16" s="543"/>
      <c r="GW16" s="543"/>
      <c r="GX16" s="543"/>
      <c r="GY16" s="543"/>
      <c r="GZ16" s="543"/>
      <c r="HA16" s="543"/>
      <c r="HB16" s="543"/>
      <c r="HC16" s="543"/>
      <c r="HD16" s="543"/>
      <c r="HE16" s="543"/>
      <c r="HF16" s="543"/>
      <c r="HG16" s="543"/>
      <c r="HH16" s="543"/>
      <c r="HI16" s="543"/>
      <c r="HJ16" s="543"/>
      <c r="HK16" s="543"/>
      <c r="HL16" s="543"/>
      <c r="HM16" s="543"/>
      <c r="HN16" s="543"/>
      <c r="HO16" s="543"/>
      <c r="HP16" s="543"/>
      <c r="HQ16" s="543"/>
      <c r="HR16" s="543"/>
      <c r="HS16" s="543"/>
      <c r="HT16" s="543"/>
      <c r="HU16" s="543"/>
      <c r="HV16" s="543"/>
      <c r="HW16" s="543"/>
      <c r="HX16" s="543"/>
      <c r="HY16" s="543"/>
      <c r="HZ16" s="543"/>
      <c r="IA16" s="543"/>
      <c r="IB16" s="543"/>
      <c r="IC16" s="543"/>
      <c r="ID16" s="543"/>
      <c r="IE16" s="543"/>
      <c r="IF16" s="543"/>
      <c r="IG16" s="543"/>
      <c r="IH16" s="543"/>
      <c r="II16" s="543"/>
      <c r="IJ16" s="543"/>
      <c r="IK16" s="543"/>
      <c r="IL16" s="543"/>
      <c r="IM16" s="543"/>
      <c r="IN16" s="543"/>
      <c r="IO16" s="543"/>
      <c r="IP16" s="543"/>
      <c r="IQ16" s="543"/>
      <c r="IR16" s="543"/>
      <c r="IS16" s="543"/>
      <c r="IT16" s="543"/>
      <c r="IU16" s="543"/>
    </row>
    <row r="17" spans="1:255">
      <c r="A17" s="560" t="s">
        <v>379</v>
      </c>
      <c r="B17" s="555"/>
      <c r="C17" s="555"/>
      <c r="D17" s="555"/>
      <c r="E17" s="555"/>
      <c r="F17" s="555"/>
      <c r="G17" s="555"/>
      <c r="H17" s="555"/>
      <c r="I17" s="555"/>
      <c r="J17" s="555"/>
      <c r="K17" s="555"/>
      <c r="L17" s="555"/>
      <c r="M17" s="555"/>
      <c r="N17" s="555"/>
      <c r="O17" s="555"/>
      <c r="P17" s="555"/>
      <c r="Q17" s="555"/>
      <c r="R17" s="555"/>
      <c r="S17" s="555"/>
      <c r="T17" s="555"/>
      <c r="U17" s="555"/>
      <c r="V17" s="555"/>
      <c r="W17" s="543"/>
      <c r="X17" s="543"/>
      <c r="Y17" s="543"/>
      <c r="Z17" s="543"/>
      <c r="AA17" s="543"/>
      <c r="AB17" s="543"/>
      <c r="AC17" s="543"/>
      <c r="AD17" s="543"/>
      <c r="AE17" s="543"/>
      <c r="AF17" s="543"/>
      <c r="AG17" s="543"/>
      <c r="AH17" s="543"/>
      <c r="AI17" s="543"/>
      <c r="AJ17" s="543"/>
      <c r="AK17" s="543"/>
      <c r="AL17" s="543"/>
      <c r="AM17" s="543"/>
      <c r="AN17" s="543"/>
      <c r="AO17" s="543"/>
      <c r="AP17" s="543"/>
      <c r="AQ17" s="543"/>
      <c r="AR17" s="543"/>
      <c r="AS17" s="543"/>
      <c r="AT17" s="543"/>
      <c r="AU17" s="543"/>
      <c r="AV17" s="543"/>
      <c r="AW17" s="543"/>
      <c r="AX17" s="543"/>
      <c r="AY17" s="543"/>
      <c r="AZ17" s="543"/>
      <c r="BA17" s="543"/>
      <c r="BB17" s="543"/>
      <c r="BC17" s="543"/>
      <c r="BD17" s="543"/>
      <c r="BE17" s="543"/>
      <c r="BF17" s="543"/>
      <c r="BG17" s="543"/>
      <c r="BH17" s="543"/>
      <c r="BI17" s="543"/>
      <c r="BJ17" s="543"/>
      <c r="BK17" s="543"/>
      <c r="BL17" s="543"/>
      <c r="BM17" s="543"/>
      <c r="BN17" s="543"/>
      <c r="BO17" s="543"/>
      <c r="BP17" s="543"/>
      <c r="BQ17" s="543"/>
      <c r="BR17" s="543"/>
      <c r="BS17" s="543"/>
      <c r="BT17" s="543"/>
      <c r="BU17" s="543"/>
      <c r="BV17" s="543"/>
      <c r="BW17" s="543"/>
      <c r="BX17" s="543"/>
      <c r="BY17" s="543"/>
      <c r="BZ17" s="543"/>
      <c r="CA17" s="543"/>
      <c r="CB17" s="543"/>
      <c r="CC17" s="543"/>
      <c r="CD17" s="543"/>
      <c r="CE17" s="543"/>
      <c r="CF17" s="543"/>
      <c r="CG17" s="543"/>
      <c r="CH17" s="543"/>
      <c r="CI17" s="543"/>
      <c r="CJ17" s="543"/>
      <c r="CK17" s="543"/>
      <c r="CL17" s="543"/>
      <c r="CM17" s="543"/>
      <c r="CN17" s="543"/>
      <c r="CO17" s="543"/>
      <c r="CP17" s="543"/>
      <c r="CQ17" s="543"/>
      <c r="CR17" s="543"/>
      <c r="CS17" s="543"/>
      <c r="CT17" s="543"/>
      <c r="CU17" s="543"/>
      <c r="CV17" s="543"/>
      <c r="CW17" s="543"/>
      <c r="CX17" s="543"/>
      <c r="CY17" s="543"/>
      <c r="CZ17" s="543"/>
      <c r="DA17" s="543"/>
      <c r="DB17" s="543"/>
      <c r="DC17" s="543"/>
      <c r="DD17" s="543"/>
      <c r="DE17" s="543"/>
      <c r="DF17" s="543"/>
      <c r="DG17" s="543"/>
      <c r="DH17" s="543"/>
      <c r="DI17" s="543"/>
      <c r="DJ17" s="543"/>
      <c r="DK17" s="543"/>
      <c r="DL17" s="543"/>
      <c r="DM17" s="543"/>
      <c r="DN17" s="543"/>
      <c r="DO17" s="543"/>
      <c r="DP17" s="543"/>
      <c r="DQ17" s="543"/>
      <c r="DR17" s="543"/>
      <c r="DS17" s="543"/>
      <c r="DT17" s="543"/>
      <c r="DU17" s="543"/>
      <c r="DV17" s="543"/>
      <c r="DW17" s="543"/>
      <c r="DX17" s="543"/>
      <c r="DY17" s="543"/>
      <c r="DZ17" s="543"/>
      <c r="EA17" s="543"/>
      <c r="EB17" s="543"/>
      <c r="EC17" s="543"/>
      <c r="ED17" s="543"/>
      <c r="EE17" s="543"/>
      <c r="EF17" s="543"/>
      <c r="EG17" s="543"/>
      <c r="EH17" s="543"/>
      <c r="EI17" s="543"/>
      <c r="EJ17" s="543"/>
      <c r="EK17" s="543"/>
      <c r="EL17" s="543"/>
      <c r="EM17" s="543"/>
      <c r="EN17" s="543"/>
      <c r="EO17" s="543"/>
      <c r="EP17" s="543"/>
      <c r="EQ17" s="543"/>
      <c r="ER17" s="543"/>
      <c r="ES17" s="543"/>
      <c r="ET17" s="543"/>
      <c r="EU17" s="543"/>
      <c r="EV17" s="543"/>
      <c r="EW17" s="543"/>
      <c r="EX17" s="543"/>
      <c r="EY17" s="543"/>
      <c r="EZ17" s="543"/>
      <c r="FA17" s="543"/>
      <c r="FB17" s="543"/>
      <c r="FC17" s="543"/>
      <c r="FD17" s="543"/>
      <c r="FE17" s="543"/>
      <c r="FF17" s="543"/>
      <c r="FG17" s="543"/>
      <c r="FH17" s="543"/>
      <c r="FI17" s="543"/>
      <c r="FJ17" s="543"/>
      <c r="FK17" s="543"/>
      <c r="FL17" s="543"/>
      <c r="FM17" s="543"/>
      <c r="FN17" s="543"/>
      <c r="FO17" s="543"/>
      <c r="FP17" s="543"/>
      <c r="FQ17" s="543"/>
      <c r="FR17" s="543"/>
      <c r="FS17" s="543"/>
      <c r="FT17" s="543"/>
      <c r="FU17" s="543"/>
      <c r="FV17" s="543"/>
      <c r="FW17" s="543"/>
      <c r="FX17" s="543"/>
      <c r="FY17" s="543"/>
      <c r="FZ17" s="543"/>
      <c r="GA17" s="543"/>
      <c r="GB17" s="543"/>
      <c r="GC17" s="543"/>
      <c r="GD17" s="543"/>
      <c r="GE17" s="543"/>
      <c r="GF17" s="543"/>
      <c r="GG17" s="543"/>
      <c r="GH17" s="543"/>
      <c r="GI17" s="543"/>
      <c r="GJ17" s="543"/>
      <c r="GK17" s="543"/>
      <c r="GL17" s="543"/>
      <c r="GM17" s="543"/>
      <c r="GN17" s="543"/>
      <c r="GO17" s="543"/>
      <c r="GP17" s="543"/>
      <c r="GQ17" s="543"/>
      <c r="GR17" s="543"/>
      <c r="GS17" s="543"/>
      <c r="GT17" s="543"/>
      <c r="GU17" s="543"/>
      <c r="GV17" s="543"/>
      <c r="GW17" s="543"/>
      <c r="GX17" s="543"/>
      <c r="GY17" s="543"/>
      <c r="GZ17" s="543"/>
      <c r="HA17" s="543"/>
      <c r="HB17" s="543"/>
      <c r="HC17" s="543"/>
      <c r="HD17" s="543"/>
      <c r="HE17" s="543"/>
      <c r="HF17" s="543"/>
      <c r="HG17" s="543"/>
      <c r="HH17" s="543"/>
      <c r="HI17" s="543"/>
      <c r="HJ17" s="543"/>
      <c r="HK17" s="543"/>
      <c r="HL17" s="543"/>
      <c r="HM17" s="543"/>
      <c r="HN17" s="543"/>
      <c r="HO17" s="543"/>
      <c r="HP17" s="543"/>
      <c r="HQ17" s="543"/>
      <c r="HR17" s="543"/>
      <c r="HS17" s="543"/>
      <c r="HT17" s="543"/>
      <c r="HU17" s="543"/>
      <c r="HV17" s="543"/>
      <c r="HW17" s="543"/>
      <c r="HX17" s="543"/>
      <c r="HY17" s="543"/>
      <c r="HZ17" s="543"/>
      <c r="IA17" s="543"/>
      <c r="IB17" s="543"/>
      <c r="IC17" s="543"/>
      <c r="ID17" s="543"/>
      <c r="IE17" s="543"/>
      <c r="IF17" s="543"/>
      <c r="IG17" s="543"/>
      <c r="IH17" s="543"/>
      <c r="II17" s="543"/>
      <c r="IJ17" s="543"/>
      <c r="IK17" s="543"/>
      <c r="IL17" s="543"/>
      <c r="IM17" s="543"/>
      <c r="IN17" s="543"/>
      <c r="IO17" s="543"/>
      <c r="IP17" s="543"/>
      <c r="IQ17" s="543"/>
      <c r="IR17" s="543"/>
      <c r="IS17" s="543"/>
      <c r="IT17" s="543"/>
      <c r="IU17" s="543"/>
    </row>
    <row r="18" spans="1:255">
      <c r="A18" s="543" t="s">
        <v>380</v>
      </c>
      <c r="B18" s="555"/>
      <c r="C18" s="561">
        <v>0</v>
      </c>
      <c r="D18" s="561">
        <f t="shared" ref="D18:V18" ca="1" si="2">C21</f>
        <v>80.186761747947571</v>
      </c>
      <c r="E18" s="561">
        <f t="shared" ca="1" si="2"/>
        <v>0</v>
      </c>
      <c r="F18" s="561">
        <f t="shared" ca="1" si="2"/>
        <v>0</v>
      </c>
      <c r="G18" s="561">
        <f t="shared" ca="1" si="2"/>
        <v>0</v>
      </c>
      <c r="H18" s="561">
        <f t="shared" ca="1" si="2"/>
        <v>0</v>
      </c>
      <c r="I18" s="561">
        <f t="shared" ca="1" si="2"/>
        <v>0</v>
      </c>
      <c r="J18" s="561">
        <f t="shared" ca="1" si="2"/>
        <v>0</v>
      </c>
      <c r="K18" s="561">
        <f t="shared" ca="1" si="2"/>
        <v>0</v>
      </c>
      <c r="L18" s="561">
        <f t="shared" ca="1" si="2"/>
        <v>0</v>
      </c>
      <c r="M18" s="561">
        <f t="shared" ca="1" si="2"/>
        <v>0</v>
      </c>
      <c r="N18" s="561">
        <f t="shared" ca="1" si="2"/>
        <v>0</v>
      </c>
      <c r="O18" s="561">
        <f t="shared" ca="1" si="2"/>
        <v>0</v>
      </c>
      <c r="P18" s="561">
        <f t="shared" ca="1" si="2"/>
        <v>0</v>
      </c>
      <c r="Q18" s="561">
        <f t="shared" ca="1" si="2"/>
        <v>0</v>
      </c>
      <c r="R18" s="561">
        <f t="shared" ca="1" si="2"/>
        <v>0</v>
      </c>
      <c r="S18" s="561">
        <f t="shared" ca="1" si="2"/>
        <v>0</v>
      </c>
      <c r="T18" s="561">
        <f t="shared" ca="1" si="2"/>
        <v>0</v>
      </c>
      <c r="U18" s="561">
        <f t="shared" ca="1" si="2"/>
        <v>0</v>
      </c>
      <c r="V18" s="561">
        <f t="shared" ca="1" si="2"/>
        <v>0</v>
      </c>
      <c r="W18" s="543"/>
      <c r="X18" s="543"/>
      <c r="Y18" s="543"/>
      <c r="Z18" s="543"/>
      <c r="AA18" s="543"/>
      <c r="AB18" s="543"/>
      <c r="AC18" s="543"/>
      <c r="AD18" s="543"/>
      <c r="AE18" s="543"/>
      <c r="AF18" s="543"/>
      <c r="AG18" s="543"/>
      <c r="AH18" s="543"/>
      <c r="AI18" s="543"/>
      <c r="AJ18" s="543"/>
      <c r="AK18" s="543"/>
      <c r="AL18" s="543"/>
      <c r="AM18" s="543"/>
      <c r="AN18" s="543"/>
      <c r="AO18" s="543"/>
      <c r="AP18" s="543"/>
      <c r="AQ18" s="543"/>
      <c r="AR18" s="543"/>
      <c r="AS18" s="543"/>
      <c r="AT18" s="543"/>
      <c r="AU18" s="543"/>
      <c r="AV18" s="543"/>
      <c r="AW18" s="543"/>
      <c r="AX18" s="543"/>
      <c r="AY18" s="543"/>
      <c r="AZ18" s="543"/>
      <c r="BA18" s="543"/>
      <c r="BB18" s="543"/>
      <c r="BC18" s="543"/>
      <c r="BD18" s="543"/>
      <c r="BE18" s="543"/>
      <c r="BF18" s="543"/>
      <c r="BG18" s="543"/>
      <c r="BH18" s="543"/>
      <c r="BI18" s="543"/>
      <c r="BJ18" s="543"/>
      <c r="BK18" s="543"/>
      <c r="BL18" s="543"/>
      <c r="BM18" s="543"/>
      <c r="BN18" s="543"/>
      <c r="BO18" s="543"/>
      <c r="BP18" s="543"/>
      <c r="BQ18" s="543"/>
      <c r="BR18" s="543"/>
      <c r="BS18" s="543"/>
      <c r="BT18" s="543"/>
      <c r="BU18" s="543"/>
      <c r="BV18" s="543"/>
      <c r="BW18" s="543"/>
      <c r="BX18" s="543"/>
      <c r="BY18" s="543"/>
      <c r="BZ18" s="543"/>
      <c r="CA18" s="543"/>
      <c r="CB18" s="543"/>
      <c r="CC18" s="543"/>
      <c r="CD18" s="543"/>
      <c r="CE18" s="543"/>
      <c r="CF18" s="543"/>
      <c r="CG18" s="543"/>
      <c r="CH18" s="543"/>
      <c r="CI18" s="543"/>
      <c r="CJ18" s="543"/>
      <c r="CK18" s="543"/>
      <c r="CL18" s="543"/>
      <c r="CM18" s="543"/>
      <c r="CN18" s="543"/>
      <c r="CO18" s="543"/>
      <c r="CP18" s="543"/>
      <c r="CQ18" s="543"/>
      <c r="CR18" s="543"/>
      <c r="CS18" s="543"/>
      <c r="CT18" s="543"/>
      <c r="CU18" s="543"/>
      <c r="CV18" s="543"/>
      <c r="CW18" s="543"/>
      <c r="CX18" s="543"/>
      <c r="CY18" s="543"/>
      <c r="CZ18" s="543"/>
      <c r="DA18" s="543"/>
      <c r="DB18" s="543"/>
      <c r="DC18" s="543"/>
      <c r="DD18" s="543"/>
      <c r="DE18" s="543"/>
      <c r="DF18" s="543"/>
      <c r="DG18" s="543"/>
      <c r="DH18" s="543"/>
      <c r="DI18" s="543"/>
      <c r="DJ18" s="543"/>
      <c r="DK18" s="543"/>
      <c r="DL18" s="543"/>
      <c r="DM18" s="543"/>
      <c r="DN18" s="543"/>
      <c r="DO18" s="543"/>
      <c r="DP18" s="543"/>
      <c r="DQ18" s="543"/>
      <c r="DR18" s="543"/>
      <c r="DS18" s="543"/>
      <c r="DT18" s="543"/>
      <c r="DU18" s="543"/>
      <c r="DV18" s="543"/>
      <c r="DW18" s="543"/>
      <c r="DX18" s="543"/>
      <c r="DY18" s="543"/>
      <c r="DZ18" s="543"/>
      <c r="EA18" s="543"/>
      <c r="EB18" s="543"/>
      <c r="EC18" s="543"/>
      <c r="ED18" s="543"/>
      <c r="EE18" s="543"/>
      <c r="EF18" s="543"/>
      <c r="EG18" s="543"/>
      <c r="EH18" s="543"/>
      <c r="EI18" s="543"/>
      <c r="EJ18" s="543"/>
      <c r="EK18" s="543"/>
      <c r="EL18" s="543"/>
      <c r="EM18" s="543"/>
      <c r="EN18" s="543"/>
      <c r="EO18" s="543"/>
      <c r="EP18" s="543"/>
      <c r="EQ18" s="543"/>
      <c r="ER18" s="543"/>
      <c r="ES18" s="543"/>
      <c r="ET18" s="543"/>
      <c r="EU18" s="543"/>
      <c r="EV18" s="543"/>
      <c r="EW18" s="543"/>
      <c r="EX18" s="543"/>
      <c r="EY18" s="543"/>
      <c r="EZ18" s="543"/>
      <c r="FA18" s="543"/>
      <c r="FB18" s="543"/>
      <c r="FC18" s="543"/>
      <c r="FD18" s="543"/>
      <c r="FE18" s="543"/>
      <c r="FF18" s="543"/>
      <c r="FG18" s="543"/>
      <c r="FH18" s="543"/>
      <c r="FI18" s="543"/>
      <c r="FJ18" s="543"/>
      <c r="FK18" s="543"/>
      <c r="FL18" s="543"/>
      <c r="FM18" s="543"/>
      <c r="FN18" s="543"/>
      <c r="FO18" s="543"/>
      <c r="FP18" s="543"/>
      <c r="FQ18" s="543"/>
      <c r="FR18" s="543"/>
      <c r="FS18" s="543"/>
      <c r="FT18" s="543"/>
      <c r="FU18" s="543"/>
      <c r="FV18" s="543"/>
      <c r="FW18" s="543"/>
      <c r="FX18" s="543"/>
      <c r="FY18" s="543"/>
      <c r="FZ18" s="543"/>
      <c r="GA18" s="543"/>
      <c r="GB18" s="543"/>
      <c r="GC18" s="543"/>
      <c r="GD18" s="543"/>
      <c r="GE18" s="543"/>
      <c r="GF18" s="543"/>
      <c r="GG18" s="543"/>
      <c r="GH18" s="543"/>
      <c r="GI18" s="543"/>
      <c r="GJ18" s="543"/>
      <c r="GK18" s="543"/>
      <c r="GL18" s="543"/>
      <c r="GM18" s="543"/>
      <c r="GN18" s="543"/>
      <c r="GO18" s="543"/>
      <c r="GP18" s="543"/>
      <c r="GQ18" s="543"/>
      <c r="GR18" s="543"/>
      <c r="GS18" s="543"/>
      <c r="GT18" s="543"/>
      <c r="GU18" s="543"/>
      <c r="GV18" s="543"/>
      <c r="GW18" s="543"/>
      <c r="GX18" s="543"/>
      <c r="GY18" s="543"/>
      <c r="GZ18" s="543"/>
      <c r="HA18" s="543"/>
      <c r="HB18" s="543"/>
      <c r="HC18" s="543"/>
      <c r="HD18" s="543"/>
      <c r="HE18" s="543"/>
      <c r="HF18" s="543"/>
      <c r="HG18" s="543"/>
      <c r="HH18" s="543"/>
      <c r="HI18" s="543"/>
      <c r="HJ18" s="543"/>
      <c r="HK18" s="543"/>
      <c r="HL18" s="543"/>
      <c r="HM18" s="543"/>
      <c r="HN18" s="543"/>
      <c r="HO18" s="543"/>
      <c r="HP18" s="543"/>
      <c r="HQ18" s="543"/>
      <c r="HR18" s="543"/>
      <c r="HS18" s="543"/>
      <c r="HT18" s="543"/>
      <c r="HU18" s="543"/>
      <c r="HV18" s="543"/>
      <c r="HW18" s="543"/>
      <c r="HX18" s="543"/>
      <c r="HY18" s="543"/>
      <c r="HZ18" s="543"/>
      <c r="IA18" s="543"/>
      <c r="IB18" s="543"/>
      <c r="IC18" s="543"/>
      <c r="ID18" s="543"/>
      <c r="IE18" s="543"/>
      <c r="IF18" s="543"/>
      <c r="IG18" s="543"/>
      <c r="IH18" s="543"/>
      <c r="II18" s="543"/>
      <c r="IJ18" s="543"/>
      <c r="IK18" s="543"/>
      <c r="IL18" s="543"/>
      <c r="IM18" s="543"/>
      <c r="IN18" s="543"/>
      <c r="IO18" s="543"/>
      <c r="IP18" s="543"/>
      <c r="IQ18" s="543"/>
      <c r="IR18" s="543"/>
      <c r="IS18" s="543"/>
      <c r="IT18" s="543"/>
      <c r="IU18" s="543"/>
    </row>
    <row r="19" spans="1:255">
      <c r="A19" s="543" t="s">
        <v>381</v>
      </c>
      <c r="B19" s="555"/>
      <c r="C19" s="561">
        <f t="shared" ref="C19:V19" ca="1" si="3">IF(C15&lt;0,-C15,0)</f>
        <v>80.186761747947571</v>
      </c>
      <c r="D19" s="561">
        <f t="shared" ca="1" si="3"/>
        <v>0</v>
      </c>
      <c r="E19" s="561">
        <f t="shared" ca="1" si="3"/>
        <v>0</v>
      </c>
      <c r="F19" s="561">
        <f t="shared" ca="1" si="3"/>
        <v>0</v>
      </c>
      <c r="G19" s="561">
        <f t="shared" ca="1" si="3"/>
        <v>0</v>
      </c>
      <c r="H19" s="561">
        <f t="shared" ca="1" si="3"/>
        <v>0</v>
      </c>
      <c r="I19" s="561">
        <f t="shared" ca="1" si="3"/>
        <v>0</v>
      </c>
      <c r="J19" s="561">
        <f t="shared" ca="1" si="3"/>
        <v>0</v>
      </c>
      <c r="K19" s="561">
        <f t="shared" ca="1" si="3"/>
        <v>0</v>
      </c>
      <c r="L19" s="561">
        <f t="shared" ca="1" si="3"/>
        <v>0</v>
      </c>
      <c r="M19" s="561">
        <f t="shared" ca="1" si="3"/>
        <v>0</v>
      </c>
      <c r="N19" s="561">
        <f t="shared" ca="1" si="3"/>
        <v>0</v>
      </c>
      <c r="O19" s="561">
        <f t="shared" ca="1" si="3"/>
        <v>0</v>
      </c>
      <c r="P19" s="561">
        <f t="shared" ca="1" si="3"/>
        <v>0</v>
      </c>
      <c r="Q19" s="561">
        <f t="shared" ca="1" si="3"/>
        <v>0</v>
      </c>
      <c r="R19" s="561">
        <f t="shared" ca="1" si="3"/>
        <v>0</v>
      </c>
      <c r="S19" s="561">
        <f t="shared" ca="1" si="3"/>
        <v>0</v>
      </c>
      <c r="T19" s="561">
        <f t="shared" ca="1" si="3"/>
        <v>0</v>
      </c>
      <c r="U19" s="561">
        <f t="shared" ca="1" si="3"/>
        <v>0</v>
      </c>
      <c r="V19" s="561">
        <f t="shared" ca="1" si="3"/>
        <v>0</v>
      </c>
      <c r="W19" s="543"/>
      <c r="X19" s="543"/>
      <c r="Y19" s="543"/>
      <c r="Z19" s="543"/>
      <c r="AA19" s="543"/>
      <c r="AB19" s="543"/>
      <c r="AC19" s="543"/>
      <c r="AD19" s="543"/>
      <c r="AE19" s="543"/>
      <c r="AF19" s="543"/>
      <c r="AG19" s="543"/>
      <c r="AH19" s="543"/>
      <c r="AI19" s="543"/>
      <c r="AJ19" s="543"/>
      <c r="AK19" s="543"/>
      <c r="AL19" s="543"/>
      <c r="AM19" s="543"/>
      <c r="AN19" s="543"/>
      <c r="AO19" s="543"/>
      <c r="AP19" s="543"/>
      <c r="AQ19" s="543"/>
      <c r="AR19" s="543"/>
      <c r="AS19" s="543"/>
      <c r="AT19" s="543"/>
      <c r="AU19" s="543"/>
      <c r="AV19" s="543"/>
      <c r="AW19" s="543"/>
      <c r="AX19" s="543"/>
      <c r="AY19" s="543"/>
      <c r="AZ19" s="543"/>
      <c r="BA19" s="543"/>
      <c r="BB19" s="543"/>
      <c r="BC19" s="543"/>
      <c r="BD19" s="543"/>
      <c r="BE19" s="543"/>
      <c r="BF19" s="543"/>
      <c r="BG19" s="543"/>
      <c r="BH19" s="543"/>
      <c r="BI19" s="543"/>
      <c r="BJ19" s="543"/>
      <c r="BK19" s="543"/>
      <c r="BL19" s="543"/>
      <c r="BM19" s="543"/>
      <c r="BN19" s="543"/>
      <c r="BO19" s="543"/>
      <c r="BP19" s="543"/>
      <c r="BQ19" s="543"/>
      <c r="BR19" s="543"/>
      <c r="BS19" s="543"/>
      <c r="BT19" s="543"/>
      <c r="BU19" s="543"/>
      <c r="BV19" s="543"/>
      <c r="BW19" s="543"/>
      <c r="BX19" s="543"/>
      <c r="BY19" s="543"/>
      <c r="BZ19" s="543"/>
      <c r="CA19" s="543"/>
      <c r="CB19" s="543"/>
      <c r="CC19" s="543"/>
      <c r="CD19" s="543"/>
      <c r="CE19" s="543"/>
      <c r="CF19" s="543"/>
      <c r="CG19" s="543"/>
      <c r="CH19" s="543"/>
      <c r="CI19" s="543"/>
      <c r="CJ19" s="543"/>
      <c r="CK19" s="543"/>
      <c r="CL19" s="543"/>
      <c r="CM19" s="543"/>
      <c r="CN19" s="543"/>
      <c r="CO19" s="543"/>
      <c r="CP19" s="543"/>
      <c r="CQ19" s="543"/>
      <c r="CR19" s="543"/>
      <c r="CS19" s="543"/>
      <c r="CT19" s="543"/>
      <c r="CU19" s="543"/>
      <c r="CV19" s="543"/>
      <c r="CW19" s="543"/>
      <c r="CX19" s="543"/>
      <c r="CY19" s="543"/>
      <c r="CZ19" s="543"/>
      <c r="DA19" s="543"/>
      <c r="DB19" s="543"/>
      <c r="DC19" s="543"/>
      <c r="DD19" s="543"/>
      <c r="DE19" s="543"/>
      <c r="DF19" s="543"/>
      <c r="DG19" s="543"/>
      <c r="DH19" s="543"/>
      <c r="DI19" s="543"/>
      <c r="DJ19" s="543"/>
      <c r="DK19" s="543"/>
      <c r="DL19" s="543"/>
      <c r="DM19" s="543"/>
      <c r="DN19" s="543"/>
      <c r="DO19" s="543"/>
      <c r="DP19" s="543"/>
      <c r="DQ19" s="543"/>
      <c r="DR19" s="543"/>
      <c r="DS19" s="543"/>
      <c r="DT19" s="543"/>
      <c r="DU19" s="543"/>
      <c r="DV19" s="543"/>
      <c r="DW19" s="543"/>
      <c r="DX19" s="543"/>
      <c r="DY19" s="543"/>
      <c r="DZ19" s="543"/>
      <c r="EA19" s="543"/>
      <c r="EB19" s="543"/>
      <c r="EC19" s="543"/>
      <c r="ED19" s="543"/>
      <c r="EE19" s="543"/>
      <c r="EF19" s="543"/>
      <c r="EG19" s="543"/>
      <c r="EH19" s="543"/>
      <c r="EI19" s="543"/>
      <c r="EJ19" s="543"/>
      <c r="EK19" s="543"/>
      <c r="EL19" s="543"/>
      <c r="EM19" s="543"/>
      <c r="EN19" s="543"/>
      <c r="EO19" s="543"/>
      <c r="EP19" s="543"/>
      <c r="EQ19" s="543"/>
      <c r="ER19" s="543"/>
      <c r="ES19" s="543"/>
      <c r="ET19" s="543"/>
      <c r="EU19" s="543"/>
      <c r="EV19" s="543"/>
      <c r="EW19" s="543"/>
      <c r="EX19" s="543"/>
      <c r="EY19" s="543"/>
      <c r="EZ19" s="543"/>
      <c r="FA19" s="543"/>
      <c r="FB19" s="543"/>
      <c r="FC19" s="543"/>
      <c r="FD19" s="543"/>
      <c r="FE19" s="543"/>
      <c r="FF19" s="543"/>
      <c r="FG19" s="543"/>
      <c r="FH19" s="543"/>
      <c r="FI19" s="543"/>
      <c r="FJ19" s="543"/>
      <c r="FK19" s="543"/>
      <c r="FL19" s="543"/>
      <c r="FM19" s="543"/>
      <c r="FN19" s="543"/>
      <c r="FO19" s="543"/>
      <c r="FP19" s="543"/>
      <c r="FQ19" s="543"/>
      <c r="FR19" s="543"/>
      <c r="FS19" s="543"/>
      <c r="FT19" s="543"/>
      <c r="FU19" s="543"/>
      <c r="FV19" s="543"/>
      <c r="FW19" s="543"/>
      <c r="FX19" s="543"/>
      <c r="FY19" s="543"/>
      <c r="FZ19" s="543"/>
      <c r="GA19" s="543"/>
      <c r="GB19" s="543"/>
      <c r="GC19" s="543"/>
      <c r="GD19" s="543"/>
      <c r="GE19" s="543"/>
      <c r="GF19" s="543"/>
      <c r="GG19" s="543"/>
      <c r="GH19" s="543"/>
      <c r="GI19" s="543"/>
      <c r="GJ19" s="543"/>
      <c r="GK19" s="543"/>
      <c r="GL19" s="543"/>
      <c r="GM19" s="543"/>
      <c r="GN19" s="543"/>
      <c r="GO19" s="543"/>
      <c r="GP19" s="543"/>
      <c r="GQ19" s="543"/>
      <c r="GR19" s="543"/>
      <c r="GS19" s="543"/>
      <c r="GT19" s="543"/>
      <c r="GU19" s="543"/>
      <c r="GV19" s="543"/>
      <c r="GW19" s="543"/>
      <c r="GX19" s="543"/>
      <c r="GY19" s="543"/>
      <c r="GZ19" s="543"/>
      <c r="HA19" s="543"/>
      <c r="HB19" s="543"/>
      <c r="HC19" s="543"/>
      <c r="HD19" s="543"/>
      <c r="HE19" s="543"/>
      <c r="HF19" s="543"/>
      <c r="HG19" s="543"/>
      <c r="HH19" s="543"/>
      <c r="HI19" s="543"/>
      <c r="HJ19" s="543"/>
      <c r="HK19" s="543"/>
      <c r="HL19" s="543"/>
      <c r="HM19" s="543"/>
      <c r="HN19" s="543"/>
      <c r="HO19" s="543"/>
      <c r="HP19" s="543"/>
      <c r="HQ19" s="543"/>
      <c r="HR19" s="543"/>
      <c r="HS19" s="543"/>
      <c r="HT19" s="543"/>
      <c r="HU19" s="543"/>
      <c r="HV19" s="543"/>
      <c r="HW19" s="543"/>
      <c r="HX19" s="543"/>
      <c r="HY19" s="543"/>
      <c r="HZ19" s="543"/>
      <c r="IA19" s="543"/>
      <c r="IB19" s="543"/>
      <c r="IC19" s="543"/>
      <c r="ID19" s="543"/>
      <c r="IE19" s="543"/>
      <c r="IF19" s="543"/>
      <c r="IG19" s="543"/>
      <c r="IH19" s="543"/>
      <c r="II19" s="543"/>
      <c r="IJ19" s="543"/>
      <c r="IK19" s="543"/>
      <c r="IL19" s="543"/>
      <c r="IM19" s="543"/>
      <c r="IN19" s="543"/>
      <c r="IO19" s="543"/>
      <c r="IP19" s="543"/>
      <c r="IQ19" s="543"/>
      <c r="IR19" s="543"/>
      <c r="IS19" s="543"/>
      <c r="IT19" s="543"/>
      <c r="IU19" s="543"/>
    </row>
    <row r="20" spans="1:255">
      <c r="A20" s="543" t="s">
        <v>382</v>
      </c>
      <c r="B20" s="555"/>
      <c r="C20" s="561">
        <f t="shared" ref="C20:V20" ca="1" si="4">IF(C15&lt;0,0,IF(C15&gt;C18,-C18,-C15))</f>
        <v>0</v>
      </c>
      <c r="D20" s="561">
        <f t="shared" ca="1" si="4"/>
        <v>-80.186761747947571</v>
      </c>
      <c r="E20" s="561">
        <f t="shared" ca="1" si="4"/>
        <v>0</v>
      </c>
      <c r="F20" s="561">
        <f t="shared" ca="1" si="4"/>
        <v>0</v>
      </c>
      <c r="G20" s="561">
        <f t="shared" ca="1" si="4"/>
        <v>0</v>
      </c>
      <c r="H20" s="561">
        <f t="shared" ca="1" si="4"/>
        <v>0</v>
      </c>
      <c r="I20" s="561">
        <f t="shared" ca="1" si="4"/>
        <v>0</v>
      </c>
      <c r="J20" s="561">
        <f t="shared" ca="1" si="4"/>
        <v>0</v>
      </c>
      <c r="K20" s="561">
        <f t="shared" ca="1" si="4"/>
        <v>0</v>
      </c>
      <c r="L20" s="561">
        <f t="shared" ca="1" si="4"/>
        <v>0</v>
      </c>
      <c r="M20" s="561">
        <f t="shared" ca="1" si="4"/>
        <v>0</v>
      </c>
      <c r="N20" s="561">
        <f t="shared" ca="1" si="4"/>
        <v>0</v>
      </c>
      <c r="O20" s="561">
        <f t="shared" ca="1" si="4"/>
        <v>0</v>
      </c>
      <c r="P20" s="561">
        <f t="shared" ca="1" si="4"/>
        <v>0</v>
      </c>
      <c r="Q20" s="561">
        <f t="shared" ca="1" si="4"/>
        <v>0</v>
      </c>
      <c r="R20" s="561">
        <f t="shared" ca="1" si="4"/>
        <v>0</v>
      </c>
      <c r="S20" s="561">
        <f t="shared" ca="1" si="4"/>
        <v>0</v>
      </c>
      <c r="T20" s="561">
        <f t="shared" ca="1" si="4"/>
        <v>0</v>
      </c>
      <c r="U20" s="561">
        <f t="shared" ca="1" si="4"/>
        <v>0</v>
      </c>
      <c r="V20" s="561">
        <f t="shared" ca="1" si="4"/>
        <v>0</v>
      </c>
      <c r="W20" s="543"/>
      <c r="X20" s="543"/>
      <c r="Y20" s="543"/>
      <c r="Z20" s="543"/>
      <c r="AA20" s="543"/>
      <c r="AB20" s="543"/>
      <c r="AC20" s="543"/>
      <c r="AD20" s="543"/>
      <c r="AE20" s="543"/>
      <c r="AF20" s="543"/>
      <c r="AG20" s="543"/>
      <c r="AH20" s="543"/>
      <c r="AI20" s="543"/>
      <c r="AJ20" s="543"/>
      <c r="AK20" s="543"/>
      <c r="AL20" s="543"/>
      <c r="AM20" s="543"/>
      <c r="AN20" s="543"/>
      <c r="AO20" s="543"/>
      <c r="AP20" s="543"/>
      <c r="AQ20" s="543"/>
      <c r="AR20" s="543"/>
      <c r="AS20" s="543"/>
      <c r="AT20" s="543"/>
      <c r="AU20" s="543"/>
      <c r="AV20" s="543"/>
      <c r="AW20" s="543"/>
      <c r="AX20" s="543"/>
      <c r="AY20" s="543"/>
      <c r="AZ20" s="543"/>
      <c r="BA20" s="543"/>
      <c r="BB20" s="543"/>
      <c r="BC20" s="543"/>
      <c r="BD20" s="543"/>
      <c r="BE20" s="543"/>
      <c r="BF20" s="543"/>
      <c r="BG20" s="543"/>
      <c r="BH20" s="543"/>
      <c r="BI20" s="543"/>
      <c r="BJ20" s="543"/>
      <c r="BK20" s="543"/>
      <c r="BL20" s="543"/>
      <c r="BM20" s="543"/>
      <c r="BN20" s="543"/>
      <c r="BO20" s="543"/>
      <c r="BP20" s="543"/>
      <c r="BQ20" s="543"/>
      <c r="BR20" s="543"/>
      <c r="BS20" s="543"/>
      <c r="BT20" s="543"/>
      <c r="BU20" s="543"/>
      <c r="BV20" s="543"/>
      <c r="BW20" s="543"/>
      <c r="BX20" s="543"/>
      <c r="BY20" s="543"/>
      <c r="BZ20" s="543"/>
      <c r="CA20" s="543"/>
      <c r="CB20" s="543"/>
      <c r="CC20" s="543"/>
      <c r="CD20" s="543"/>
      <c r="CE20" s="543"/>
      <c r="CF20" s="543"/>
      <c r="CG20" s="543"/>
      <c r="CH20" s="543"/>
      <c r="CI20" s="543"/>
      <c r="CJ20" s="543"/>
      <c r="CK20" s="543"/>
      <c r="CL20" s="543"/>
      <c r="CM20" s="543"/>
      <c r="CN20" s="543"/>
      <c r="CO20" s="543"/>
      <c r="CP20" s="543"/>
      <c r="CQ20" s="543"/>
      <c r="CR20" s="543"/>
      <c r="CS20" s="543"/>
      <c r="CT20" s="543"/>
      <c r="CU20" s="543"/>
      <c r="CV20" s="543"/>
      <c r="CW20" s="543"/>
      <c r="CX20" s="543"/>
      <c r="CY20" s="543"/>
      <c r="CZ20" s="543"/>
      <c r="DA20" s="543"/>
      <c r="DB20" s="543"/>
      <c r="DC20" s="543"/>
      <c r="DD20" s="543"/>
      <c r="DE20" s="543"/>
      <c r="DF20" s="543"/>
      <c r="DG20" s="543"/>
      <c r="DH20" s="543"/>
      <c r="DI20" s="543"/>
      <c r="DJ20" s="543"/>
      <c r="DK20" s="543"/>
      <c r="DL20" s="543"/>
      <c r="DM20" s="543"/>
      <c r="DN20" s="543"/>
      <c r="DO20" s="543"/>
      <c r="DP20" s="543"/>
      <c r="DQ20" s="543"/>
      <c r="DR20" s="543"/>
      <c r="DS20" s="543"/>
      <c r="DT20" s="543"/>
      <c r="DU20" s="543"/>
      <c r="DV20" s="543"/>
      <c r="DW20" s="543"/>
      <c r="DX20" s="543"/>
      <c r="DY20" s="543"/>
      <c r="DZ20" s="543"/>
      <c r="EA20" s="543"/>
      <c r="EB20" s="543"/>
      <c r="EC20" s="543"/>
      <c r="ED20" s="543"/>
      <c r="EE20" s="543"/>
      <c r="EF20" s="543"/>
      <c r="EG20" s="543"/>
      <c r="EH20" s="543"/>
      <c r="EI20" s="543"/>
      <c r="EJ20" s="543"/>
      <c r="EK20" s="543"/>
      <c r="EL20" s="543"/>
      <c r="EM20" s="543"/>
      <c r="EN20" s="543"/>
      <c r="EO20" s="543"/>
      <c r="EP20" s="543"/>
      <c r="EQ20" s="543"/>
      <c r="ER20" s="543"/>
      <c r="ES20" s="543"/>
      <c r="ET20" s="543"/>
      <c r="EU20" s="543"/>
      <c r="EV20" s="543"/>
      <c r="EW20" s="543"/>
      <c r="EX20" s="543"/>
      <c r="EY20" s="543"/>
      <c r="EZ20" s="543"/>
      <c r="FA20" s="543"/>
      <c r="FB20" s="543"/>
      <c r="FC20" s="543"/>
      <c r="FD20" s="543"/>
      <c r="FE20" s="543"/>
      <c r="FF20" s="543"/>
      <c r="FG20" s="543"/>
      <c r="FH20" s="543"/>
      <c r="FI20" s="543"/>
      <c r="FJ20" s="543"/>
      <c r="FK20" s="543"/>
      <c r="FL20" s="543"/>
      <c r="FM20" s="543"/>
      <c r="FN20" s="543"/>
      <c r="FO20" s="543"/>
      <c r="FP20" s="543"/>
      <c r="FQ20" s="543"/>
      <c r="FR20" s="543"/>
      <c r="FS20" s="543"/>
      <c r="FT20" s="543"/>
      <c r="FU20" s="543"/>
      <c r="FV20" s="543"/>
      <c r="FW20" s="543"/>
      <c r="FX20" s="543"/>
      <c r="FY20" s="543"/>
      <c r="FZ20" s="543"/>
      <c r="GA20" s="543"/>
      <c r="GB20" s="543"/>
      <c r="GC20" s="543"/>
      <c r="GD20" s="543"/>
      <c r="GE20" s="543"/>
      <c r="GF20" s="543"/>
      <c r="GG20" s="543"/>
      <c r="GH20" s="543"/>
      <c r="GI20" s="543"/>
      <c r="GJ20" s="543"/>
      <c r="GK20" s="543"/>
      <c r="GL20" s="543"/>
      <c r="GM20" s="543"/>
      <c r="GN20" s="543"/>
      <c r="GO20" s="543"/>
      <c r="GP20" s="543"/>
      <c r="GQ20" s="543"/>
      <c r="GR20" s="543"/>
      <c r="GS20" s="543"/>
      <c r="GT20" s="543"/>
      <c r="GU20" s="543"/>
      <c r="GV20" s="543"/>
      <c r="GW20" s="543"/>
      <c r="GX20" s="543"/>
      <c r="GY20" s="543"/>
      <c r="GZ20" s="543"/>
      <c r="HA20" s="543"/>
      <c r="HB20" s="543"/>
      <c r="HC20" s="543"/>
      <c r="HD20" s="543"/>
      <c r="HE20" s="543"/>
      <c r="HF20" s="543"/>
      <c r="HG20" s="543"/>
      <c r="HH20" s="543"/>
      <c r="HI20" s="543"/>
      <c r="HJ20" s="543"/>
      <c r="HK20" s="543"/>
      <c r="HL20" s="543"/>
      <c r="HM20" s="543"/>
      <c r="HN20" s="543"/>
      <c r="HO20" s="543"/>
      <c r="HP20" s="543"/>
      <c r="HQ20" s="543"/>
      <c r="HR20" s="543"/>
      <c r="HS20" s="543"/>
      <c r="HT20" s="543"/>
      <c r="HU20" s="543"/>
      <c r="HV20" s="543"/>
      <c r="HW20" s="543"/>
      <c r="HX20" s="543"/>
      <c r="HY20" s="543"/>
      <c r="HZ20" s="543"/>
      <c r="IA20" s="543"/>
      <c r="IB20" s="543"/>
      <c r="IC20" s="543"/>
      <c r="ID20" s="543"/>
      <c r="IE20" s="543"/>
      <c r="IF20" s="543"/>
      <c r="IG20" s="543"/>
      <c r="IH20" s="543"/>
      <c r="II20" s="543"/>
      <c r="IJ20" s="543"/>
      <c r="IK20" s="543"/>
      <c r="IL20" s="543"/>
      <c r="IM20" s="543"/>
      <c r="IN20" s="543"/>
      <c r="IO20" s="543"/>
      <c r="IP20" s="543"/>
      <c r="IQ20" s="543"/>
      <c r="IR20" s="543"/>
      <c r="IS20" s="543"/>
      <c r="IT20" s="543"/>
      <c r="IU20" s="543"/>
    </row>
    <row r="21" spans="1:255">
      <c r="A21" s="543" t="s">
        <v>383</v>
      </c>
      <c r="B21" s="555"/>
      <c r="C21" s="561">
        <f t="shared" ref="C21:V21" ca="1" si="5">C18+C19+C20</f>
        <v>80.186761747947571</v>
      </c>
      <c r="D21" s="561">
        <f t="shared" ca="1" si="5"/>
        <v>0</v>
      </c>
      <c r="E21" s="561">
        <f t="shared" ca="1" si="5"/>
        <v>0</v>
      </c>
      <c r="F21" s="561">
        <f t="shared" ca="1" si="5"/>
        <v>0</v>
      </c>
      <c r="G21" s="561">
        <f t="shared" ca="1" si="5"/>
        <v>0</v>
      </c>
      <c r="H21" s="561">
        <f t="shared" ca="1" si="5"/>
        <v>0</v>
      </c>
      <c r="I21" s="561">
        <f t="shared" ca="1" si="5"/>
        <v>0</v>
      </c>
      <c r="J21" s="561">
        <f t="shared" ca="1" si="5"/>
        <v>0</v>
      </c>
      <c r="K21" s="561">
        <f t="shared" ca="1" si="5"/>
        <v>0</v>
      </c>
      <c r="L21" s="561">
        <f t="shared" ca="1" si="5"/>
        <v>0</v>
      </c>
      <c r="M21" s="561">
        <f t="shared" ca="1" si="5"/>
        <v>0</v>
      </c>
      <c r="N21" s="561">
        <f t="shared" ca="1" si="5"/>
        <v>0</v>
      </c>
      <c r="O21" s="561">
        <f t="shared" ca="1" si="5"/>
        <v>0</v>
      </c>
      <c r="P21" s="561">
        <f t="shared" ca="1" si="5"/>
        <v>0</v>
      </c>
      <c r="Q21" s="561">
        <f t="shared" ca="1" si="5"/>
        <v>0</v>
      </c>
      <c r="R21" s="561">
        <f t="shared" ca="1" si="5"/>
        <v>0</v>
      </c>
      <c r="S21" s="561">
        <f t="shared" ca="1" si="5"/>
        <v>0</v>
      </c>
      <c r="T21" s="561">
        <f t="shared" ca="1" si="5"/>
        <v>0</v>
      </c>
      <c r="U21" s="561">
        <f t="shared" ca="1" si="5"/>
        <v>0</v>
      </c>
      <c r="V21" s="561">
        <f t="shared" ca="1" si="5"/>
        <v>0</v>
      </c>
      <c r="W21" s="543"/>
      <c r="X21" s="543"/>
      <c r="Y21" s="543"/>
      <c r="Z21" s="543"/>
      <c r="AA21" s="543"/>
      <c r="AB21" s="543"/>
      <c r="AC21" s="543"/>
      <c r="AD21" s="543"/>
      <c r="AE21" s="543"/>
      <c r="AF21" s="543"/>
      <c r="AG21" s="543"/>
      <c r="AH21" s="543"/>
      <c r="AI21" s="543"/>
      <c r="AJ21" s="543"/>
      <c r="AK21" s="543"/>
      <c r="AL21" s="543"/>
      <c r="AM21" s="543"/>
      <c r="AN21" s="543"/>
      <c r="AO21" s="543"/>
      <c r="AP21" s="543"/>
      <c r="AQ21" s="543"/>
      <c r="AR21" s="543"/>
      <c r="AS21" s="543"/>
      <c r="AT21" s="543"/>
      <c r="AU21" s="543"/>
      <c r="AV21" s="543"/>
      <c r="AW21" s="543"/>
      <c r="AX21" s="543"/>
      <c r="AY21" s="543"/>
      <c r="AZ21" s="543"/>
      <c r="BA21" s="543"/>
      <c r="BB21" s="543"/>
      <c r="BC21" s="543"/>
      <c r="BD21" s="543"/>
      <c r="BE21" s="543"/>
      <c r="BF21" s="543"/>
      <c r="BG21" s="543"/>
      <c r="BH21" s="543"/>
      <c r="BI21" s="543"/>
      <c r="BJ21" s="543"/>
      <c r="BK21" s="543"/>
      <c r="BL21" s="543"/>
      <c r="BM21" s="543"/>
      <c r="BN21" s="543"/>
      <c r="BO21" s="543"/>
      <c r="BP21" s="543"/>
      <c r="BQ21" s="543"/>
      <c r="BR21" s="543"/>
      <c r="BS21" s="543"/>
      <c r="BT21" s="543"/>
      <c r="BU21" s="543"/>
      <c r="BV21" s="543"/>
      <c r="BW21" s="543"/>
      <c r="BX21" s="543"/>
      <c r="BY21" s="543"/>
      <c r="BZ21" s="543"/>
      <c r="CA21" s="543"/>
      <c r="CB21" s="543"/>
      <c r="CC21" s="543"/>
      <c r="CD21" s="543"/>
      <c r="CE21" s="543"/>
      <c r="CF21" s="543"/>
      <c r="CG21" s="543"/>
      <c r="CH21" s="543"/>
      <c r="CI21" s="543"/>
      <c r="CJ21" s="543"/>
      <c r="CK21" s="543"/>
      <c r="CL21" s="543"/>
      <c r="CM21" s="543"/>
      <c r="CN21" s="543"/>
      <c r="CO21" s="543"/>
      <c r="CP21" s="543"/>
      <c r="CQ21" s="543"/>
      <c r="CR21" s="543"/>
      <c r="CS21" s="543"/>
      <c r="CT21" s="543"/>
      <c r="CU21" s="543"/>
      <c r="CV21" s="543"/>
      <c r="CW21" s="543"/>
      <c r="CX21" s="543"/>
      <c r="CY21" s="543"/>
      <c r="CZ21" s="543"/>
      <c r="DA21" s="543"/>
      <c r="DB21" s="543"/>
      <c r="DC21" s="543"/>
      <c r="DD21" s="543"/>
      <c r="DE21" s="543"/>
      <c r="DF21" s="543"/>
      <c r="DG21" s="543"/>
      <c r="DH21" s="543"/>
      <c r="DI21" s="543"/>
      <c r="DJ21" s="543"/>
      <c r="DK21" s="543"/>
      <c r="DL21" s="543"/>
      <c r="DM21" s="543"/>
      <c r="DN21" s="543"/>
      <c r="DO21" s="543"/>
      <c r="DP21" s="543"/>
      <c r="DQ21" s="543"/>
      <c r="DR21" s="543"/>
      <c r="DS21" s="543"/>
      <c r="DT21" s="543"/>
      <c r="DU21" s="543"/>
      <c r="DV21" s="543"/>
      <c r="DW21" s="543"/>
      <c r="DX21" s="543"/>
      <c r="DY21" s="543"/>
      <c r="DZ21" s="543"/>
      <c r="EA21" s="543"/>
      <c r="EB21" s="543"/>
      <c r="EC21" s="543"/>
      <c r="ED21" s="543"/>
      <c r="EE21" s="543"/>
      <c r="EF21" s="543"/>
      <c r="EG21" s="543"/>
      <c r="EH21" s="543"/>
      <c r="EI21" s="543"/>
      <c r="EJ21" s="543"/>
      <c r="EK21" s="543"/>
      <c r="EL21" s="543"/>
      <c r="EM21" s="543"/>
      <c r="EN21" s="543"/>
      <c r="EO21" s="543"/>
      <c r="EP21" s="543"/>
      <c r="EQ21" s="543"/>
      <c r="ER21" s="543"/>
      <c r="ES21" s="543"/>
      <c r="ET21" s="543"/>
      <c r="EU21" s="543"/>
      <c r="EV21" s="543"/>
      <c r="EW21" s="543"/>
      <c r="EX21" s="543"/>
      <c r="EY21" s="543"/>
      <c r="EZ21" s="543"/>
      <c r="FA21" s="543"/>
      <c r="FB21" s="543"/>
      <c r="FC21" s="543"/>
      <c r="FD21" s="543"/>
      <c r="FE21" s="543"/>
      <c r="FF21" s="543"/>
      <c r="FG21" s="543"/>
      <c r="FH21" s="543"/>
      <c r="FI21" s="543"/>
      <c r="FJ21" s="543"/>
      <c r="FK21" s="543"/>
      <c r="FL21" s="543"/>
      <c r="FM21" s="543"/>
      <c r="FN21" s="543"/>
      <c r="FO21" s="543"/>
      <c r="FP21" s="543"/>
      <c r="FQ21" s="543"/>
      <c r="FR21" s="543"/>
      <c r="FS21" s="543"/>
      <c r="FT21" s="543"/>
      <c r="FU21" s="543"/>
      <c r="FV21" s="543"/>
      <c r="FW21" s="543"/>
      <c r="FX21" s="543"/>
      <c r="FY21" s="543"/>
      <c r="FZ21" s="543"/>
      <c r="GA21" s="543"/>
      <c r="GB21" s="543"/>
      <c r="GC21" s="543"/>
      <c r="GD21" s="543"/>
      <c r="GE21" s="543"/>
      <c r="GF21" s="543"/>
      <c r="GG21" s="543"/>
      <c r="GH21" s="543"/>
      <c r="GI21" s="543"/>
      <c r="GJ21" s="543"/>
      <c r="GK21" s="543"/>
      <c r="GL21" s="543"/>
      <c r="GM21" s="543"/>
      <c r="GN21" s="543"/>
      <c r="GO21" s="543"/>
      <c r="GP21" s="543"/>
      <c r="GQ21" s="543"/>
      <c r="GR21" s="543"/>
      <c r="GS21" s="543"/>
      <c r="GT21" s="543"/>
      <c r="GU21" s="543"/>
      <c r="GV21" s="543"/>
      <c r="GW21" s="543"/>
      <c r="GX21" s="543"/>
      <c r="GY21" s="543"/>
      <c r="GZ21" s="543"/>
      <c r="HA21" s="543"/>
      <c r="HB21" s="543"/>
      <c r="HC21" s="543"/>
      <c r="HD21" s="543"/>
      <c r="HE21" s="543"/>
      <c r="HF21" s="543"/>
      <c r="HG21" s="543"/>
      <c r="HH21" s="543"/>
      <c r="HI21" s="543"/>
      <c r="HJ21" s="543"/>
      <c r="HK21" s="543"/>
      <c r="HL21" s="543"/>
      <c r="HM21" s="543"/>
      <c r="HN21" s="543"/>
      <c r="HO21" s="543"/>
      <c r="HP21" s="543"/>
      <c r="HQ21" s="543"/>
      <c r="HR21" s="543"/>
      <c r="HS21" s="543"/>
      <c r="HT21" s="543"/>
      <c r="HU21" s="543"/>
      <c r="HV21" s="543"/>
      <c r="HW21" s="543"/>
      <c r="HX21" s="543"/>
      <c r="HY21" s="543"/>
      <c r="HZ21" s="543"/>
      <c r="IA21" s="543"/>
      <c r="IB21" s="543"/>
      <c r="IC21" s="543"/>
      <c r="ID21" s="543"/>
      <c r="IE21" s="543"/>
      <c r="IF21" s="543"/>
      <c r="IG21" s="543"/>
      <c r="IH21" s="543"/>
      <c r="II21" s="543"/>
      <c r="IJ21" s="543"/>
      <c r="IK21" s="543"/>
      <c r="IL21" s="543"/>
      <c r="IM21" s="543"/>
      <c r="IN21" s="543"/>
      <c r="IO21" s="543"/>
      <c r="IP21" s="543"/>
      <c r="IQ21" s="543"/>
      <c r="IR21" s="543"/>
      <c r="IS21" s="543"/>
      <c r="IT21" s="543"/>
      <c r="IU21" s="543"/>
    </row>
    <row r="22" spans="1:255">
      <c r="A22" s="555"/>
      <c r="B22" s="555"/>
      <c r="C22" s="555"/>
      <c r="D22" s="555"/>
      <c r="E22" s="555"/>
      <c r="F22" s="555"/>
      <c r="G22" s="555"/>
      <c r="H22" s="555"/>
      <c r="I22" s="555"/>
      <c r="J22" s="555"/>
      <c r="K22" s="555"/>
      <c r="L22" s="555"/>
      <c r="M22" s="555"/>
      <c r="N22" s="555"/>
      <c r="O22" s="555"/>
      <c r="P22" s="555"/>
      <c r="Q22" s="555"/>
      <c r="R22" s="555"/>
      <c r="S22" s="555"/>
      <c r="T22" s="555"/>
      <c r="U22" s="555"/>
      <c r="V22" s="555"/>
      <c r="W22" s="543"/>
      <c r="X22" s="543"/>
      <c r="Y22" s="543"/>
      <c r="Z22" s="543"/>
      <c r="AA22" s="543"/>
      <c r="AB22" s="543"/>
      <c r="AC22" s="543"/>
      <c r="AD22" s="543"/>
      <c r="AE22" s="543"/>
      <c r="AF22" s="543"/>
      <c r="AG22" s="543"/>
      <c r="AH22" s="543"/>
      <c r="AI22" s="543"/>
      <c r="AJ22" s="543"/>
      <c r="AK22" s="543"/>
      <c r="AL22" s="543"/>
      <c r="AM22" s="543"/>
      <c r="AN22" s="543"/>
      <c r="AO22" s="543"/>
      <c r="AP22" s="543"/>
      <c r="AQ22" s="543"/>
      <c r="AR22" s="543"/>
      <c r="AS22" s="543"/>
      <c r="AT22" s="543"/>
      <c r="AU22" s="543"/>
      <c r="AV22" s="543"/>
      <c r="AW22" s="543"/>
      <c r="AX22" s="543"/>
      <c r="AY22" s="543"/>
      <c r="AZ22" s="543"/>
      <c r="BA22" s="543"/>
      <c r="BB22" s="543"/>
      <c r="BC22" s="543"/>
      <c r="BD22" s="543"/>
      <c r="BE22" s="543"/>
      <c r="BF22" s="543"/>
      <c r="BG22" s="543"/>
      <c r="BH22" s="543"/>
      <c r="BI22" s="543"/>
      <c r="BJ22" s="543"/>
      <c r="BK22" s="543"/>
      <c r="BL22" s="543"/>
      <c r="BM22" s="543"/>
      <c r="BN22" s="543"/>
      <c r="BO22" s="543"/>
      <c r="BP22" s="543"/>
      <c r="BQ22" s="543"/>
      <c r="BR22" s="543"/>
      <c r="BS22" s="543"/>
      <c r="BT22" s="543"/>
      <c r="BU22" s="543"/>
      <c r="BV22" s="543"/>
      <c r="BW22" s="543"/>
      <c r="BX22" s="543"/>
      <c r="BY22" s="543"/>
      <c r="BZ22" s="543"/>
      <c r="CA22" s="543"/>
      <c r="CB22" s="543"/>
      <c r="CC22" s="543"/>
      <c r="CD22" s="543"/>
      <c r="CE22" s="543"/>
      <c r="CF22" s="543"/>
      <c r="CG22" s="543"/>
      <c r="CH22" s="543"/>
      <c r="CI22" s="543"/>
      <c r="CJ22" s="543"/>
      <c r="CK22" s="543"/>
      <c r="CL22" s="543"/>
      <c r="CM22" s="543"/>
      <c r="CN22" s="543"/>
      <c r="CO22" s="543"/>
      <c r="CP22" s="543"/>
      <c r="CQ22" s="543"/>
      <c r="CR22" s="543"/>
      <c r="CS22" s="543"/>
      <c r="CT22" s="543"/>
      <c r="CU22" s="543"/>
      <c r="CV22" s="543"/>
      <c r="CW22" s="543"/>
      <c r="CX22" s="543"/>
      <c r="CY22" s="543"/>
      <c r="CZ22" s="543"/>
      <c r="DA22" s="543"/>
      <c r="DB22" s="543"/>
      <c r="DC22" s="543"/>
      <c r="DD22" s="543"/>
      <c r="DE22" s="543"/>
      <c r="DF22" s="543"/>
      <c r="DG22" s="543"/>
      <c r="DH22" s="543"/>
      <c r="DI22" s="543"/>
      <c r="DJ22" s="543"/>
      <c r="DK22" s="543"/>
      <c r="DL22" s="543"/>
      <c r="DM22" s="543"/>
      <c r="DN22" s="543"/>
      <c r="DO22" s="543"/>
      <c r="DP22" s="543"/>
      <c r="DQ22" s="543"/>
      <c r="DR22" s="543"/>
      <c r="DS22" s="543"/>
      <c r="DT22" s="543"/>
      <c r="DU22" s="543"/>
      <c r="DV22" s="543"/>
      <c r="DW22" s="543"/>
      <c r="DX22" s="543"/>
      <c r="DY22" s="543"/>
      <c r="DZ22" s="543"/>
      <c r="EA22" s="543"/>
      <c r="EB22" s="543"/>
      <c r="EC22" s="543"/>
      <c r="ED22" s="543"/>
      <c r="EE22" s="543"/>
      <c r="EF22" s="543"/>
      <c r="EG22" s="543"/>
      <c r="EH22" s="543"/>
      <c r="EI22" s="543"/>
      <c r="EJ22" s="543"/>
      <c r="EK22" s="543"/>
      <c r="EL22" s="543"/>
      <c r="EM22" s="543"/>
      <c r="EN22" s="543"/>
      <c r="EO22" s="543"/>
      <c r="EP22" s="543"/>
      <c r="EQ22" s="543"/>
      <c r="ER22" s="543"/>
      <c r="ES22" s="543"/>
      <c r="ET22" s="543"/>
      <c r="EU22" s="543"/>
      <c r="EV22" s="543"/>
      <c r="EW22" s="543"/>
      <c r="EX22" s="543"/>
      <c r="EY22" s="543"/>
      <c r="EZ22" s="543"/>
      <c r="FA22" s="543"/>
      <c r="FB22" s="543"/>
      <c r="FC22" s="543"/>
      <c r="FD22" s="543"/>
      <c r="FE22" s="543"/>
      <c r="FF22" s="543"/>
      <c r="FG22" s="543"/>
      <c r="FH22" s="543"/>
      <c r="FI22" s="543"/>
      <c r="FJ22" s="543"/>
      <c r="FK22" s="543"/>
      <c r="FL22" s="543"/>
      <c r="FM22" s="543"/>
      <c r="FN22" s="543"/>
      <c r="FO22" s="543"/>
      <c r="FP22" s="543"/>
      <c r="FQ22" s="543"/>
      <c r="FR22" s="543"/>
      <c r="FS22" s="543"/>
      <c r="FT22" s="543"/>
      <c r="FU22" s="543"/>
      <c r="FV22" s="543"/>
      <c r="FW22" s="543"/>
      <c r="FX22" s="543"/>
      <c r="FY22" s="543"/>
      <c r="FZ22" s="543"/>
      <c r="GA22" s="543"/>
      <c r="GB22" s="543"/>
      <c r="GC22" s="543"/>
      <c r="GD22" s="543"/>
      <c r="GE22" s="543"/>
      <c r="GF22" s="543"/>
      <c r="GG22" s="543"/>
      <c r="GH22" s="543"/>
      <c r="GI22" s="543"/>
      <c r="GJ22" s="543"/>
      <c r="GK22" s="543"/>
      <c r="GL22" s="543"/>
      <c r="GM22" s="543"/>
      <c r="GN22" s="543"/>
      <c r="GO22" s="543"/>
      <c r="GP22" s="543"/>
      <c r="GQ22" s="543"/>
      <c r="GR22" s="543"/>
      <c r="GS22" s="543"/>
      <c r="GT22" s="543"/>
      <c r="GU22" s="543"/>
      <c r="GV22" s="543"/>
      <c r="GW22" s="543"/>
      <c r="GX22" s="543"/>
      <c r="GY22" s="543"/>
      <c r="GZ22" s="543"/>
      <c r="HA22" s="543"/>
      <c r="HB22" s="543"/>
      <c r="HC22" s="543"/>
      <c r="HD22" s="543"/>
      <c r="HE22" s="543"/>
      <c r="HF22" s="543"/>
      <c r="HG22" s="543"/>
      <c r="HH22" s="543"/>
      <c r="HI22" s="543"/>
      <c r="HJ22" s="543"/>
      <c r="HK22" s="543"/>
      <c r="HL22" s="543"/>
      <c r="HM22" s="543"/>
      <c r="HN22" s="543"/>
      <c r="HO22" s="543"/>
      <c r="HP22" s="543"/>
      <c r="HQ22" s="543"/>
      <c r="HR22" s="543"/>
      <c r="HS22" s="543"/>
      <c r="HT22" s="543"/>
      <c r="HU22" s="543"/>
      <c r="HV22" s="543"/>
      <c r="HW22" s="543"/>
      <c r="HX22" s="543"/>
      <c r="HY22" s="543"/>
      <c r="HZ22" s="543"/>
      <c r="IA22" s="543"/>
      <c r="IB22" s="543"/>
      <c r="IC22" s="543"/>
      <c r="ID22" s="543"/>
      <c r="IE22" s="543"/>
      <c r="IF22" s="543"/>
      <c r="IG22" s="543"/>
      <c r="IH22" s="543"/>
      <c r="II22" s="543"/>
      <c r="IJ22" s="543"/>
      <c r="IK22" s="543"/>
      <c r="IL22" s="543"/>
      <c r="IM22" s="543"/>
      <c r="IN22" s="543"/>
      <c r="IO22" s="543"/>
      <c r="IP22" s="543"/>
      <c r="IQ22" s="543"/>
      <c r="IR22" s="543"/>
      <c r="IS22" s="543"/>
      <c r="IT22" s="543"/>
      <c r="IU22" s="543"/>
    </row>
    <row r="23" spans="1:255">
      <c r="A23" s="554" t="s">
        <v>384</v>
      </c>
      <c r="B23" s="554"/>
      <c r="C23" s="562">
        <f t="shared" ref="C23:V23" ca="1" si="6">IF(C15&lt;0,0,C15+C20)</f>
        <v>0</v>
      </c>
      <c r="D23" s="562">
        <f t="shared" ca="1" si="6"/>
        <v>3833.880251712495</v>
      </c>
      <c r="E23" s="562">
        <f t="shared" ca="1" si="6"/>
        <v>4413.1346334059235</v>
      </c>
      <c r="F23" s="562">
        <f t="shared" ca="1" si="6"/>
        <v>7024.5459673557007</v>
      </c>
      <c r="G23" s="562">
        <f t="shared" ca="1" si="6"/>
        <v>8859.4849887294931</v>
      </c>
      <c r="H23" s="562">
        <f t="shared" ca="1" si="6"/>
        <v>4302.4524350004785</v>
      </c>
      <c r="I23" s="562">
        <f t="shared" ca="1" si="6"/>
        <v>11441.492092748769</v>
      </c>
      <c r="J23" s="562">
        <f t="shared" ca="1" si="6"/>
        <v>19141.384806060742</v>
      </c>
      <c r="K23" s="562">
        <f t="shared" ca="1" si="6"/>
        <v>20224.138493882496</v>
      </c>
      <c r="L23" s="562">
        <f t="shared" ca="1" si="6"/>
        <v>18898.792376789526</v>
      </c>
      <c r="M23" s="562">
        <f t="shared" ca="1" si="6"/>
        <v>20186.976056981792</v>
      </c>
      <c r="N23" s="562">
        <f t="shared" ca="1" si="6"/>
        <v>19181.919994451204</v>
      </c>
      <c r="O23" s="562">
        <f t="shared" ca="1" si="6"/>
        <v>18708.992969283045</v>
      </c>
      <c r="P23" s="562">
        <f t="shared" ca="1" si="6"/>
        <v>16429.575907516373</v>
      </c>
      <c r="Q23" s="562">
        <f t="shared" ca="1" si="6"/>
        <v>22099.453325578917</v>
      </c>
      <c r="R23" s="562">
        <f t="shared" ca="1" si="6"/>
        <v>32175.328052848607</v>
      </c>
      <c r="S23" s="562">
        <f t="shared" ca="1" si="6"/>
        <v>41958.160497413133</v>
      </c>
      <c r="T23" s="562">
        <f t="shared" ca="1" si="6"/>
        <v>42522.964996866715</v>
      </c>
      <c r="U23" s="562">
        <f t="shared" ca="1" si="6"/>
        <v>44427.895995475526</v>
      </c>
      <c r="V23" s="562">
        <f t="shared" ca="1" si="6"/>
        <v>36745.740547780384</v>
      </c>
      <c r="W23" s="543"/>
      <c r="X23" s="543"/>
      <c r="Y23" s="543"/>
      <c r="Z23" s="543"/>
      <c r="AA23" s="543"/>
      <c r="AB23" s="543"/>
      <c r="AC23" s="543"/>
      <c r="AD23" s="543"/>
      <c r="AE23" s="543"/>
      <c r="AF23" s="543"/>
      <c r="AG23" s="543"/>
      <c r="AH23" s="543"/>
      <c r="AI23" s="543"/>
      <c r="AJ23" s="543"/>
      <c r="AK23" s="543"/>
      <c r="AL23" s="543"/>
      <c r="AM23" s="543"/>
      <c r="AN23" s="543"/>
      <c r="AO23" s="543"/>
      <c r="AP23" s="543"/>
      <c r="AQ23" s="543"/>
      <c r="AR23" s="543"/>
      <c r="AS23" s="543"/>
      <c r="AT23" s="543"/>
      <c r="AU23" s="543"/>
      <c r="AV23" s="543"/>
      <c r="AW23" s="543"/>
      <c r="AX23" s="543"/>
      <c r="AY23" s="543"/>
      <c r="AZ23" s="543"/>
      <c r="BA23" s="543"/>
      <c r="BB23" s="543"/>
      <c r="BC23" s="543"/>
      <c r="BD23" s="543"/>
      <c r="BE23" s="543"/>
      <c r="BF23" s="543"/>
      <c r="BG23" s="543"/>
      <c r="BH23" s="543"/>
      <c r="BI23" s="543"/>
      <c r="BJ23" s="543"/>
      <c r="BK23" s="543"/>
      <c r="BL23" s="543"/>
      <c r="BM23" s="543"/>
      <c r="BN23" s="543"/>
      <c r="BO23" s="543"/>
      <c r="BP23" s="543"/>
      <c r="BQ23" s="543"/>
      <c r="BR23" s="543"/>
      <c r="BS23" s="543"/>
      <c r="BT23" s="543"/>
      <c r="BU23" s="543"/>
      <c r="BV23" s="543"/>
      <c r="BW23" s="543"/>
      <c r="BX23" s="543"/>
      <c r="BY23" s="543"/>
      <c r="BZ23" s="543"/>
      <c r="CA23" s="543"/>
      <c r="CB23" s="543"/>
      <c r="CC23" s="543"/>
      <c r="CD23" s="543"/>
      <c r="CE23" s="543"/>
      <c r="CF23" s="543"/>
      <c r="CG23" s="543"/>
      <c r="CH23" s="543"/>
      <c r="CI23" s="543"/>
      <c r="CJ23" s="543"/>
      <c r="CK23" s="543"/>
      <c r="CL23" s="543"/>
      <c r="CM23" s="543"/>
      <c r="CN23" s="543"/>
      <c r="CO23" s="543"/>
      <c r="CP23" s="543"/>
      <c r="CQ23" s="543"/>
      <c r="CR23" s="543"/>
      <c r="CS23" s="543"/>
      <c r="CT23" s="543"/>
      <c r="CU23" s="543"/>
      <c r="CV23" s="543"/>
      <c r="CW23" s="543"/>
      <c r="CX23" s="543"/>
      <c r="CY23" s="543"/>
      <c r="CZ23" s="543"/>
      <c r="DA23" s="543"/>
      <c r="DB23" s="543"/>
      <c r="DC23" s="543"/>
      <c r="DD23" s="543"/>
      <c r="DE23" s="543"/>
      <c r="DF23" s="543"/>
      <c r="DG23" s="543"/>
      <c r="DH23" s="543"/>
      <c r="DI23" s="543"/>
      <c r="DJ23" s="543"/>
      <c r="DK23" s="543"/>
      <c r="DL23" s="543"/>
      <c r="DM23" s="543"/>
      <c r="DN23" s="543"/>
      <c r="DO23" s="543"/>
      <c r="DP23" s="543"/>
      <c r="DQ23" s="543"/>
      <c r="DR23" s="543"/>
      <c r="DS23" s="543"/>
      <c r="DT23" s="543"/>
      <c r="DU23" s="543"/>
      <c r="DV23" s="543"/>
      <c r="DW23" s="543"/>
      <c r="DX23" s="543"/>
      <c r="DY23" s="543"/>
      <c r="DZ23" s="543"/>
      <c r="EA23" s="543"/>
      <c r="EB23" s="543"/>
      <c r="EC23" s="543"/>
      <c r="ED23" s="543"/>
      <c r="EE23" s="543"/>
      <c r="EF23" s="543"/>
      <c r="EG23" s="543"/>
      <c r="EH23" s="543"/>
      <c r="EI23" s="543"/>
      <c r="EJ23" s="543"/>
      <c r="EK23" s="543"/>
      <c r="EL23" s="543"/>
      <c r="EM23" s="543"/>
      <c r="EN23" s="543"/>
      <c r="EO23" s="543"/>
      <c r="EP23" s="543"/>
      <c r="EQ23" s="543"/>
      <c r="ER23" s="543"/>
      <c r="ES23" s="543"/>
      <c r="ET23" s="543"/>
      <c r="EU23" s="543"/>
      <c r="EV23" s="543"/>
      <c r="EW23" s="543"/>
      <c r="EX23" s="543"/>
      <c r="EY23" s="543"/>
      <c r="EZ23" s="543"/>
      <c r="FA23" s="543"/>
      <c r="FB23" s="543"/>
      <c r="FC23" s="543"/>
      <c r="FD23" s="543"/>
      <c r="FE23" s="543"/>
      <c r="FF23" s="543"/>
      <c r="FG23" s="543"/>
      <c r="FH23" s="543"/>
      <c r="FI23" s="543"/>
      <c r="FJ23" s="543"/>
      <c r="FK23" s="543"/>
      <c r="FL23" s="543"/>
      <c r="FM23" s="543"/>
      <c r="FN23" s="543"/>
      <c r="FO23" s="543"/>
      <c r="FP23" s="543"/>
      <c r="FQ23" s="543"/>
      <c r="FR23" s="543"/>
      <c r="FS23" s="543"/>
      <c r="FT23" s="543"/>
      <c r="FU23" s="543"/>
      <c r="FV23" s="543"/>
      <c r="FW23" s="543"/>
      <c r="FX23" s="543"/>
      <c r="FY23" s="543"/>
      <c r="FZ23" s="543"/>
      <c r="GA23" s="543"/>
      <c r="GB23" s="543"/>
      <c r="GC23" s="543"/>
      <c r="GD23" s="543"/>
      <c r="GE23" s="543"/>
      <c r="GF23" s="543"/>
      <c r="GG23" s="543"/>
      <c r="GH23" s="543"/>
      <c r="GI23" s="543"/>
      <c r="GJ23" s="543"/>
      <c r="GK23" s="543"/>
      <c r="GL23" s="543"/>
      <c r="GM23" s="543"/>
      <c r="GN23" s="543"/>
      <c r="GO23" s="543"/>
      <c r="GP23" s="543"/>
      <c r="GQ23" s="543"/>
      <c r="GR23" s="543"/>
      <c r="GS23" s="543"/>
      <c r="GT23" s="543"/>
      <c r="GU23" s="543"/>
      <c r="GV23" s="543"/>
      <c r="GW23" s="543"/>
      <c r="GX23" s="543"/>
      <c r="GY23" s="543"/>
      <c r="GZ23" s="543"/>
      <c r="HA23" s="543"/>
      <c r="HB23" s="543"/>
      <c r="HC23" s="543"/>
      <c r="HD23" s="543"/>
      <c r="HE23" s="543"/>
      <c r="HF23" s="543"/>
      <c r="HG23" s="543"/>
      <c r="HH23" s="543"/>
      <c r="HI23" s="543"/>
      <c r="HJ23" s="543"/>
      <c r="HK23" s="543"/>
      <c r="HL23" s="543"/>
      <c r="HM23" s="543"/>
      <c r="HN23" s="543"/>
      <c r="HO23" s="543"/>
      <c r="HP23" s="543"/>
      <c r="HQ23" s="543"/>
      <c r="HR23" s="543"/>
      <c r="HS23" s="543"/>
      <c r="HT23" s="543"/>
      <c r="HU23" s="543"/>
      <c r="HV23" s="543"/>
      <c r="HW23" s="543"/>
      <c r="HX23" s="543"/>
      <c r="HY23" s="543"/>
      <c r="HZ23" s="543"/>
      <c r="IA23" s="543"/>
      <c r="IB23" s="543"/>
      <c r="IC23" s="543"/>
      <c r="ID23" s="543"/>
      <c r="IE23" s="543"/>
      <c r="IF23" s="543"/>
      <c r="IG23" s="543"/>
      <c r="IH23" s="543"/>
      <c r="II23" s="543"/>
      <c r="IJ23" s="543"/>
      <c r="IK23" s="543"/>
      <c r="IL23" s="543"/>
      <c r="IM23" s="543"/>
      <c r="IN23" s="543"/>
      <c r="IO23" s="543"/>
      <c r="IP23" s="543"/>
      <c r="IQ23" s="543"/>
      <c r="IR23" s="543"/>
      <c r="IS23" s="543"/>
      <c r="IT23" s="543"/>
      <c r="IU23" s="543"/>
    </row>
    <row r="24" spans="1:255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5"/>
      <c r="P24" s="555"/>
      <c r="Q24" s="555"/>
      <c r="R24" s="555"/>
      <c r="S24" s="555"/>
      <c r="T24" s="555"/>
      <c r="U24" s="555"/>
      <c r="V24" s="555"/>
      <c r="W24" s="543"/>
      <c r="X24" s="543"/>
      <c r="Y24" s="543"/>
      <c r="Z24" s="543"/>
      <c r="AA24" s="543"/>
      <c r="AB24" s="543"/>
      <c r="AC24" s="543"/>
      <c r="AD24" s="543"/>
      <c r="AE24" s="543"/>
      <c r="AF24" s="543"/>
      <c r="AG24" s="543"/>
      <c r="AH24" s="543"/>
      <c r="AI24" s="543"/>
      <c r="AJ24" s="543"/>
      <c r="AK24" s="543"/>
      <c r="AL24" s="543"/>
      <c r="AM24" s="543"/>
      <c r="AN24" s="543"/>
      <c r="AO24" s="543"/>
      <c r="AP24" s="543"/>
      <c r="AQ24" s="543"/>
      <c r="AR24" s="543"/>
      <c r="AS24" s="543"/>
      <c r="AT24" s="543"/>
      <c r="AU24" s="543"/>
      <c r="AV24" s="543"/>
      <c r="AW24" s="543"/>
      <c r="AX24" s="543"/>
      <c r="AY24" s="543"/>
      <c r="AZ24" s="543"/>
      <c r="BA24" s="543"/>
      <c r="BB24" s="543"/>
      <c r="BC24" s="543"/>
      <c r="BD24" s="543"/>
      <c r="BE24" s="543"/>
      <c r="BF24" s="543"/>
      <c r="BG24" s="543"/>
      <c r="BH24" s="543"/>
      <c r="BI24" s="543"/>
      <c r="BJ24" s="543"/>
      <c r="BK24" s="543"/>
      <c r="BL24" s="543"/>
      <c r="BM24" s="543"/>
      <c r="BN24" s="543"/>
      <c r="BO24" s="543"/>
      <c r="BP24" s="543"/>
      <c r="BQ24" s="543"/>
      <c r="BR24" s="543"/>
      <c r="BS24" s="543"/>
      <c r="BT24" s="543"/>
      <c r="BU24" s="543"/>
      <c r="BV24" s="543"/>
      <c r="BW24" s="543"/>
      <c r="BX24" s="543"/>
      <c r="BY24" s="543"/>
      <c r="BZ24" s="543"/>
      <c r="CA24" s="543"/>
      <c r="CB24" s="543"/>
      <c r="CC24" s="543"/>
      <c r="CD24" s="543"/>
      <c r="CE24" s="543"/>
      <c r="CF24" s="543"/>
      <c r="CG24" s="543"/>
      <c r="CH24" s="543"/>
      <c r="CI24" s="543"/>
      <c r="CJ24" s="543"/>
      <c r="CK24" s="543"/>
      <c r="CL24" s="543"/>
      <c r="CM24" s="543"/>
      <c r="CN24" s="543"/>
      <c r="CO24" s="543"/>
      <c r="CP24" s="543"/>
      <c r="CQ24" s="543"/>
      <c r="CR24" s="543"/>
      <c r="CS24" s="543"/>
      <c r="CT24" s="543"/>
      <c r="CU24" s="543"/>
      <c r="CV24" s="543"/>
      <c r="CW24" s="543"/>
      <c r="CX24" s="543"/>
      <c r="CY24" s="543"/>
      <c r="CZ24" s="543"/>
      <c r="DA24" s="543"/>
      <c r="DB24" s="543"/>
      <c r="DC24" s="543"/>
      <c r="DD24" s="543"/>
      <c r="DE24" s="543"/>
      <c r="DF24" s="543"/>
      <c r="DG24" s="543"/>
      <c r="DH24" s="543"/>
      <c r="DI24" s="543"/>
      <c r="DJ24" s="543"/>
      <c r="DK24" s="543"/>
      <c r="DL24" s="543"/>
      <c r="DM24" s="543"/>
      <c r="DN24" s="543"/>
      <c r="DO24" s="543"/>
      <c r="DP24" s="543"/>
      <c r="DQ24" s="543"/>
      <c r="DR24" s="543"/>
      <c r="DS24" s="543"/>
      <c r="DT24" s="543"/>
      <c r="DU24" s="543"/>
      <c r="DV24" s="543"/>
      <c r="DW24" s="543"/>
      <c r="DX24" s="543"/>
      <c r="DY24" s="543"/>
      <c r="DZ24" s="543"/>
      <c r="EA24" s="543"/>
      <c r="EB24" s="543"/>
      <c r="EC24" s="543"/>
      <c r="ED24" s="543"/>
      <c r="EE24" s="543"/>
      <c r="EF24" s="543"/>
      <c r="EG24" s="543"/>
      <c r="EH24" s="543"/>
      <c r="EI24" s="543"/>
      <c r="EJ24" s="543"/>
      <c r="EK24" s="543"/>
      <c r="EL24" s="543"/>
      <c r="EM24" s="543"/>
      <c r="EN24" s="543"/>
      <c r="EO24" s="543"/>
      <c r="EP24" s="543"/>
      <c r="EQ24" s="543"/>
      <c r="ER24" s="543"/>
      <c r="ES24" s="543"/>
      <c r="ET24" s="543"/>
      <c r="EU24" s="543"/>
      <c r="EV24" s="543"/>
      <c r="EW24" s="543"/>
      <c r="EX24" s="543"/>
      <c r="EY24" s="543"/>
      <c r="EZ24" s="543"/>
      <c r="FA24" s="543"/>
      <c r="FB24" s="543"/>
      <c r="FC24" s="543"/>
      <c r="FD24" s="543"/>
      <c r="FE24" s="543"/>
      <c r="FF24" s="543"/>
      <c r="FG24" s="543"/>
      <c r="FH24" s="543"/>
      <c r="FI24" s="543"/>
      <c r="FJ24" s="543"/>
      <c r="FK24" s="543"/>
      <c r="FL24" s="543"/>
      <c r="FM24" s="543"/>
      <c r="FN24" s="543"/>
      <c r="FO24" s="543"/>
      <c r="FP24" s="543"/>
      <c r="FQ24" s="543"/>
      <c r="FR24" s="543"/>
      <c r="FS24" s="543"/>
      <c r="FT24" s="543"/>
      <c r="FU24" s="543"/>
      <c r="FV24" s="543"/>
      <c r="FW24" s="543"/>
      <c r="FX24" s="543"/>
      <c r="FY24" s="543"/>
      <c r="FZ24" s="543"/>
      <c r="GA24" s="543"/>
      <c r="GB24" s="543"/>
      <c r="GC24" s="543"/>
      <c r="GD24" s="543"/>
      <c r="GE24" s="543"/>
      <c r="GF24" s="543"/>
      <c r="GG24" s="543"/>
      <c r="GH24" s="543"/>
      <c r="GI24" s="543"/>
      <c r="GJ24" s="543"/>
      <c r="GK24" s="543"/>
      <c r="GL24" s="543"/>
      <c r="GM24" s="543"/>
      <c r="GN24" s="543"/>
      <c r="GO24" s="543"/>
      <c r="GP24" s="543"/>
      <c r="GQ24" s="543"/>
      <c r="GR24" s="543"/>
      <c r="GS24" s="543"/>
      <c r="GT24" s="543"/>
      <c r="GU24" s="543"/>
      <c r="GV24" s="543"/>
      <c r="GW24" s="543"/>
      <c r="GX24" s="543"/>
      <c r="GY24" s="543"/>
      <c r="GZ24" s="543"/>
      <c r="HA24" s="543"/>
      <c r="HB24" s="543"/>
      <c r="HC24" s="543"/>
      <c r="HD24" s="543"/>
      <c r="HE24" s="543"/>
      <c r="HF24" s="543"/>
      <c r="HG24" s="543"/>
      <c r="HH24" s="543"/>
      <c r="HI24" s="543"/>
      <c r="HJ24" s="543"/>
      <c r="HK24" s="543"/>
      <c r="HL24" s="543"/>
      <c r="HM24" s="543"/>
      <c r="HN24" s="543"/>
      <c r="HO24" s="543"/>
      <c r="HP24" s="543"/>
      <c r="HQ24" s="543"/>
      <c r="HR24" s="543"/>
      <c r="HS24" s="543"/>
      <c r="HT24" s="543"/>
      <c r="HU24" s="543"/>
      <c r="HV24" s="543"/>
      <c r="HW24" s="543"/>
      <c r="HX24" s="543"/>
      <c r="HY24" s="543"/>
      <c r="HZ24" s="543"/>
      <c r="IA24" s="543"/>
      <c r="IB24" s="543"/>
      <c r="IC24" s="543"/>
      <c r="ID24" s="543"/>
      <c r="IE24" s="543"/>
      <c r="IF24" s="543"/>
      <c r="IG24" s="543"/>
      <c r="IH24" s="543"/>
      <c r="II24" s="543"/>
      <c r="IJ24" s="543"/>
      <c r="IK24" s="543"/>
      <c r="IL24" s="543"/>
      <c r="IM24" s="543"/>
      <c r="IN24" s="543"/>
      <c r="IO24" s="543"/>
      <c r="IP24" s="543"/>
      <c r="IQ24" s="543"/>
      <c r="IR24" s="543"/>
      <c r="IS24" s="543"/>
      <c r="IT24" s="543"/>
      <c r="IU24" s="543"/>
    </row>
    <row r="25" spans="1:255">
      <c r="A25" s="543" t="s">
        <v>385</v>
      </c>
      <c r="W25" s="543"/>
      <c r="X25" s="543"/>
      <c r="Y25" s="543"/>
      <c r="Z25" s="543"/>
      <c r="AA25" s="543"/>
      <c r="AB25" s="543"/>
      <c r="AC25" s="543"/>
      <c r="AD25" s="543"/>
      <c r="AE25" s="543"/>
      <c r="AF25" s="543"/>
      <c r="AG25" s="543"/>
      <c r="AH25" s="543"/>
      <c r="AI25" s="543"/>
      <c r="AJ25" s="543"/>
      <c r="AK25" s="543"/>
      <c r="AL25" s="543"/>
      <c r="AM25" s="543"/>
      <c r="AN25" s="543"/>
      <c r="AO25" s="543"/>
      <c r="AP25" s="543"/>
      <c r="AQ25" s="543"/>
      <c r="AR25" s="543"/>
      <c r="AS25" s="543"/>
      <c r="AT25" s="543"/>
      <c r="AU25" s="543"/>
      <c r="AV25" s="543"/>
      <c r="AW25" s="543"/>
      <c r="AX25" s="543"/>
      <c r="AY25" s="543"/>
      <c r="AZ25" s="543"/>
      <c r="BA25" s="543"/>
      <c r="BB25" s="543"/>
      <c r="BC25" s="543"/>
      <c r="BD25" s="543"/>
      <c r="BE25" s="543"/>
      <c r="BF25" s="543"/>
      <c r="BG25" s="543"/>
      <c r="BH25" s="543"/>
      <c r="BI25" s="543"/>
      <c r="BJ25" s="543"/>
      <c r="BK25" s="543"/>
      <c r="BL25" s="543"/>
      <c r="BM25" s="543"/>
      <c r="BN25" s="543"/>
      <c r="BO25" s="543"/>
      <c r="BP25" s="543"/>
      <c r="BQ25" s="543"/>
      <c r="BR25" s="543"/>
      <c r="BS25" s="543"/>
      <c r="BT25" s="543"/>
      <c r="BU25" s="543"/>
      <c r="BV25" s="543"/>
      <c r="BW25" s="543"/>
      <c r="BX25" s="543"/>
      <c r="BY25" s="543"/>
      <c r="BZ25" s="543"/>
      <c r="CA25" s="543"/>
      <c r="CB25" s="543"/>
      <c r="CC25" s="543"/>
      <c r="CD25" s="543"/>
      <c r="CE25" s="543"/>
      <c r="CF25" s="543"/>
      <c r="CG25" s="543"/>
      <c r="CH25" s="543"/>
      <c r="CI25" s="543"/>
      <c r="CJ25" s="543"/>
      <c r="CK25" s="543"/>
      <c r="CL25" s="543"/>
      <c r="CM25" s="543"/>
      <c r="CN25" s="543"/>
      <c r="CO25" s="543"/>
      <c r="CP25" s="543"/>
      <c r="CQ25" s="543"/>
      <c r="CR25" s="543"/>
      <c r="CS25" s="543"/>
      <c r="CT25" s="543"/>
      <c r="CU25" s="543"/>
      <c r="CV25" s="543"/>
      <c r="CW25" s="543"/>
      <c r="CX25" s="543"/>
      <c r="CY25" s="543"/>
      <c r="CZ25" s="543"/>
      <c r="DA25" s="543"/>
      <c r="DB25" s="543"/>
      <c r="DC25" s="543"/>
      <c r="DD25" s="543"/>
      <c r="DE25" s="543"/>
      <c r="DF25" s="543"/>
      <c r="DG25" s="543"/>
      <c r="DH25" s="543"/>
      <c r="DI25" s="543"/>
      <c r="DJ25" s="543"/>
      <c r="DK25" s="543"/>
      <c r="DL25" s="543"/>
      <c r="DM25" s="543"/>
      <c r="DN25" s="543"/>
      <c r="DO25" s="543"/>
      <c r="DP25" s="543"/>
      <c r="DQ25" s="543"/>
      <c r="DR25" s="543"/>
      <c r="DS25" s="543"/>
      <c r="DT25" s="543"/>
      <c r="DU25" s="543"/>
      <c r="DV25" s="543"/>
      <c r="DW25" s="543"/>
      <c r="DX25" s="543"/>
      <c r="DY25" s="543"/>
      <c r="DZ25" s="543"/>
      <c r="EA25" s="543"/>
      <c r="EB25" s="543"/>
      <c r="EC25" s="543"/>
      <c r="ED25" s="543"/>
      <c r="EE25" s="543"/>
      <c r="EF25" s="543"/>
      <c r="EG25" s="543"/>
      <c r="EH25" s="543"/>
      <c r="EI25" s="543"/>
      <c r="EJ25" s="543"/>
      <c r="EK25" s="543"/>
      <c r="EL25" s="543"/>
      <c r="EM25" s="543"/>
      <c r="EN25" s="543"/>
      <c r="EO25" s="543"/>
      <c r="EP25" s="543"/>
      <c r="EQ25" s="543"/>
      <c r="ER25" s="543"/>
      <c r="ES25" s="543"/>
      <c r="ET25" s="543"/>
      <c r="EU25" s="543"/>
      <c r="EV25" s="543"/>
      <c r="EW25" s="543"/>
      <c r="EX25" s="543"/>
      <c r="EY25" s="543"/>
      <c r="EZ25" s="543"/>
      <c r="FA25" s="543"/>
      <c r="FB25" s="543"/>
      <c r="FC25" s="543"/>
      <c r="FD25" s="543"/>
      <c r="FE25" s="543"/>
      <c r="FF25" s="543"/>
      <c r="FG25" s="543"/>
      <c r="FH25" s="543"/>
      <c r="FI25" s="543"/>
      <c r="FJ25" s="543"/>
      <c r="FK25" s="543"/>
      <c r="FL25" s="543"/>
      <c r="FM25" s="543"/>
      <c r="FN25" s="543"/>
      <c r="FO25" s="543"/>
      <c r="FP25" s="543"/>
      <c r="FQ25" s="543"/>
      <c r="FR25" s="543"/>
      <c r="FS25" s="543"/>
      <c r="FT25" s="543"/>
      <c r="FU25" s="543"/>
      <c r="FV25" s="543"/>
      <c r="FW25" s="543"/>
      <c r="FX25" s="543"/>
      <c r="FY25" s="543"/>
      <c r="FZ25" s="543"/>
      <c r="GA25" s="543"/>
      <c r="GB25" s="543"/>
      <c r="GC25" s="543"/>
      <c r="GD25" s="543"/>
      <c r="GE25" s="543"/>
      <c r="GF25" s="543"/>
      <c r="GG25" s="543"/>
      <c r="GH25" s="543"/>
      <c r="GI25" s="543"/>
      <c r="GJ25" s="543"/>
      <c r="GK25" s="543"/>
      <c r="GL25" s="543"/>
      <c r="GM25" s="543"/>
      <c r="GN25" s="543"/>
      <c r="GO25" s="543"/>
      <c r="GP25" s="543"/>
      <c r="GQ25" s="543"/>
      <c r="GR25" s="543"/>
      <c r="GS25" s="543"/>
      <c r="GT25" s="543"/>
      <c r="GU25" s="543"/>
      <c r="GV25" s="543"/>
      <c r="GW25" s="543"/>
      <c r="GX25" s="543"/>
      <c r="GY25" s="543"/>
      <c r="GZ25" s="543"/>
      <c r="HA25" s="543"/>
      <c r="HB25" s="543"/>
      <c r="HC25" s="543"/>
      <c r="HD25" s="543"/>
      <c r="HE25" s="543"/>
      <c r="HF25" s="543"/>
      <c r="HG25" s="543"/>
      <c r="HH25" s="543"/>
      <c r="HI25" s="543"/>
      <c r="HJ25" s="543"/>
      <c r="HK25" s="543"/>
      <c r="HL25" s="543"/>
      <c r="HM25" s="543"/>
      <c r="HN25" s="543"/>
      <c r="HO25" s="543"/>
      <c r="HP25" s="543"/>
      <c r="HQ25" s="543"/>
      <c r="HR25" s="543"/>
      <c r="HS25" s="543"/>
      <c r="HT25" s="543"/>
      <c r="HU25" s="543"/>
      <c r="HV25" s="543"/>
      <c r="HW25" s="543"/>
      <c r="HX25" s="543"/>
      <c r="HY25" s="543"/>
      <c r="HZ25" s="543"/>
      <c r="IA25" s="543"/>
      <c r="IB25" s="543"/>
      <c r="IC25" s="543"/>
      <c r="ID25" s="543"/>
      <c r="IE25" s="543"/>
      <c r="IF25" s="543"/>
      <c r="IG25" s="543"/>
      <c r="IH25" s="543"/>
      <c r="II25" s="543"/>
      <c r="IJ25" s="543"/>
      <c r="IK25" s="543"/>
      <c r="IL25" s="543"/>
      <c r="IM25" s="543"/>
      <c r="IN25" s="543"/>
      <c r="IO25" s="543"/>
      <c r="IP25" s="543"/>
      <c r="IQ25" s="543"/>
      <c r="IR25" s="543"/>
      <c r="IS25" s="543"/>
      <c r="IT25" s="543"/>
      <c r="IU25" s="543"/>
    </row>
    <row r="26" spans="1:255">
      <c r="A26" s="543" t="s">
        <v>386</v>
      </c>
      <c r="C26" s="563">
        <f>'ASSUM 1'!N38</f>
        <v>0.35</v>
      </c>
      <c r="D26" s="563">
        <f>'ASSUM 1'!N38</f>
        <v>0.35</v>
      </c>
      <c r="E26" s="563">
        <f>'ASSUM 1'!N38</f>
        <v>0.35</v>
      </c>
      <c r="F26" s="563">
        <f>'ASSUM 1'!N38</f>
        <v>0.35</v>
      </c>
      <c r="G26" s="563">
        <f>'ASSUM 1'!N38</f>
        <v>0.35</v>
      </c>
      <c r="H26" s="563">
        <f>'ASSUM 1'!N38</f>
        <v>0.35</v>
      </c>
      <c r="I26" s="563">
        <f>'ASSUM 1'!N38</f>
        <v>0.35</v>
      </c>
      <c r="J26" s="563">
        <f>'ASSUM 1'!N38</f>
        <v>0.35</v>
      </c>
      <c r="K26" s="563">
        <f>'ASSUM 1'!N38</f>
        <v>0.35</v>
      </c>
      <c r="L26" s="563">
        <f>'ASSUM 1'!N38</f>
        <v>0.35</v>
      </c>
      <c r="M26" s="563">
        <f>'ASSUM 1'!N38</f>
        <v>0.35</v>
      </c>
      <c r="N26" s="563">
        <f>'ASSUM 1'!N38</f>
        <v>0.35</v>
      </c>
      <c r="O26" s="563">
        <f>'ASSUM 1'!N38</f>
        <v>0.35</v>
      </c>
      <c r="P26" s="563">
        <f>'ASSUM 1'!N38</f>
        <v>0.35</v>
      </c>
      <c r="Q26" s="563">
        <f>'ASSUM 1'!N38</f>
        <v>0.35</v>
      </c>
      <c r="R26" s="563">
        <f>'ASSUM 1'!N38</f>
        <v>0.35</v>
      </c>
      <c r="S26" s="563">
        <f>'ASSUM 1'!N38</f>
        <v>0.35</v>
      </c>
      <c r="T26" s="563">
        <f>'ASSUM 1'!N38</f>
        <v>0.35</v>
      </c>
      <c r="U26" s="563">
        <f>'ASSUM 1'!N38</f>
        <v>0.35</v>
      </c>
      <c r="V26" s="563">
        <f>'ASSUM 1'!N38</f>
        <v>0.35</v>
      </c>
      <c r="W26" s="543"/>
      <c r="X26" s="543"/>
      <c r="Y26" s="543"/>
      <c r="Z26" s="543"/>
      <c r="AA26" s="543"/>
      <c r="AB26" s="543"/>
      <c r="AC26" s="543"/>
      <c r="AD26" s="543"/>
      <c r="AE26" s="543"/>
      <c r="AF26" s="543"/>
      <c r="AG26" s="543"/>
      <c r="AH26" s="543"/>
      <c r="AI26" s="543"/>
      <c r="AJ26" s="543"/>
      <c r="AK26" s="543"/>
      <c r="AL26" s="543"/>
      <c r="AM26" s="543"/>
      <c r="AN26" s="543"/>
      <c r="AO26" s="543"/>
      <c r="AP26" s="543"/>
      <c r="AQ26" s="543"/>
      <c r="AR26" s="543"/>
      <c r="AS26" s="543"/>
      <c r="AT26" s="543"/>
      <c r="AU26" s="543"/>
      <c r="AV26" s="543"/>
      <c r="AW26" s="543"/>
      <c r="AX26" s="543"/>
      <c r="AY26" s="543"/>
      <c r="AZ26" s="543"/>
      <c r="BA26" s="543"/>
      <c r="BB26" s="543"/>
      <c r="BC26" s="543"/>
      <c r="BD26" s="543"/>
      <c r="BE26" s="543"/>
      <c r="BF26" s="543"/>
      <c r="BG26" s="543"/>
      <c r="BH26" s="543"/>
      <c r="BI26" s="543"/>
      <c r="BJ26" s="543"/>
      <c r="BK26" s="543"/>
      <c r="BL26" s="543"/>
      <c r="BM26" s="543"/>
      <c r="BN26" s="543"/>
      <c r="BO26" s="543"/>
      <c r="BP26" s="543"/>
      <c r="BQ26" s="543"/>
      <c r="BR26" s="543"/>
      <c r="BS26" s="543"/>
      <c r="BT26" s="543"/>
      <c r="BU26" s="543"/>
      <c r="BV26" s="543"/>
      <c r="BW26" s="543"/>
      <c r="BX26" s="543"/>
      <c r="BY26" s="543"/>
      <c r="BZ26" s="543"/>
      <c r="CA26" s="543"/>
      <c r="CB26" s="543"/>
      <c r="CC26" s="543"/>
      <c r="CD26" s="543"/>
      <c r="CE26" s="543"/>
      <c r="CF26" s="543"/>
      <c r="CG26" s="543"/>
      <c r="CH26" s="543"/>
      <c r="CI26" s="543"/>
      <c r="CJ26" s="543"/>
      <c r="CK26" s="543"/>
      <c r="CL26" s="543"/>
      <c r="CM26" s="543"/>
      <c r="CN26" s="543"/>
      <c r="CO26" s="543"/>
      <c r="CP26" s="543"/>
      <c r="CQ26" s="543"/>
      <c r="CR26" s="543"/>
      <c r="CS26" s="543"/>
      <c r="CT26" s="543"/>
      <c r="CU26" s="543"/>
      <c r="CV26" s="543"/>
      <c r="CW26" s="543"/>
      <c r="CX26" s="543"/>
      <c r="CY26" s="543"/>
      <c r="CZ26" s="543"/>
      <c r="DA26" s="543"/>
      <c r="DB26" s="543"/>
      <c r="DC26" s="543"/>
      <c r="DD26" s="543"/>
      <c r="DE26" s="543"/>
      <c r="DF26" s="543"/>
      <c r="DG26" s="543"/>
      <c r="DH26" s="543"/>
      <c r="DI26" s="543"/>
      <c r="DJ26" s="543"/>
      <c r="DK26" s="543"/>
      <c r="DL26" s="543"/>
      <c r="DM26" s="543"/>
      <c r="DN26" s="543"/>
      <c r="DO26" s="543"/>
      <c r="DP26" s="543"/>
      <c r="DQ26" s="543"/>
      <c r="DR26" s="543"/>
      <c r="DS26" s="543"/>
      <c r="DT26" s="543"/>
      <c r="DU26" s="543"/>
      <c r="DV26" s="543"/>
      <c r="DW26" s="543"/>
      <c r="DX26" s="543"/>
      <c r="DY26" s="543"/>
      <c r="DZ26" s="543"/>
      <c r="EA26" s="543"/>
      <c r="EB26" s="543"/>
      <c r="EC26" s="543"/>
      <c r="ED26" s="543"/>
      <c r="EE26" s="543"/>
      <c r="EF26" s="543"/>
      <c r="EG26" s="543"/>
      <c r="EH26" s="543"/>
      <c r="EI26" s="543"/>
      <c r="EJ26" s="543"/>
      <c r="EK26" s="543"/>
      <c r="EL26" s="543"/>
      <c r="EM26" s="543"/>
      <c r="EN26" s="543"/>
      <c r="EO26" s="543"/>
      <c r="EP26" s="543"/>
      <c r="EQ26" s="543"/>
      <c r="ER26" s="543"/>
      <c r="ES26" s="543"/>
      <c r="ET26" s="543"/>
      <c r="EU26" s="543"/>
      <c r="EV26" s="543"/>
      <c r="EW26" s="543"/>
      <c r="EX26" s="543"/>
      <c r="EY26" s="543"/>
      <c r="EZ26" s="543"/>
      <c r="FA26" s="543"/>
      <c r="FB26" s="543"/>
      <c r="FC26" s="543"/>
      <c r="FD26" s="543"/>
      <c r="FE26" s="543"/>
      <c r="FF26" s="543"/>
      <c r="FG26" s="543"/>
      <c r="FH26" s="543"/>
      <c r="FI26" s="543"/>
      <c r="FJ26" s="543"/>
      <c r="FK26" s="543"/>
      <c r="FL26" s="543"/>
      <c r="FM26" s="543"/>
      <c r="FN26" s="543"/>
      <c r="FO26" s="543"/>
      <c r="FP26" s="543"/>
      <c r="FQ26" s="543"/>
      <c r="FR26" s="543"/>
      <c r="FS26" s="543"/>
      <c r="FT26" s="543"/>
      <c r="FU26" s="543"/>
      <c r="FV26" s="543"/>
      <c r="FW26" s="543"/>
      <c r="FX26" s="543"/>
      <c r="FY26" s="543"/>
      <c r="FZ26" s="543"/>
      <c r="GA26" s="543"/>
      <c r="GB26" s="543"/>
      <c r="GC26" s="543"/>
      <c r="GD26" s="543"/>
      <c r="GE26" s="543"/>
      <c r="GF26" s="543"/>
      <c r="GG26" s="543"/>
      <c r="GH26" s="543"/>
      <c r="GI26" s="543"/>
      <c r="GJ26" s="543"/>
      <c r="GK26" s="543"/>
      <c r="GL26" s="543"/>
      <c r="GM26" s="543"/>
      <c r="GN26" s="543"/>
      <c r="GO26" s="543"/>
      <c r="GP26" s="543"/>
      <c r="GQ26" s="543"/>
      <c r="GR26" s="543"/>
      <c r="GS26" s="543"/>
      <c r="GT26" s="543"/>
      <c r="GU26" s="543"/>
      <c r="GV26" s="543"/>
      <c r="GW26" s="543"/>
      <c r="GX26" s="543"/>
      <c r="GY26" s="543"/>
      <c r="GZ26" s="543"/>
      <c r="HA26" s="543"/>
      <c r="HB26" s="543"/>
      <c r="HC26" s="543"/>
      <c r="HD26" s="543"/>
      <c r="HE26" s="543"/>
      <c r="HF26" s="543"/>
      <c r="HG26" s="543"/>
      <c r="HH26" s="543"/>
      <c r="HI26" s="543"/>
      <c r="HJ26" s="543"/>
      <c r="HK26" s="543"/>
      <c r="HL26" s="543"/>
      <c r="HM26" s="543"/>
      <c r="HN26" s="543"/>
      <c r="HO26" s="543"/>
      <c r="HP26" s="543"/>
      <c r="HQ26" s="543"/>
      <c r="HR26" s="543"/>
      <c r="HS26" s="543"/>
      <c r="HT26" s="543"/>
      <c r="HU26" s="543"/>
      <c r="HV26" s="543"/>
      <c r="HW26" s="543"/>
      <c r="HX26" s="543"/>
      <c r="HY26" s="543"/>
      <c r="HZ26" s="543"/>
      <c r="IA26" s="543"/>
      <c r="IB26" s="543"/>
      <c r="IC26" s="543"/>
      <c r="ID26" s="543"/>
      <c r="IE26" s="543"/>
      <c r="IF26" s="543"/>
      <c r="IG26" s="543"/>
      <c r="IH26" s="543"/>
      <c r="II26" s="543"/>
      <c r="IJ26" s="543"/>
      <c r="IK26" s="543"/>
      <c r="IL26" s="543"/>
      <c r="IM26" s="543"/>
      <c r="IN26" s="543"/>
      <c r="IO26" s="543"/>
      <c r="IP26" s="543"/>
      <c r="IQ26" s="543"/>
      <c r="IR26" s="543"/>
      <c r="IS26" s="543"/>
      <c r="IT26" s="543"/>
      <c r="IU26" s="543"/>
    </row>
    <row r="27" spans="1:255">
      <c r="W27" s="543"/>
      <c r="X27" s="543"/>
      <c r="Y27" s="543"/>
      <c r="Z27" s="543"/>
      <c r="AA27" s="543"/>
      <c r="AB27" s="543"/>
      <c r="AC27" s="543"/>
      <c r="AD27" s="543"/>
      <c r="AE27" s="543"/>
      <c r="AF27" s="543"/>
      <c r="AG27" s="543"/>
      <c r="AH27" s="543"/>
      <c r="AI27" s="543"/>
      <c r="AJ27" s="543"/>
      <c r="AK27" s="543"/>
      <c r="AL27" s="543"/>
      <c r="AM27" s="543"/>
      <c r="AN27" s="543"/>
      <c r="AO27" s="543"/>
      <c r="AP27" s="543"/>
      <c r="AQ27" s="543"/>
      <c r="AR27" s="543"/>
      <c r="AS27" s="543"/>
      <c r="AT27" s="543"/>
      <c r="AU27" s="543"/>
      <c r="AV27" s="543"/>
      <c r="AW27" s="543"/>
      <c r="AX27" s="543"/>
      <c r="AY27" s="543"/>
      <c r="AZ27" s="543"/>
      <c r="BA27" s="543"/>
      <c r="BB27" s="543"/>
      <c r="BC27" s="543"/>
      <c r="BD27" s="543"/>
      <c r="BE27" s="543"/>
      <c r="BF27" s="543"/>
      <c r="BG27" s="543"/>
      <c r="BH27" s="543"/>
      <c r="BI27" s="543"/>
      <c r="BJ27" s="543"/>
      <c r="BK27" s="543"/>
      <c r="BL27" s="543"/>
      <c r="BM27" s="543"/>
      <c r="BN27" s="543"/>
      <c r="BO27" s="543"/>
      <c r="BP27" s="543"/>
      <c r="BQ27" s="543"/>
      <c r="BR27" s="543"/>
      <c r="BS27" s="543"/>
      <c r="BT27" s="543"/>
      <c r="BU27" s="543"/>
      <c r="BV27" s="543"/>
      <c r="BW27" s="543"/>
      <c r="BX27" s="543"/>
      <c r="BY27" s="543"/>
      <c r="BZ27" s="543"/>
      <c r="CA27" s="543"/>
      <c r="CB27" s="543"/>
      <c r="CC27" s="543"/>
      <c r="CD27" s="543"/>
      <c r="CE27" s="543"/>
      <c r="CF27" s="543"/>
      <c r="CG27" s="543"/>
      <c r="CH27" s="543"/>
      <c r="CI27" s="543"/>
      <c r="CJ27" s="543"/>
      <c r="CK27" s="543"/>
      <c r="CL27" s="543"/>
      <c r="CM27" s="543"/>
      <c r="CN27" s="543"/>
      <c r="CO27" s="543"/>
      <c r="CP27" s="543"/>
      <c r="CQ27" s="543"/>
      <c r="CR27" s="543"/>
      <c r="CS27" s="543"/>
      <c r="CT27" s="543"/>
      <c r="CU27" s="543"/>
      <c r="CV27" s="543"/>
      <c r="CW27" s="543"/>
      <c r="CX27" s="543"/>
      <c r="CY27" s="543"/>
      <c r="CZ27" s="543"/>
      <c r="DA27" s="543"/>
      <c r="DB27" s="543"/>
      <c r="DC27" s="543"/>
      <c r="DD27" s="543"/>
      <c r="DE27" s="543"/>
      <c r="DF27" s="543"/>
      <c r="DG27" s="543"/>
      <c r="DH27" s="543"/>
      <c r="DI27" s="543"/>
      <c r="DJ27" s="543"/>
      <c r="DK27" s="543"/>
      <c r="DL27" s="543"/>
      <c r="DM27" s="543"/>
      <c r="DN27" s="543"/>
      <c r="DO27" s="543"/>
      <c r="DP27" s="543"/>
      <c r="DQ27" s="543"/>
      <c r="DR27" s="543"/>
      <c r="DS27" s="543"/>
      <c r="DT27" s="543"/>
      <c r="DU27" s="543"/>
      <c r="DV27" s="543"/>
      <c r="DW27" s="543"/>
      <c r="DX27" s="543"/>
      <c r="DY27" s="543"/>
      <c r="DZ27" s="543"/>
      <c r="EA27" s="543"/>
      <c r="EB27" s="543"/>
      <c r="EC27" s="543"/>
      <c r="ED27" s="543"/>
      <c r="EE27" s="543"/>
      <c r="EF27" s="543"/>
      <c r="EG27" s="543"/>
      <c r="EH27" s="543"/>
      <c r="EI27" s="543"/>
      <c r="EJ27" s="543"/>
      <c r="EK27" s="543"/>
      <c r="EL27" s="543"/>
      <c r="EM27" s="543"/>
      <c r="EN27" s="543"/>
      <c r="EO27" s="543"/>
      <c r="EP27" s="543"/>
      <c r="EQ27" s="543"/>
      <c r="ER27" s="543"/>
      <c r="ES27" s="543"/>
      <c r="ET27" s="543"/>
      <c r="EU27" s="543"/>
      <c r="EV27" s="543"/>
      <c r="EW27" s="543"/>
      <c r="EX27" s="543"/>
      <c r="EY27" s="543"/>
      <c r="EZ27" s="543"/>
      <c r="FA27" s="543"/>
      <c r="FB27" s="543"/>
      <c r="FC27" s="543"/>
      <c r="FD27" s="543"/>
      <c r="FE27" s="543"/>
      <c r="FF27" s="543"/>
      <c r="FG27" s="543"/>
      <c r="FH27" s="543"/>
      <c r="FI27" s="543"/>
      <c r="FJ27" s="543"/>
      <c r="FK27" s="543"/>
      <c r="FL27" s="543"/>
      <c r="FM27" s="543"/>
      <c r="FN27" s="543"/>
      <c r="FO27" s="543"/>
      <c r="FP27" s="543"/>
      <c r="FQ27" s="543"/>
      <c r="FR27" s="543"/>
      <c r="FS27" s="543"/>
      <c r="FT27" s="543"/>
      <c r="FU27" s="543"/>
      <c r="FV27" s="543"/>
      <c r="FW27" s="543"/>
      <c r="FX27" s="543"/>
      <c r="FY27" s="543"/>
      <c r="FZ27" s="543"/>
      <c r="GA27" s="543"/>
      <c r="GB27" s="543"/>
      <c r="GC27" s="543"/>
      <c r="GD27" s="543"/>
      <c r="GE27" s="543"/>
      <c r="GF27" s="543"/>
      <c r="GG27" s="543"/>
      <c r="GH27" s="543"/>
      <c r="GI27" s="543"/>
      <c r="GJ27" s="543"/>
      <c r="GK27" s="543"/>
      <c r="GL27" s="543"/>
      <c r="GM27" s="543"/>
      <c r="GN27" s="543"/>
      <c r="GO27" s="543"/>
      <c r="GP27" s="543"/>
      <c r="GQ27" s="543"/>
      <c r="GR27" s="543"/>
      <c r="GS27" s="543"/>
      <c r="GT27" s="543"/>
      <c r="GU27" s="543"/>
      <c r="GV27" s="543"/>
      <c r="GW27" s="543"/>
      <c r="GX27" s="543"/>
      <c r="GY27" s="543"/>
      <c r="GZ27" s="543"/>
      <c r="HA27" s="543"/>
      <c r="HB27" s="543"/>
      <c r="HC27" s="543"/>
      <c r="HD27" s="543"/>
      <c r="HE27" s="543"/>
      <c r="HF27" s="543"/>
      <c r="HG27" s="543"/>
      <c r="HH27" s="543"/>
      <c r="HI27" s="543"/>
      <c r="HJ27" s="543"/>
      <c r="HK27" s="543"/>
      <c r="HL27" s="543"/>
      <c r="HM27" s="543"/>
      <c r="HN27" s="543"/>
      <c r="HO27" s="543"/>
      <c r="HP27" s="543"/>
      <c r="HQ27" s="543"/>
      <c r="HR27" s="543"/>
      <c r="HS27" s="543"/>
      <c r="HT27" s="543"/>
      <c r="HU27" s="543"/>
      <c r="HV27" s="543"/>
      <c r="HW27" s="543"/>
      <c r="HX27" s="543"/>
      <c r="HY27" s="543"/>
      <c r="HZ27" s="543"/>
      <c r="IA27" s="543"/>
      <c r="IB27" s="543"/>
      <c r="IC27" s="543"/>
      <c r="ID27" s="543"/>
      <c r="IE27" s="543"/>
      <c r="IF27" s="543"/>
      <c r="IG27" s="543"/>
      <c r="IH27" s="543"/>
      <c r="II27" s="543"/>
      <c r="IJ27" s="543"/>
      <c r="IK27" s="543"/>
      <c r="IL27" s="543"/>
      <c r="IM27" s="543"/>
      <c r="IN27" s="543"/>
      <c r="IO27" s="543"/>
      <c r="IP27" s="543"/>
      <c r="IQ27" s="543"/>
      <c r="IR27" s="543"/>
      <c r="IS27" s="543"/>
      <c r="IT27" s="543"/>
      <c r="IU27" s="543"/>
    </row>
    <row r="28" spans="1:255">
      <c r="A28" s="564" t="s">
        <v>387</v>
      </c>
      <c r="C28" s="565">
        <f t="shared" ref="C28:V28" ca="1" si="7">C23</f>
        <v>0</v>
      </c>
      <c r="D28" s="565">
        <f t="shared" ca="1" si="7"/>
        <v>3833.880251712495</v>
      </c>
      <c r="E28" s="565">
        <f t="shared" ca="1" si="7"/>
        <v>4413.1346334059235</v>
      </c>
      <c r="F28" s="565">
        <f t="shared" ca="1" si="7"/>
        <v>7024.5459673557007</v>
      </c>
      <c r="G28" s="565">
        <f t="shared" ca="1" si="7"/>
        <v>8859.4849887294931</v>
      </c>
      <c r="H28" s="565">
        <f t="shared" ca="1" si="7"/>
        <v>4302.4524350004785</v>
      </c>
      <c r="I28" s="565">
        <f t="shared" ca="1" si="7"/>
        <v>11441.492092748769</v>
      </c>
      <c r="J28" s="565">
        <f t="shared" ca="1" si="7"/>
        <v>19141.384806060742</v>
      </c>
      <c r="K28" s="565">
        <f t="shared" ca="1" si="7"/>
        <v>20224.138493882496</v>
      </c>
      <c r="L28" s="565">
        <f t="shared" ca="1" si="7"/>
        <v>18898.792376789526</v>
      </c>
      <c r="M28" s="565">
        <f t="shared" ca="1" si="7"/>
        <v>20186.976056981792</v>
      </c>
      <c r="N28" s="565">
        <f t="shared" ca="1" si="7"/>
        <v>19181.919994451204</v>
      </c>
      <c r="O28" s="565">
        <f t="shared" ca="1" si="7"/>
        <v>18708.992969283045</v>
      </c>
      <c r="P28" s="565">
        <f t="shared" ca="1" si="7"/>
        <v>16429.575907516373</v>
      </c>
      <c r="Q28" s="565">
        <f t="shared" ca="1" si="7"/>
        <v>22099.453325578917</v>
      </c>
      <c r="R28" s="565">
        <f t="shared" ca="1" si="7"/>
        <v>32175.328052848607</v>
      </c>
      <c r="S28" s="565">
        <f t="shared" ca="1" si="7"/>
        <v>41958.160497413133</v>
      </c>
      <c r="T28" s="565">
        <f t="shared" ca="1" si="7"/>
        <v>42522.964996866715</v>
      </c>
      <c r="U28" s="565">
        <f t="shared" ca="1" si="7"/>
        <v>44427.895995475526</v>
      </c>
      <c r="V28" s="565">
        <f t="shared" ca="1" si="7"/>
        <v>36745.740547780384</v>
      </c>
      <c r="W28" s="543"/>
      <c r="X28" s="543"/>
      <c r="Y28" s="543"/>
      <c r="Z28" s="543"/>
      <c r="AA28" s="543"/>
      <c r="AB28" s="543"/>
      <c r="AC28" s="543"/>
      <c r="AD28" s="543"/>
      <c r="AE28" s="543"/>
      <c r="AF28" s="543"/>
      <c r="AG28" s="543"/>
      <c r="AH28" s="543"/>
      <c r="AI28" s="543"/>
      <c r="AJ28" s="543"/>
      <c r="AK28" s="543"/>
      <c r="AL28" s="543"/>
      <c r="AM28" s="543"/>
      <c r="AN28" s="543"/>
      <c r="AO28" s="543"/>
      <c r="AP28" s="543"/>
      <c r="AQ28" s="543"/>
      <c r="AR28" s="543"/>
      <c r="AS28" s="543"/>
      <c r="AT28" s="543"/>
      <c r="AU28" s="543"/>
      <c r="AV28" s="543"/>
      <c r="AW28" s="543"/>
      <c r="AX28" s="543"/>
      <c r="AY28" s="543"/>
      <c r="AZ28" s="543"/>
      <c r="BA28" s="543"/>
      <c r="BB28" s="543"/>
      <c r="BC28" s="543"/>
      <c r="BD28" s="543"/>
      <c r="BE28" s="543"/>
      <c r="BF28" s="543"/>
      <c r="BG28" s="543"/>
      <c r="BH28" s="543"/>
      <c r="BI28" s="543"/>
      <c r="BJ28" s="543"/>
      <c r="BK28" s="543"/>
      <c r="BL28" s="543"/>
      <c r="BM28" s="543"/>
      <c r="BN28" s="543"/>
      <c r="BO28" s="543"/>
      <c r="BP28" s="543"/>
      <c r="BQ28" s="543"/>
      <c r="BR28" s="543"/>
      <c r="BS28" s="543"/>
      <c r="BT28" s="543"/>
      <c r="BU28" s="543"/>
      <c r="BV28" s="543"/>
      <c r="BW28" s="543"/>
      <c r="BX28" s="543"/>
      <c r="BY28" s="543"/>
      <c r="BZ28" s="543"/>
      <c r="CA28" s="543"/>
      <c r="CB28" s="543"/>
      <c r="CC28" s="543"/>
      <c r="CD28" s="543"/>
      <c r="CE28" s="543"/>
      <c r="CF28" s="543"/>
      <c r="CG28" s="543"/>
      <c r="CH28" s="543"/>
      <c r="CI28" s="543"/>
      <c r="CJ28" s="543"/>
      <c r="CK28" s="543"/>
      <c r="CL28" s="543"/>
      <c r="CM28" s="543"/>
      <c r="CN28" s="543"/>
      <c r="CO28" s="543"/>
      <c r="CP28" s="543"/>
      <c r="CQ28" s="543"/>
      <c r="CR28" s="543"/>
      <c r="CS28" s="543"/>
      <c r="CT28" s="543"/>
      <c r="CU28" s="543"/>
      <c r="CV28" s="543"/>
      <c r="CW28" s="543"/>
      <c r="CX28" s="543"/>
      <c r="CY28" s="543"/>
      <c r="CZ28" s="543"/>
      <c r="DA28" s="543"/>
      <c r="DB28" s="543"/>
      <c r="DC28" s="543"/>
      <c r="DD28" s="543"/>
      <c r="DE28" s="543"/>
      <c r="DF28" s="543"/>
      <c r="DG28" s="543"/>
      <c r="DH28" s="543"/>
      <c r="DI28" s="543"/>
      <c r="DJ28" s="543"/>
      <c r="DK28" s="543"/>
      <c r="DL28" s="543"/>
      <c r="DM28" s="543"/>
      <c r="DN28" s="543"/>
      <c r="DO28" s="543"/>
      <c r="DP28" s="543"/>
      <c r="DQ28" s="543"/>
      <c r="DR28" s="543"/>
      <c r="DS28" s="543"/>
      <c r="DT28" s="543"/>
      <c r="DU28" s="543"/>
      <c r="DV28" s="543"/>
      <c r="DW28" s="543"/>
      <c r="DX28" s="543"/>
      <c r="DY28" s="543"/>
      <c r="DZ28" s="543"/>
      <c r="EA28" s="543"/>
      <c r="EB28" s="543"/>
      <c r="EC28" s="543"/>
      <c r="ED28" s="543"/>
      <c r="EE28" s="543"/>
      <c r="EF28" s="543"/>
      <c r="EG28" s="543"/>
      <c r="EH28" s="543"/>
      <c r="EI28" s="543"/>
      <c r="EJ28" s="543"/>
      <c r="EK28" s="543"/>
      <c r="EL28" s="543"/>
      <c r="EM28" s="543"/>
      <c r="EN28" s="543"/>
      <c r="EO28" s="543"/>
      <c r="EP28" s="543"/>
      <c r="EQ28" s="543"/>
      <c r="ER28" s="543"/>
      <c r="ES28" s="543"/>
      <c r="ET28" s="543"/>
      <c r="EU28" s="543"/>
      <c r="EV28" s="543"/>
      <c r="EW28" s="543"/>
      <c r="EX28" s="543"/>
      <c r="EY28" s="543"/>
      <c r="EZ28" s="543"/>
      <c r="FA28" s="543"/>
      <c r="FB28" s="543"/>
      <c r="FC28" s="543"/>
      <c r="FD28" s="543"/>
      <c r="FE28" s="543"/>
      <c r="FF28" s="543"/>
      <c r="FG28" s="543"/>
      <c r="FH28" s="543"/>
      <c r="FI28" s="543"/>
      <c r="FJ28" s="543"/>
      <c r="FK28" s="543"/>
      <c r="FL28" s="543"/>
      <c r="FM28" s="543"/>
      <c r="FN28" s="543"/>
      <c r="FO28" s="543"/>
      <c r="FP28" s="543"/>
      <c r="FQ28" s="543"/>
      <c r="FR28" s="543"/>
      <c r="FS28" s="543"/>
      <c r="FT28" s="543"/>
      <c r="FU28" s="543"/>
      <c r="FV28" s="543"/>
      <c r="FW28" s="543"/>
      <c r="FX28" s="543"/>
      <c r="FY28" s="543"/>
      <c r="FZ28" s="543"/>
      <c r="GA28" s="543"/>
      <c r="GB28" s="543"/>
      <c r="GC28" s="543"/>
      <c r="GD28" s="543"/>
      <c r="GE28" s="543"/>
      <c r="GF28" s="543"/>
      <c r="GG28" s="543"/>
      <c r="GH28" s="543"/>
      <c r="GI28" s="543"/>
      <c r="GJ28" s="543"/>
      <c r="GK28" s="543"/>
      <c r="GL28" s="543"/>
      <c r="GM28" s="543"/>
      <c r="GN28" s="543"/>
      <c r="GO28" s="543"/>
      <c r="GP28" s="543"/>
      <c r="GQ28" s="543"/>
      <c r="GR28" s="543"/>
      <c r="GS28" s="543"/>
      <c r="GT28" s="543"/>
      <c r="GU28" s="543"/>
      <c r="GV28" s="543"/>
      <c r="GW28" s="543"/>
      <c r="GX28" s="543"/>
      <c r="GY28" s="543"/>
      <c r="GZ28" s="543"/>
      <c r="HA28" s="543"/>
      <c r="HB28" s="543"/>
      <c r="HC28" s="543"/>
      <c r="HD28" s="543"/>
      <c r="HE28" s="543"/>
      <c r="HF28" s="543"/>
      <c r="HG28" s="543"/>
      <c r="HH28" s="543"/>
      <c r="HI28" s="543"/>
      <c r="HJ28" s="543"/>
      <c r="HK28" s="543"/>
      <c r="HL28" s="543"/>
      <c r="HM28" s="543"/>
      <c r="HN28" s="543"/>
      <c r="HO28" s="543"/>
      <c r="HP28" s="543"/>
      <c r="HQ28" s="543"/>
      <c r="HR28" s="543"/>
      <c r="HS28" s="543"/>
      <c r="HT28" s="543"/>
      <c r="HU28" s="543"/>
      <c r="HV28" s="543"/>
      <c r="HW28" s="543"/>
      <c r="HX28" s="543"/>
      <c r="HY28" s="543"/>
      <c r="HZ28" s="543"/>
      <c r="IA28" s="543"/>
      <c r="IB28" s="543"/>
      <c r="IC28" s="543"/>
      <c r="ID28" s="543"/>
      <c r="IE28" s="543"/>
      <c r="IF28" s="543"/>
      <c r="IG28" s="543"/>
      <c r="IH28" s="543"/>
      <c r="II28" s="543"/>
      <c r="IJ28" s="543"/>
      <c r="IK28" s="543"/>
      <c r="IL28" s="543"/>
      <c r="IM28" s="543"/>
      <c r="IN28" s="543"/>
      <c r="IO28" s="543"/>
      <c r="IP28" s="543"/>
      <c r="IQ28" s="543"/>
      <c r="IR28" s="543"/>
      <c r="IS28" s="543"/>
      <c r="IT28" s="543"/>
      <c r="IU28" s="543"/>
    </row>
    <row r="29" spans="1:255">
      <c r="W29" s="543"/>
      <c r="X29" s="543"/>
      <c r="Y29" s="543"/>
      <c r="Z29" s="543"/>
      <c r="AA29" s="543"/>
      <c r="AB29" s="543"/>
      <c r="AC29" s="543"/>
      <c r="AD29" s="543"/>
      <c r="AE29" s="543"/>
      <c r="AF29" s="543"/>
      <c r="AG29" s="543"/>
      <c r="AH29" s="543"/>
      <c r="AI29" s="543"/>
      <c r="AJ29" s="543"/>
      <c r="AK29" s="543"/>
      <c r="AL29" s="543"/>
      <c r="AM29" s="543"/>
      <c r="AN29" s="543"/>
      <c r="AO29" s="543"/>
      <c r="AP29" s="543"/>
      <c r="AQ29" s="543"/>
      <c r="AR29" s="543"/>
      <c r="AS29" s="543"/>
      <c r="AT29" s="543"/>
      <c r="AU29" s="543"/>
      <c r="AV29" s="543"/>
      <c r="AW29" s="543"/>
      <c r="AX29" s="543"/>
      <c r="AY29" s="543"/>
      <c r="AZ29" s="543"/>
      <c r="BA29" s="543"/>
      <c r="BB29" s="543"/>
      <c r="BC29" s="543"/>
      <c r="BD29" s="543"/>
      <c r="BE29" s="543"/>
      <c r="BF29" s="543"/>
      <c r="BG29" s="543"/>
      <c r="BH29" s="543"/>
      <c r="BI29" s="543"/>
      <c r="BJ29" s="543"/>
      <c r="BK29" s="543"/>
      <c r="BL29" s="543"/>
      <c r="BM29" s="543"/>
      <c r="BN29" s="543"/>
      <c r="BO29" s="543"/>
      <c r="BP29" s="543"/>
      <c r="BQ29" s="543"/>
      <c r="BR29" s="543"/>
      <c r="BS29" s="543"/>
      <c r="BT29" s="543"/>
      <c r="BU29" s="543"/>
      <c r="BV29" s="543"/>
      <c r="BW29" s="543"/>
      <c r="BX29" s="543"/>
      <c r="BY29" s="543"/>
      <c r="BZ29" s="543"/>
      <c r="CA29" s="543"/>
      <c r="CB29" s="543"/>
      <c r="CC29" s="543"/>
      <c r="CD29" s="543"/>
      <c r="CE29" s="543"/>
      <c r="CF29" s="543"/>
      <c r="CG29" s="543"/>
      <c r="CH29" s="543"/>
      <c r="CI29" s="543"/>
      <c r="CJ29" s="543"/>
      <c r="CK29" s="543"/>
      <c r="CL29" s="543"/>
      <c r="CM29" s="543"/>
      <c r="CN29" s="543"/>
      <c r="CO29" s="543"/>
      <c r="CP29" s="543"/>
      <c r="CQ29" s="543"/>
      <c r="CR29" s="543"/>
      <c r="CS29" s="543"/>
      <c r="CT29" s="543"/>
      <c r="CU29" s="543"/>
      <c r="CV29" s="543"/>
      <c r="CW29" s="543"/>
      <c r="CX29" s="543"/>
      <c r="CY29" s="543"/>
      <c r="CZ29" s="543"/>
      <c r="DA29" s="543"/>
      <c r="DB29" s="543"/>
      <c r="DC29" s="543"/>
      <c r="DD29" s="543"/>
      <c r="DE29" s="543"/>
      <c r="DF29" s="543"/>
      <c r="DG29" s="543"/>
      <c r="DH29" s="543"/>
      <c r="DI29" s="543"/>
      <c r="DJ29" s="543"/>
      <c r="DK29" s="543"/>
      <c r="DL29" s="543"/>
      <c r="DM29" s="543"/>
      <c r="DN29" s="543"/>
      <c r="DO29" s="543"/>
      <c r="DP29" s="543"/>
      <c r="DQ29" s="543"/>
      <c r="DR29" s="543"/>
      <c r="DS29" s="543"/>
      <c r="DT29" s="543"/>
      <c r="DU29" s="543"/>
      <c r="DV29" s="543"/>
      <c r="DW29" s="543"/>
      <c r="DX29" s="543"/>
      <c r="DY29" s="543"/>
      <c r="DZ29" s="543"/>
      <c r="EA29" s="543"/>
      <c r="EB29" s="543"/>
      <c r="EC29" s="543"/>
      <c r="ED29" s="543"/>
      <c r="EE29" s="543"/>
      <c r="EF29" s="543"/>
      <c r="EG29" s="543"/>
      <c r="EH29" s="543"/>
      <c r="EI29" s="543"/>
      <c r="EJ29" s="543"/>
      <c r="EK29" s="543"/>
      <c r="EL29" s="543"/>
      <c r="EM29" s="543"/>
      <c r="EN29" s="543"/>
      <c r="EO29" s="543"/>
      <c r="EP29" s="543"/>
      <c r="EQ29" s="543"/>
      <c r="ER29" s="543"/>
      <c r="ES29" s="543"/>
      <c r="ET29" s="543"/>
      <c r="EU29" s="543"/>
      <c r="EV29" s="543"/>
      <c r="EW29" s="543"/>
      <c r="EX29" s="543"/>
      <c r="EY29" s="543"/>
      <c r="EZ29" s="543"/>
      <c r="FA29" s="543"/>
      <c r="FB29" s="543"/>
      <c r="FC29" s="543"/>
      <c r="FD29" s="543"/>
      <c r="FE29" s="543"/>
      <c r="FF29" s="543"/>
      <c r="FG29" s="543"/>
      <c r="FH29" s="543"/>
      <c r="FI29" s="543"/>
      <c r="FJ29" s="543"/>
      <c r="FK29" s="543"/>
      <c r="FL29" s="543"/>
      <c r="FM29" s="543"/>
      <c r="FN29" s="543"/>
      <c r="FO29" s="543"/>
      <c r="FP29" s="543"/>
      <c r="FQ29" s="543"/>
      <c r="FR29" s="543"/>
      <c r="FS29" s="543"/>
      <c r="FT29" s="543"/>
      <c r="FU29" s="543"/>
      <c r="FV29" s="543"/>
      <c r="FW29" s="543"/>
      <c r="FX29" s="543"/>
      <c r="FY29" s="543"/>
      <c r="FZ29" s="543"/>
      <c r="GA29" s="543"/>
      <c r="GB29" s="543"/>
      <c r="GC29" s="543"/>
      <c r="GD29" s="543"/>
      <c r="GE29" s="543"/>
      <c r="GF29" s="543"/>
      <c r="GG29" s="543"/>
      <c r="GH29" s="543"/>
      <c r="GI29" s="543"/>
      <c r="GJ29" s="543"/>
      <c r="GK29" s="543"/>
      <c r="GL29" s="543"/>
      <c r="GM29" s="543"/>
      <c r="GN29" s="543"/>
      <c r="GO29" s="543"/>
      <c r="GP29" s="543"/>
      <c r="GQ29" s="543"/>
      <c r="GR29" s="543"/>
      <c r="GS29" s="543"/>
      <c r="GT29" s="543"/>
      <c r="GU29" s="543"/>
      <c r="GV29" s="543"/>
      <c r="GW29" s="543"/>
      <c r="GX29" s="543"/>
      <c r="GY29" s="543"/>
      <c r="GZ29" s="543"/>
      <c r="HA29" s="543"/>
      <c r="HB29" s="543"/>
      <c r="HC29" s="543"/>
      <c r="HD29" s="543"/>
      <c r="HE29" s="543"/>
      <c r="HF29" s="543"/>
      <c r="HG29" s="543"/>
      <c r="HH29" s="543"/>
      <c r="HI29" s="543"/>
      <c r="HJ29" s="543"/>
      <c r="HK29" s="543"/>
      <c r="HL29" s="543"/>
      <c r="HM29" s="543"/>
      <c r="HN29" s="543"/>
      <c r="HO29" s="543"/>
      <c r="HP29" s="543"/>
      <c r="HQ29" s="543"/>
      <c r="HR29" s="543"/>
      <c r="HS29" s="543"/>
      <c r="HT29" s="543"/>
      <c r="HU29" s="543"/>
      <c r="HV29" s="543"/>
      <c r="HW29" s="543"/>
      <c r="HX29" s="543"/>
      <c r="HY29" s="543"/>
      <c r="HZ29" s="543"/>
      <c r="IA29" s="543"/>
      <c r="IB29" s="543"/>
      <c r="IC29" s="543"/>
      <c r="ID29" s="543"/>
      <c r="IE29" s="543"/>
      <c r="IF29" s="543"/>
      <c r="IG29" s="543"/>
      <c r="IH29" s="543"/>
      <c r="II29" s="543"/>
      <c r="IJ29" s="543"/>
      <c r="IK29" s="543"/>
      <c r="IL29" s="543"/>
      <c r="IM29" s="543"/>
      <c r="IN29" s="543"/>
      <c r="IO29" s="543"/>
      <c r="IP29" s="543"/>
      <c r="IQ29" s="543"/>
      <c r="IR29" s="543"/>
      <c r="IS29" s="543"/>
      <c r="IT29" s="543"/>
      <c r="IU29" s="543"/>
    </row>
    <row r="30" spans="1:255">
      <c r="A30" s="554" t="s">
        <v>388</v>
      </c>
      <c r="B30" s="555"/>
      <c r="C30" s="562">
        <f t="shared" ref="C30:V30" ca="1" si="8">C28*C26</f>
        <v>0</v>
      </c>
      <c r="D30" s="562">
        <f t="shared" ca="1" si="8"/>
        <v>1341.8580880993732</v>
      </c>
      <c r="E30" s="562">
        <f t="shared" ca="1" si="8"/>
        <v>1544.5971216920732</v>
      </c>
      <c r="F30" s="562">
        <f t="shared" ca="1" si="8"/>
        <v>2458.5910885744952</v>
      </c>
      <c r="G30" s="562">
        <f t="shared" ca="1" si="8"/>
        <v>3100.8197460553224</v>
      </c>
      <c r="H30" s="562">
        <f t="shared" ca="1" si="8"/>
        <v>1505.8583522501674</v>
      </c>
      <c r="I30" s="562">
        <f t="shared" ca="1" si="8"/>
        <v>4004.522232462069</v>
      </c>
      <c r="J30" s="562">
        <f t="shared" ca="1" si="8"/>
        <v>6699.4846821212595</v>
      </c>
      <c r="K30" s="562">
        <f t="shared" ca="1" si="8"/>
        <v>7078.4484728588732</v>
      </c>
      <c r="L30" s="562">
        <f t="shared" ca="1" si="8"/>
        <v>6614.577331876334</v>
      </c>
      <c r="M30" s="562">
        <f t="shared" ca="1" si="8"/>
        <v>7065.4416199436264</v>
      </c>
      <c r="N30" s="562">
        <f t="shared" ca="1" si="8"/>
        <v>6713.671998057921</v>
      </c>
      <c r="O30" s="562">
        <f t="shared" ca="1" si="8"/>
        <v>6548.1475392490656</v>
      </c>
      <c r="P30" s="562">
        <f t="shared" ca="1" si="8"/>
        <v>5750.3515676307306</v>
      </c>
      <c r="Q30" s="562">
        <f t="shared" ca="1" si="8"/>
        <v>7734.8086639526209</v>
      </c>
      <c r="R30" s="562">
        <f t="shared" ca="1" si="8"/>
        <v>11261.364818497012</v>
      </c>
      <c r="S30" s="562">
        <f t="shared" ca="1" si="8"/>
        <v>14685.356174094595</v>
      </c>
      <c r="T30" s="562">
        <f t="shared" ca="1" si="8"/>
        <v>14883.037748903349</v>
      </c>
      <c r="U30" s="562">
        <f t="shared" ca="1" si="8"/>
        <v>15549.763598416434</v>
      </c>
      <c r="V30" s="562">
        <f t="shared" ca="1" si="8"/>
        <v>12861.009191723133</v>
      </c>
      <c r="W30" s="543"/>
      <c r="X30" s="543"/>
      <c r="Y30" s="543"/>
      <c r="Z30" s="543"/>
      <c r="AA30" s="543"/>
      <c r="AB30" s="543"/>
      <c r="AC30" s="543"/>
      <c r="AD30" s="543"/>
      <c r="AE30" s="543"/>
      <c r="AF30" s="543"/>
      <c r="AG30" s="543"/>
      <c r="AH30" s="543"/>
      <c r="AI30" s="543"/>
      <c r="AJ30" s="543"/>
      <c r="AK30" s="543"/>
      <c r="AL30" s="543"/>
      <c r="AM30" s="543"/>
      <c r="AN30" s="543"/>
      <c r="AO30" s="543"/>
      <c r="AP30" s="543"/>
      <c r="AQ30" s="543"/>
      <c r="AR30" s="543"/>
      <c r="AS30" s="543"/>
      <c r="AT30" s="543"/>
      <c r="AU30" s="543"/>
      <c r="AV30" s="543"/>
      <c r="AW30" s="543"/>
      <c r="AX30" s="543"/>
      <c r="AY30" s="543"/>
      <c r="AZ30" s="543"/>
      <c r="BA30" s="543"/>
      <c r="BB30" s="543"/>
      <c r="BC30" s="543"/>
      <c r="BD30" s="543"/>
      <c r="BE30" s="543"/>
      <c r="BF30" s="543"/>
      <c r="BG30" s="543"/>
      <c r="BH30" s="543"/>
      <c r="BI30" s="543"/>
      <c r="BJ30" s="543"/>
      <c r="BK30" s="543"/>
      <c r="BL30" s="543"/>
      <c r="BM30" s="543"/>
      <c r="BN30" s="543"/>
      <c r="BO30" s="543"/>
      <c r="BP30" s="543"/>
      <c r="BQ30" s="543"/>
      <c r="BR30" s="543"/>
      <c r="BS30" s="543"/>
      <c r="BT30" s="543"/>
      <c r="BU30" s="543"/>
      <c r="BV30" s="543"/>
      <c r="BW30" s="543"/>
      <c r="BX30" s="543"/>
      <c r="BY30" s="543"/>
      <c r="BZ30" s="543"/>
      <c r="CA30" s="543"/>
      <c r="CB30" s="543"/>
      <c r="CC30" s="543"/>
      <c r="CD30" s="543"/>
      <c r="CE30" s="543"/>
      <c r="CF30" s="543"/>
      <c r="CG30" s="543"/>
      <c r="CH30" s="543"/>
      <c r="CI30" s="543"/>
      <c r="CJ30" s="543"/>
      <c r="CK30" s="543"/>
      <c r="CL30" s="543"/>
      <c r="CM30" s="543"/>
      <c r="CN30" s="543"/>
      <c r="CO30" s="543"/>
      <c r="CP30" s="543"/>
      <c r="CQ30" s="543"/>
      <c r="CR30" s="543"/>
      <c r="CS30" s="543"/>
      <c r="CT30" s="543"/>
      <c r="CU30" s="543"/>
      <c r="CV30" s="543"/>
      <c r="CW30" s="543"/>
      <c r="CX30" s="543"/>
      <c r="CY30" s="543"/>
      <c r="CZ30" s="543"/>
      <c r="DA30" s="543"/>
      <c r="DB30" s="543"/>
      <c r="DC30" s="543"/>
      <c r="DD30" s="543"/>
      <c r="DE30" s="543"/>
      <c r="DF30" s="543"/>
      <c r="DG30" s="543"/>
      <c r="DH30" s="543"/>
      <c r="DI30" s="543"/>
      <c r="DJ30" s="543"/>
      <c r="DK30" s="543"/>
      <c r="DL30" s="543"/>
      <c r="DM30" s="543"/>
      <c r="DN30" s="543"/>
      <c r="DO30" s="543"/>
      <c r="DP30" s="543"/>
      <c r="DQ30" s="543"/>
      <c r="DR30" s="543"/>
      <c r="DS30" s="543"/>
      <c r="DT30" s="543"/>
      <c r="DU30" s="543"/>
      <c r="DV30" s="543"/>
      <c r="DW30" s="543"/>
      <c r="DX30" s="543"/>
      <c r="DY30" s="543"/>
      <c r="DZ30" s="543"/>
      <c r="EA30" s="543"/>
      <c r="EB30" s="543"/>
      <c r="EC30" s="543"/>
      <c r="ED30" s="543"/>
      <c r="EE30" s="543"/>
      <c r="EF30" s="543"/>
      <c r="EG30" s="543"/>
      <c r="EH30" s="543"/>
      <c r="EI30" s="543"/>
      <c r="EJ30" s="543"/>
      <c r="EK30" s="543"/>
      <c r="EL30" s="543"/>
      <c r="EM30" s="543"/>
      <c r="EN30" s="543"/>
      <c r="EO30" s="543"/>
      <c r="EP30" s="543"/>
      <c r="EQ30" s="543"/>
      <c r="ER30" s="543"/>
      <c r="ES30" s="543"/>
      <c r="ET30" s="543"/>
      <c r="EU30" s="543"/>
      <c r="EV30" s="543"/>
      <c r="EW30" s="543"/>
      <c r="EX30" s="543"/>
      <c r="EY30" s="543"/>
      <c r="EZ30" s="543"/>
      <c r="FA30" s="543"/>
      <c r="FB30" s="543"/>
      <c r="FC30" s="543"/>
      <c r="FD30" s="543"/>
      <c r="FE30" s="543"/>
      <c r="FF30" s="543"/>
      <c r="FG30" s="543"/>
      <c r="FH30" s="543"/>
      <c r="FI30" s="543"/>
      <c r="FJ30" s="543"/>
      <c r="FK30" s="543"/>
      <c r="FL30" s="543"/>
      <c r="FM30" s="543"/>
      <c r="FN30" s="543"/>
      <c r="FO30" s="543"/>
      <c r="FP30" s="543"/>
      <c r="FQ30" s="543"/>
      <c r="FR30" s="543"/>
      <c r="FS30" s="543"/>
      <c r="FT30" s="543"/>
      <c r="FU30" s="543"/>
      <c r="FV30" s="543"/>
      <c r="FW30" s="543"/>
      <c r="FX30" s="543"/>
      <c r="FY30" s="543"/>
      <c r="FZ30" s="543"/>
      <c r="GA30" s="543"/>
      <c r="GB30" s="543"/>
      <c r="GC30" s="543"/>
      <c r="GD30" s="543"/>
      <c r="GE30" s="543"/>
      <c r="GF30" s="543"/>
      <c r="GG30" s="543"/>
      <c r="GH30" s="543"/>
      <c r="GI30" s="543"/>
      <c r="GJ30" s="543"/>
      <c r="GK30" s="543"/>
      <c r="GL30" s="543"/>
      <c r="GM30" s="543"/>
      <c r="GN30" s="543"/>
      <c r="GO30" s="543"/>
      <c r="GP30" s="543"/>
      <c r="GQ30" s="543"/>
      <c r="GR30" s="543"/>
      <c r="GS30" s="543"/>
      <c r="GT30" s="543"/>
      <c r="GU30" s="543"/>
      <c r="GV30" s="543"/>
      <c r="GW30" s="543"/>
      <c r="GX30" s="543"/>
      <c r="GY30" s="543"/>
      <c r="GZ30" s="543"/>
      <c r="HA30" s="543"/>
      <c r="HB30" s="543"/>
      <c r="HC30" s="543"/>
      <c r="HD30" s="543"/>
      <c r="HE30" s="543"/>
      <c r="HF30" s="543"/>
      <c r="HG30" s="543"/>
      <c r="HH30" s="543"/>
      <c r="HI30" s="543"/>
      <c r="HJ30" s="543"/>
      <c r="HK30" s="543"/>
      <c r="HL30" s="543"/>
      <c r="HM30" s="543"/>
      <c r="HN30" s="543"/>
      <c r="HO30" s="543"/>
      <c r="HP30" s="543"/>
      <c r="HQ30" s="543"/>
      <c r="HR30" s="543"/>
      <c r="HS30" s="543"/>
      <c r="HT30" s="543"/>
      <c r="HU30" s="543"/>
      <c r="HV30" s="543"/>
      <c r="HW30" s="543"/>
      <c r="HX30" s="543"/>
      <c r="HY30" s="543"/>
      <c r="HZ30" s="543"/>
      <c r="IA30" s="543"/>
      <c r="IB30" s="543"/>
      <c r="IC30" s="543"/>
      <c r="ID30" s="543"/>
      <c r="IE30" s="543"/>
      <c r="IF30" s="543"/>
      <c r="IG30" s="543"/>
      <c r="IH30" s="543"/>
      <c r="II30" s="543"/>
      <c r="IJ30" s="543"/>
      <c r="IK30" s="543"/>
      <c r="IL30" s="543"/>
      <c r="IM30" s="543"/>
      <c r="IN30" s="543"/>
      <c r="IO30" s="543"/>
      <c r="IP30" s="543"/>
      <c r="IQ30" s="543"/>
      <c r="IR30" s="543"/>
      <c r="IS30" s="543"/>
      <c r="IT30" s="543"/>
      <c r="IU30" s="543"/>
    </row>
    <row r="31" spans="1:255"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57"/>
      <c r="P31" s="557"/>
      <c r="Q31" s="557"/>
      <c r="R31" s="557"/>
      <c r="S31" s="557"/>
      <c r="T31" s="557"/>
      <c r="U31" s="557"/>
      <c r="V31" s="557"/>
      <c r="W31" s="543"/>
      <c r="X31" s="543"/>
      <c r="Y31" s="543"/>
      <c r="Z31" s="543"/>
      <c r="AA31" s="543"/>
      <c r="AB31" s="543"/>
      <c r="AC31" s="543"/>
      <c r="AD31" s="543"/>
      <c r="AE31" s="543"/>
      <c r="AF31" s="543"/>
      <c r="AG31" s="543"/>
      <c r="AH31" s="543"/>
      <c r="AI31" s="543"/>
      <c r="AJ31" s="543"/>
      <c r="AK31" s="543"/>
      <c r="AL31" s="543"/>
      <c r="AM31" s="543"/>
      <c r="AN31" s="543"/>
      <c r="AO31" s="543"/>
      <c r="AP31" s="543"/>
      <c r="AQ31" s="543"/>
      <c r="AR31" s="543"/>
      <c r="AS31" s="543"/>
      <c r="AT31" s="543"/>
      <c r="AU31" s="543"/>
      <c r="AV31" s="543"/>
      <c r="AW31" s="543"/>
      <c r="AX31" s="543"/>
      <c r="AY31" s="543"/>
      <c r="AZ31" s="543"/>
      <c r="BA31" s="543"/>
      <c r="BB31" s="543"/>
      <c r="BC31" s="543"/>
      <c r="BD31" s="543"/>
      <c r="BE31" s="543"/>
      <c r="BF31" s="543"/>
      <c r="BG31" s="543"/>
      <c r="BH31" s="543"/>
      <c r="BI31" s="543"/>
      <c r="BJ31" s="543"/>
      <c r="BK31" s="543"/>
      <c r="BL31" s="543"/>
      <c r="BM31" s="543"/>
      <c r="BN31" s="543"/>
      <c r="BO31" s="543"/>
      <c r="BP31" s="543"/>
      <c r="BQ31" s="543"/>
      <c r="BR31" s="543"/>
      <c r="BS31" s="543"/>
      <c r="BT31" s="543"/>
      <c r="BU31" s="543"/>
      <c r="BV31" s="543"/>
      <c r="BW31" s="543"/>
      <c r="BX31" s="543"/>
      <c r="BY31" s="543"/>
      <c r="BZ31" s="543"/>
      <c r="CA31" s="543"/>
      <c r="CB31" s="543"/>
      <c r="CC31" s="543"/>
      <c r="CD31" s="543"/>
      <c r="CE31" s="543"/>
      <c r="CF31" s="543"/>
      <c r="CG31" s="543"/>
      <c r="CH31" s="543"/>
      <c r="CI31" s="543"/>
      <c r="CJ31" s="543"/>
      <c r="CK31" s="543"/>
      <c r="CL31" s="543"/>
      <c r="CM31" s="543"/>
      <c r="CN31" s="543"/>
      <c r="CO31" s="543"/>
      <c r="CP31" s="543"/>
      <c r="CQ31" s="543"/>
      <c r="CR31" s="543"/>
      <c r="CS31" s="543"/>
      <c r="CT31" s="543"/>
      <c r="CU31" s="543"/>
      <c r="CV31" s="543"/>
      <c r="CW31" s="543"/>
      <c r="CX31" s="543"/>
      <c r="CY31" s="543"/>
      <c r="CZ31" s="543"/>
      <c r="DA31" s="543"/>
      <c r="DB31" s="543"/>
      <c r="DC31" s="543"/>
      <c r="DD31" s="543"/>
      <c r="DE31" s="543"/>
      <c r="DF31" s="543"/>
      <c r="DG31" s="543"/>
      <c r="DH31" s="543"/>
      <c r="DI31" s="543"/>
      <c r="DJ31" s="543"/>
      <c r="DK31" s="543"/>
      <c r="DL31" s="543"/>
      <c r="DM31" s="543"/>
      <c r="DN31" s="543"/>
      <c r="DO31" s="543"/>
      <c r="DP31" s="543"/>
      <c r="DQ31" s="543"/>
      <c r="DR31" s="543"/>
      <c r="DS31" s="543"/>
      <c r="DT31" s="543"/>
      <c r="DU31" s="543"/>
      <c r="DV31" s="543"/>
      <c r="DW31" s="543"/>
      <c r="DX31" s="543"/>
      <c r="DY31" s="543"/>
      <c r="DZ31" s="543"/>
      <c r="EA31" s="543"/>
      <c r="EB31" s="543"/>
      <c r="EC31" s="543"/>
      <c r="ED31" s="543"/>
      <c r="EE31" s="543"/>
      <c r="EF31" s="543"/>
      <c r="EG31" s="543"/>
      <c r="EH31" s="543"/>
      <c r="EI31" s="543"/>
      <c r="EJ31" s="543"/>
      <c r="EK31" s="543"/>
      <c r="EL31" s="543"/>
      <c r="EM31" s="543"/>
      <c r="EN31" s="543"/>
      <c r="EO31" s="543"/>
      <c r="EP31" s="543"/>
      <c r="EQ31" s="543"/>
      <c r="ER31" s="543"/>
      <c r="ES31" s="543"/>
      <c r="ET31" s="543"/>
      <c r="EU31" s="543"/>
      <c r="EV31" s="543"/>
      <c r="EW31" s="543"/>
      <c r="EX31" s="543"/>
      <c r="EY31" s="543"/>
      <c r="EZ31" s="543"/>
      <c r="FA31" s="543"/>
      <c r="FB31" s="543"/>
      <c r="FC31" s="543"/>
      <c r="FD31" s="543"/>
      <c r="FE31" s="543"/>
      <c r="FF31" s="543"/>
      <c r="FG31" s="543"/>
      <c r="FH31" s="543"/>
      <c r="FI31" s="543"/>
      <c r="FJ31" s="543"/>
      <c r="FK31" s="543"/>
      <c r="FL31" s="543"/>
      <c r="FM31" s="543"/>
      <c r="FN31" s="543"/>
      <c r="FO31" s="543"/>
      <c r="FP31" s="543"/>
      <c r="FQ31" s="543"/>
      <c r="FR31" s="543"/>
      <c r="FS31" s="543"/>
      <c r="FT31" s="543"/>
      <c r="FU31" s="543"/>
      <c r="FV31" s="543"/>
      <c r="FW31" s="543"/>
      <c r="FX31" s="543"/>
      <c r="FY31" s="543"/>
      <c r="FZ31" s="543"/>
      <c r="GA31" s="543"/>
      <c r="GB31" s="543"/>
      <c r="GC31" s="543"/>
      <c r="GD31" s="543"/>
      <c r="GE31" s="543"/>
      <c r="GF31" s="543"/>
      <c r="GG31" s="543"/>
      <c r="GH31" s="543"/>
      <c r="GI31" s="543"/>
      <c r="GJ31" s="543"/>
      <c r="GK31" s="543"/>
      <c r="GL31" s="543"/>
      <c r="GM31" s="543"/>
      <c r="GN31" s="543"/>
      <c r="GO31" s="543"/>
      <c r="GP31" s="543"/>
      <c r="GQ31" s="543"/>
      <c r="GR31" s="543"/>
      <c r="GS31" s="543"/>
      <c r="GT31" s="543"/>
      <c r="GU31" s="543"/>
      <c r="GV31" s="543"/>
      <c r="GW31" s="543"/>
      <c r="GX31" s="543"/>
      <c r="GY31" s="543"/>
      <c r="GZ31" s="543"/>
      <c r="HA31" s="543"/>
      <c r="HB31" s="543"/>
      <c r="HC31" s="543"/>
      <c r="HD31" s="543"/>
      <c r="HE31" s="543"/>
      <c r="HF31" s="543"/>
      <c r="HG31" s="543"/>
      <c r="HH31" s="543"/>
      <c r="HI31" s="543"/>
      <c r="HJ31" s="543"/>
      <c r="HK31" s="543"/>
      <c r="HL31" s="543"/>
      <c r="HM31" s="543"/>
      <c r="HN31" s="543"/>
      <c r="HO31" s="543"/>
      <c r="HP31" s="543"/>
      <c r="HQ31" s="543"/>
      <c r="HR31" s="543"/>
      <c r="HS31" s="543"/>
      <c r="HT31" s="543"/>
      <c r="HU31" s="543"/>
      <c r="HV31" s="543"/>
      <c r="HW31" s="543"/>
      <c r="HX31" s="543"/>
      <c r="HY31" s="543"/>
      <c r="HZ31" s="543"/>
      <c r="IA31" s="543"/>
      <c r="IB31" s="543"/>
      <c r="IC31" s="543"/>
      <c r="ID31" s="543"/>
      <c r="IE31" s="543"/>
      <c r="IF31" s="543"/>
      <c r="IG31" s="543"/>
      <c r="IH31" s="543"/>
      <c r="II31" s="543"/>
      <c r="IJ31" s="543"/>
      <c r="IK31" s="543"/>
      <c r="IL31" s="543"/>
      <c r="IM31" s="543"/>
      <c r="IN31" s="543"/>
      <c r="IO31" s="543"/>
      <c r="IP31" s="543"/>
      <c r="IQ31" s="543"/>
      <c r="IR31" s="543"/>
      <c r="IS31" s="543"/>
      <c r="IT31" s="543"/>
      <c r="IU31" s="543"/>
    </row>
    <row r="32" spans="1:255">
      <c r="A32" s="566"/>
      <c r="B32" s="567"/>
      <c r="C32" s="567"/>
      <c r="D32" s="567"/>
      <c r="E32" s="567"/>
      <c r="F32" s="567"/>
      <c r="G32" s="567"/>
      <c r="H32" s="567"/>
      <c r="I32" s="567"/>
      <c r="J32" s="567"/>
      <c r="K32" s="567"/>
      <c r="L32" s="567"/>
      <c r="M32" s="567"/>
      <c r="N32" s="567"/>
      <c r="O32" s="567"/>
      <c r="P32" s="567"/>
      <c r="Q32" s="567"/>
      <c r="R32" s="567"/>
      <c r="S32" s="567"/>
      <c r="T32" s="567"/>
      <c r="U32" s="567"/>
      <c r="V32" s="567"/>
      <c r="W32" s="568"/>
      <c r="X32" s="543"/>
      <c r="Y32" s="543"/>
      <c r="Z32" s="543"/>
      <c r="AA32" s="543"/>
      <c r="AB32" s="543"/>
      <c r="AC32" s="543"/>
      <c r="AD32" s="543"/>
      <c r="AE32" s="543"/>
      <c r="AF32" s="543"/>
      <c r="AG32" s="543"/>
      <c r="AH32" s="543"/>
      <c r="AI32" s="543"/>
      <c r="AJ32" s="543"/>
      <c r="AK32" s="543"/>
      <c r="AL32" s="543"/>
      <c r="AM32" s="543"/>
      <c r="AN32" s="543"/>
      <c r="AO32" s="543"/>
      <c r="AP32" s="543"/>
      <c r="AQ32" s="543"/>
      <c r="AR32" s="543"/>
      <c r="AS32" s="543"/>
      <c r="AT32" s="543"/>
      <c r="AU32" s="543"/>
      <c r="AV32" s="543"/>
      <c r="AW32" s="543"/>
      <c r="AX32" s="543"/>
      <c r="AY32" s="543"/>
      <c r="AZ32" s="543"/>
      <c r="BA32" s="543"/>
      <c r="BB32" s="543"/>
      <c r="BC32" s="543"/>
      <c r="BD32" s="543"/>
      <c r="BE32" s="543"/>
      <c r="BF32" s="543"/>
      <c r="BG32" s="543"/>
      <c r="BH32" s="543"/>
      <c r="BI32" s="543"/>
      <c r="BJ32" s="543"/>
      <c r="BK32" s="543"/>
      <c r="BL32" s="543"/>
      <c r="BM32" s="543"/>
      <c r="BN32" s="543"/>
      <c r="BO32" s="543"/>
      <c r="BP32" s="543"/>
      <c r="BQ32" s="543"/>
      <c r="BR32" s="543"/>
      <c r="BS32" s="543"/>
      <c r="BT32" s="543"/>
      <c r="BU32" s="543"/>
      <c r="BV32" s="543"/>
      <c r="BW32" s="543"/>
      <c r="BX32" s="543"/>
      <c r="BY32" s="543"/>
      <c r="BZ32" s="543"/>
      <c r="CA32" s="543"/>
      <c r="CB32" s="543"/>
      <c r="CC32" s="543"/>
      <c r="CD32" s="543"/>
      <c r="CE32" s="543"/>
      <c r="CF32" s="543"/>
      <c r="CG32" s="543"/>
      <c r="CH32" s="543"/>
      <c r="CI32" s="543"/>
      <c r="CJ32" s="543"/>
      <c r="CK32" s="543"/>
      <c r="CL32" s="543"/>
      <c r="CM32" s="543"/>
      <c r="CN32" s="543"/>
      <c r="CO32" s="543"/>
      <c r="CP32" s="543"/>
      <c r="CQ32" s="543"/>
      <c r="CR32" s="543"/>
      <c r="CS32" s="543"/>
      <c r="CT32" s="543"/>
      <c r="CU32" s="543"/>
      <c r="CV32" s="543"/>
      <c r="CW32" s="543"/>
      <c r="CX32" s="543"/>
      <c r="CY32" s="543"/>
      <c r="CZ32" s="543"/>
      <c r="DA32" s="543"/>
      <c r="DB32" s="543"/>
      <c r="DC32" s="543"/>
      <c r="DD32" s="543"/>
      <c r="DE32" s="543"/>
      <c r="DF32" s="543"/>
      <c r="DG32" s="543"/>
      <c r="DH32" s="543"/>
      <c r="DI32" s="543"/>
      <c r="DJ32" s="543"/>
      <c r="DK32" s="543"/>
      <c r="DL32" s="543"/>
      <c r="DM32" s="543"/>
      <c r="DN32" s="543"/>
      <c r="DO32" s="543"/>
      <c r="DP32" s="543"/>
      <c r="DQ32" s="543"/>
      <c r="DR32" s="543"/>
      <c r="DS32" s="543"/>
      <c r="DT32" s="543"/>
      <c r="DU32" s="543"/>
      <c r="DV32" s="543"/>
      <c r="DW32" s="543"/>
      <c r="DX32" s="543"/>
      <c r="DY32" s="543"/>
      <c r="DZ32" s="543"/>
      <c r="EA32" s="543"/>
      <c r="EB32" s="543"/>
      <c r="EC32" s="543"/>
      <c r="ED32" s="543"/>
      <c r="EE32" s="543"/>
      <c r="EF32" s="543"/>
      <c r="EG32" s="543"/>
      <c r="EH32" s="543"/>
      <c r="EI32" s="543"/>
      <c r="EJ32" s="543"/>
      <c r="EK32" s="543"/>
      <c r="EL32" s="543"/>
      <c r="EM32" s="543"/>
      <c r="EN32" s="543"/>
      <c r="EO32" s="543"/>
      <c r="EP32" s="543"/>
      <c r="EQ32" s="543"/>
      <c r="ER32" s="543"/>
      <c r="ES32" s="543"/>
      <c r="ET32" s="543"/>
      <c r="EU32" s="543"/>
      <c r="EV32" s="543"/>
      <c r="EW32" s="543"/>
      <c r="EX32" s="543"/>
      <c r="EY32" s="543"/>
      <c r="EZ32" s="543"/>
      <c r="FA32" s="543"/>
      <c r="FB32" s="543"/>
      <c r="FC32" s="543"/>
      <c r="FD32" s="543"/>
      <c r="FE32" s="543"/>
      <c r="FF32" s="543"/>
      <c r="FG32" s="543"/>
      <c r="FH32" s="543"/>
      <c r="FI32" s="543"/>
      <c r="FJ32" s="543"/>
      <c r="FK32" s="543"/>
      <c r="FL32" s="543"/>
      <c r="FM32" s="543"/>
      <c r="FN32" s="543"/>
      <c r="FO32" s="543"/>
      <c r="FP32" s="543"/>
      <c r="FQ32" s="543"/>
      <c r="FR32" s="543"/>
      <c r="FS32" s="543"/>
      <c r="FT32" s="543"/>
      <c r="FU32" s="543"/>
      <c r="FV32" s="543"/>
      <c r="FW32" s="543"/>
      <c r="FX32" s="543"/>
      <c r="FY32" s="543"/>
      <c r="FZ32" s="543"/>
      <c r="GA32" s="543"/>
      <c r="GB32" s="543"/>
      <c r="GC32" s="543"/>
      <c r="GD32" s="543"/>
      <c r="GE32" s="543"/>
      <c r="GF32" s="543"/>
      <c r="GG32" s="543"/>
      <c r="GH32" s="543"/>
      <c r="GI32" s="543"/>
      <c r="GJ32" s="543"/>
      <c r="GK32" s="543"/>
      <c r="GL32" s="543"/>
      <c r="GM32" s="543"/>
      <c r="GN32" s="543"/>
      <c r="GO32" s="543"/>
      <c r="GP32" s="543"/>
      <c r="GQ32" s="543"/>
      <c r="GR32" s="543"/>
      <c r="GS32" s="543"/>
      <c r="GT32" s="543"/>
      <c r="GU32" s="543"/>
      <c r="GV32" s="543"/>
      <c r="GW32" s="543"/>
      <c r="GX32" s="543"/>
      <c r="GY32" s="543"/>
      <c r="GZ32" s="543"/>
      <c r="HA32" s="543"/>
      <c r="HB32" s="543"/>
      <c r="HC32" s="543"/>
      <c r="HD32" s="543"/>
      <c r="HE32" s="543"/>
      <c r="HF32" s="543"/>
      <c r="HG32" s="543"/>
      <c r="HH32" s="543"/>
      <c r="HI32" s="543"/>
      <c r="HJ32" s="543"/>
      <c r="HK32" s="543"/>
      <c r="HL32" s="543"/>
      <c r="HM32" s="543"/>
      <c r="HN32" s="543"/>
      <c r="HO32" s="543"/>
      <c r="HP32" s="543"/>
      <c r="HQ32" s="543"/>
      <c r="HR32" s="543"/>
      <c r="HS32" s="543"/>
      <c r="HT32" s="543"/>
      <c r="HU32" s="543"/>
      <c r="HV32" s="543"/>
      <c r="HW32" s="543"/>
      <c r="HX32" s="543"/>
      <c r="HY32" s="543"/>
      <c r="HZ32" s="543"/>
      <c r="IA32" s="543"/>
      <c r="IB32" s="543"/>
      <c r="IC32" s="543"/>
      <c r="ID32" s="543"/>
      <c r="IE32" s="543"/>
      <c r="IF32" s="543"/>
      <c r="IG32" s="543"/>
      <c r="IH32" s="543"/>
      <c r="II32" s="543"/>
      <c r="IJ32" s="543"/>
      <c r="IK32" s="543"/>
      <c r="IL32" s="543"/>
      <c r="IM32" s="543"/>
      <c r="IN32" s="543"/>
      <c r="IO32" s="543"/>
      <c r="IP32" s="543"/>
      <c r="IQ32" s="543"/>
      <c r="IR32" s="543"/>
      <c r="IS32" s="543"/>
      <c r="IT32" s="543"/>
      <c r="IU32" s="543"/>
    </row>
    <row r="33" spans="1:255">
      <c r="A33" s="569" t="s">
        <v>389</v>
      </c>
      <c r="B33" s="555"/>
      <c r="C33" s="562">
        <f t="shared" ref="C33:V33" ca="1" si="9">C30</f>
        <v>0</v>
      </c>
      <c r="D33" s="562">
        <f t="shared" ca="1" si="9"/>
        <v>1341.8580880993732</v>
      </c>
      <c r="E33" s="562">
        <f t="shared" ca="1" si="9"/>
        <v>1544.5971216920732</v>
      </c>
      <c r="F33" s="562">
        <f t="shared" ca="1" si="9"/>
        <v>2458.5910885744952</v>
      </c>
      <c r="G33" s="562">
        <f t="shared" ca="1" si="9"/>
        <v>3100.8197460553224</v>
      </c>
      <c r="H33" s="562">
        <f t="shared" ca="1" si="9"/>
        <v>1505.8583522501674</v>
      </c>
      <c r="I33" s="562">
        <f t="shared" ca="1" si="9"/>
        <v>4004.522232462069</v>
      </c>
      <c r="J33" s="562">
        <f t="shared" ca="1" si="9"/>
        <v>6699.4846821212595</v>
      </c>
      <c r="K33" s="562">
        <f t="shared" ca="1" si="9"/>
        <v>7078.4484728588732</v>
      </c>
      <c r="L33" s="562">
        <f t="shared" ca="1" si="9"/>
        <v>6614.577331876334</v>
      </c>
      <c r="M33" s="562">
        <f t="shared" ca="1" si="9"/>
        <v>7065.4416199436264</v>
      </c>
      <c r="N33" s="562">
        <f t="shared" ca="1" si="9"/>
        <v>6713.671998057921</v>
      </c>
      <c r="O33" s="562">
        <f t="shared" ca="1" si="9"/>
        <v>6548.1475392490656</v>
      </c>
      <c r="P33" s="562">
        <f t="shared" ca="1" si="9"/>
        <v>5750.3515676307306</v>
      </c>
      <c r="Q33" s="562">
        <f t="shared" ca="1" si="9"/>
        <v>7734.8086639526209</v>
      </c>
      <c r="R33" s="562">
        <f t="shared" ca="1" si="9"/>
        <v>11261.364818497012</v>
      </c>
      <c r="S33" s="562">
        <f t="shared" ca="1" si="9"/>
        <v>14685.356174094595</v>
      </c>
      <c r="T33" s="562">
        <f t="shared" ca="1" si="9"/>
        <v>14883.037748903349</v>
      </c>
      <c r="U33" s="562">
        <f t="shared" ca="1" si="9"/>
        <v>15549.763598416434</v>
      </c>
      <c r="V33" s="562">
        <f t="shared" ca="1" si="9"/>
        <v>12861.009191723133</v>
      </c>
      <c r="W33" s="568"/>
      <c r="X33" s="543"/>
      <c r="Y33" s="543"/>
      <c r="Z33" s="543"/>
      <c r="AA33" s="543"/>
      <c r="AB33" s="543"/>
      <c r="AC33" s="543"/>
      <c r="AD33" s="543"/>
      <c r="AE33" s="543"/>
      <c r="AF33" s="543"/>
      <c r="AG33" s="543"/>
      <c r="AH33" s="543"/>
      <c r="AI33" s="543"/>
      <c r="AJ33" s="543"/>
      <c r="AK33" s="543"/>
      <c r="AL33" s="543"/>
      <c r="AM33" s="543"/>
      <c r="AN33" s="543"/>
      <c r="AO33" s="543"/>
      <c r="AP33" s="543"/>
      <c r="AQ33" s="543"/>
      <c r="AR33" s="543"/>
      <c r="AS33" s="543"/>
      <c r="AT33" s="543"/>
      <c r="AU33" s="543"/>
      <c r="AV33" s="543"/>
      <c r="AW33" s="543"/>
      <c r="AX33" s="543"/>
      <c r="AY33" s="543"/>
      <c r="AZ33" s="543"/>
      <c r="BA33" s="543"/>
      <c r="BB33" s="543"/>
      <c r="BC33" s="543"/>
      <c r="BD33" s="543"/>
      <c r="BE33" s="543"/>
      <c r="BF33" s="543"/>
      <c r="BG33" s="543"/>
      <c r="BH33" s="543"/>
      <c r="BI33" s="543"/>
      <c r="BJ33" s="543"/>
      <c r="BK33" s="543"/>
      <c r="BL33" s="543"/>
      <c r="BM33" s="543"/>
      <c r="BN33" s="543"/>
      <c r="BO33" s="543"/>
      <c r="BP33" s="543"/>
      <c r="BQ33" s="543"/>
      <c r="BR33" s="543"/>
      <c r="BS33" s="543"/>
      <c r="BT33" s="543"/>
      <c r="BU33" s="543"/>
      <c r="BV33" s="543"/>
      <c r="BW33" s="543"/>
      <c r="BX33" s="543"/>
      <c r="BY33" s="543"/>
      <c r="BZ33" s="543"/>
      <c r="CA33" s="543"/>
      <c r="CB33" s="543"/>
      <c r="CC33" s="543"/>
      <c r="CD33" s="543"/>
      <c r="CE33" s="543"/>
      <c r="CF33" s="543"/>
      <c r="CG33" s="543"/>
      <c r="CH33" s="543"/>
      <c r="CI33" s="543"/>
      <c r="CJ33" s="543"/>
      <c r="CK33" s="543"/>
      <c r="CL33" s="543"/>
      <c r="CM33" s="543"/>
      <c r="CN33" s="543"/>
      <c r="CO33" s="543"/>
      <c r="CP33" s="543"/>
      <c r="CQ33" s="543"/>
      <c r="CR33" s="543"/>
      <c r="CS33" s="543"/>
      <c r="CT33" s="543"/>
      <c r="CU33" s="543"/>
      <c r="CV33" s="543"/>
      <c r="CW33" s="543"/>
      <c r="CX33" s="543"/>
      <c r="CY33" s="543"/>
      <c r="CZ33" s="543"/>
      <c r="DA33" s="543"/>
      <c r="DB33" s="543"/>
      <c r="DC33" s="543"/>
      <c r="DD33" s="543"/>
      <c r="DE33" s="543"/>
      <c r="DF33" s="543"/>
      <c r="DG33" s="543"/>
      <c r="DH33" s="543"/>
      <c r="DI33" s="543"/>
      <c r="DJ33" s="543"/>
      <c r="DK33" s="543"/>
      <c r="DL33" s="543"/>
      <c r="DM33" s="543"/>
      <c r="DN33" s="543"/>
      <c r="DO33" s="543"/>
      <c r="DP33" s="543"/>
      <c r="DQ33" s="543"/>
      <c r="DR33" s="543"/>
      <c r="DS33" s="543"/>
      <c r="DT33" s="543"/>
      <c r="DU33" s="543"/>
      <c r="DV33" s="543"/>
      <c r="DW33" s="543"/>
      <c r="DX33" s="543"/>
      <c r="DY33" s="543"/>
      <c r="DZ33" s="543"/>
      <c r="EA33" s="543"/>
      <c r="EB33" s="543"/>
      <c r="EC33" s="543"/>
      <c r="ED33" s="543"/>
      <c r="EE33" s="543"/>
      <c r="EF33" s="543"/>
      <c r="EG33" s="543"/>
      <c r="EH33" s="543"/>
      <c r="EI33" s="543"/>
      <c r="EJ33" s="543"/>
      <c r="EK33" s="543"/>
      <c r="EL33" s="543"/>
      <c r="EM33" s="543"/>
      <c r="EN33" s="543"/>
      <c r="EO33" s="543"/>
      <c r="EP33" s="543"/>
      <c r="EQ33" s="543"/>
      <c r="ER33" s="543"/>
      <c r="ES33" s="543"/>
      <c r="ET33" s="543"/>
      <c r="EU33" s="543"/>
      <c r="EV33" s="543"/>
      <c r="EW33" s="543"/>
      <c r="EX33" s="543"/>
      <c r="EY33" s="543"/>
      <c r="EZ33" s="543"/>
      <c r="FA33" s="543"/>
      <c r="FB33" s="543"/>
      <c r="FC33" s="543"/>
      <c r="FD33" s="543"/>
      <c r="FE33" s="543"/>
      <c r="FF33" s="543"/>
      <c r="FG33" s="543"/>
      <c r="FH33" s="543"/>
      <c r="FI33" s="543"/>
      <c r="FJ33" s="543"/>
      <c r="FK33" s="543"/>
      <c r="FL33" s="543"/>
      <c r="FM33" s="543"/>
      <c r="FN33" s="543"/>
      <c r="FO33" s="543"/>
      <c r="FP33" s="543"/>
      <c r="FQ33" s="543"/>
      <c r="FR33" s="543"/>
      <c r="FS33" s="543"/>
      <c r="FT33" s="543"/>
      <c r="FU33" s="543"/>
      <c r="FV33" s="543"/>
      <c r="FW33" s="543"/>
      <c r="FX33" s="543"/>
      <c r="FY33" s="543"/>
      <c r="FZ33" s="543"/>
      <c r="GA33" s="543"/>
      <c r="GB33" s="543"/>
      <c r="GC33" s="543"/>
      <c r="GD33" s="543"/>
      <c r="GE33" s="543"/>
      <c r="GF33" s="543"/>
      <c r="GG33" s="543"/>
      <c r="GH33" s="543"/>
      <c r="GI33" s="543"/>
      <c r="GJ33" s="543"/>
      <c r="GK33" s="543"/>
      <c r="GL33" s="543"/>
      <c r="GM33" s="543"/>
      <c r="GN33" s="543"/>
      <c r="GO33" s="543"/>
      <c r="GP33" s="543"/>
      <c r="GQ33" s="543"/>
      <c r="GR33" s="543"/>
      <c r="GS33" s="543"/>
      <c r="GT33" s="543"/>
      <c r="GU33" s="543"/>
      <c r="GV33" s="543"/>
      <c r="GW33" s="543"/>
      <c r="GX33" s="543"/>
      <c r="GY33" s="543"/>
      <c r="GZ33" s="543"/>
      <c r="HA33" s="543"/>
      <c r="HB33" s="543"/>
      <c r="HC33" s="543"/>
      <c r="HD33" s="543"/>
      <c r="HE33" s="543"/>
      <c r="HF33" s="543"/>
      <c r="HG33" s="543"/>
      <c r="HH33" s="543"/>
      <c r="HI33" s="543"/>
      <c r="HJ33" s="543"/>
      <c r="HK33" s="543"/>
      <c r="HL33" s="543"/>
      <c r="HM33" s="543"/>
      <c r="HN33" s="543"/>
      <c r="HO33" s="543"/>
      <c r="HP33" s="543"/>
      <c r="HQ33" s="543"/>
      <c r="HR33" s="543"/>
      <c r="HS33" s="543"/>
      <c r="HT33" s="543"/>
      <c r="HU33" s="543"/>
      <c r="HV33" s="543"/>
      <c r="HW33" s="543"/>
      <c r="HX33" s="543"/>
      <c r="HY33" s="543"/>
      <c r="HZ33" s="543"/>
      <c r="IA33" s="543"/>
      <c r="IB33" s="543"/>
      <c r="IC33" s="543"/>
      <c r="ID33" s="543"/>
      <c r="IE33" s="543"/>
      <c r="IF33" s="543"/>
      <c r="IG33" s="543"/>
      <c r="IH33" s="543"/>
      <c r="II33" s="543"/>
      <c r="IJ33" s="543"/>
      <c r="IK33" s="543"/>
      <c r="IL33" s="543"/>
      <c r="IM33" s="543"/>
      <c r="IN33" s="543"/>
      <c r="IO33" s="543"/>
      <c r="IP33" s="543"/>
      <c r="IQ33" s="543"/>
      <c r="IR33" s="543"/>
      <c r="IS33" s="543"/>
      <c r="IT33" s="543"/>
      <c r="IU33" s="543"/>
    </row>
    <row r="34" spans="1:255">
      <c r="A34" s="568"/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68"/>
      <c r="X34" s="543"/>
      <c r="Y34" s="543"/>
      <c r="Z34" s="543"/>
      <c r="AA34" s="543"/>
      <c r="AB34" s="543"/>
      <c r="AC34" s="543"/>
      <c r="AD34" s="543"/>
      <c r="AE34" s="543"/>
      <c r="AF34" s="543"/>
      <c r="AG34" s="543"/>
      <c r="AH34" s="543"/>
      <c r="AI34" s="543"/>
      <c r="AJ34" s="543"/>
      <c r="AK34" s="543"/>
      <c r="AL34" s="543"/>
      <c r="AM34" s="543"/>
      <c r="AN34" s="543"/>
      <c r="AO34" s="543"/>
      <c r="AP34" s="543"/>
      <c r="AQ34" s="543"/>
      <c r="AR34" s="543"/>
      <c r="AS34" s="543"/>
      <c r="AT34" s="543"/>
      <c r="AU34" s="543"/>
      <c r="AV34" s="543"/>
      <c r="AW34" s="543"/>
      <c r="AX34" s="543"/>
      <c r="AY34" s="543"/>
      <c r="AZ34" s="543"/>
      <c r="BA34" s="543"/>
      <c r="BB34" s="543"/>
      <c r="BC34" s="543"/>
      <c r="BD34" s="543"/>
      <c r="BE34" s="543"/>
      <c r="BF34" s="543"/>
      <c r="BG34" s="543"/>
      <c r="BH34" s="543"/>
      <c r="BI34" s="543"/>
      <c r="BJ34" s="543"/>
      <c r="BK34" s="543"/>
      <c r="BL34" s="543"/>
      <c r="BM34" s="543"/>
      <c r="BN34" s="543"/>
      <c r="BO34" s="543"/>
      <c r="BP34" s="543"/>
      <c r="BQ34" s="543"/>
      <c r="BR34" s="543"/>
      <c r="BS34" s="543"/>
      <c r="BT34" s="543"/>
      <c r="BU34" s="543"/>
      <c r="BV34" s="543"/>
      <c r="BW34" s="543"/>
      <c r="BX34" s="543"/>
      <c r="BY34" s="543"/>
      <c r="BZ34" s="543"/>
      <c r="CA34" s="543"/>
      <c r="CB34" s="543"/>
      <c r="CC34" s="543"/>
      <c r="CD34" s="543"/>
      <c r="CE34" s="543"/>
      <c r="CF34" s="543"/>
      <c r="CG34" s="543"/>
      <c r="CH34" s="543"/>
      <c r="CI34" s="543"/>
      <c r="CJ34" s="543"/>
      <c r="CK34" s="543"/>
      <c r="CL34" s="543"/>
      <c r="CM34" s="543"/>
      <c r="CN34" s="543"/>
      <c r="CO34" s="543"/>
      <c r="CP34" s="543"/>
      <c r="CQ34" s="543"/>
      <c r="CR34" s="543"/>
      <c r="CS34" s="543"/>
      <c r="CT34" s="543"/>
      <c r="CU34" s="543"/>
      <c r="CV34" s="543"/>
      <c r="CW34" s="543"/>
      <c r="CX34" s="543"/>
      <c r="CY34" s="543"/>
      <c r="CZ34" s="543"/>
      <c r="DA34" s="543"/>
      <c r="DB34" s="543"/>
      <c r="DC34" s="543"/>
      <c r="DD34" s="543"/>
      <c r="DE34" s="543"/>
      <c r="DF34" s="543"/>
      <c r="DG34" s="543"/>
      <c r="DH34" s="543"/>
      <c r="DI34" s="543"/>
      <c r="DJ34" s="543"/>
      <c r="DK34" s="543"/>
      <c r="DL34" s="543"/>
      <c r="DM34" s="543"/>
      <c r="DN34" s="543"/>
      <c r="DO34" s="543"/>
      <c r="DP34" s="543"/>
      <c r="DQ34" s="543"/>
      <c r="DR34" s="543"/>
      <c r="DS34" s="543"/>
      <c r="DT34" s="543"/>
      <c r="DU34" s="543"/>
      <c r="DV34" s="543"/>
      <c r="DW34" s="543"/>
      <c r="DX34" s="543"/>
      <c r="DY34" s="543"/>
      <c r="DZ34" s="543"/>
      <c r="EA34" s="543"/>
      <c r="EB34" s="543"/>
      <c r="EC34" s="543"/>
      <c r="ED34" s="543"/>
      <c r="EE34" s="543"/>
      <c r="EF34" s="543"/>
      <c r="EG34" s="543"/>
      <c r="EH34" s="543"/>
      <c r="EI34" s="543"/>
      <c r="EJ34" s="543"/>
      <c r="EK34" s="543"/>
      <c r="EL34" s="543"/>
      <c r="EM34" s="543"/>
      <c r="EN34" s="543"/>
      <c r="EO34" s="543"/>
      <c r="EP34" s="543"/>
      <c r="EQ34" s="543"/>
      <c r="ER34" s="543"/>
      <c r="ES34" s="543"/>
      <c r="ET34" s="543"/>
      <c r="EU34" s="543"/>
      <c r="EV34" s="543"/>
      <c r="EW34" s="543"/>
      <c r="EX34" s="543"/>
      <c r="EY34" s="543"/>
      <c r="EZ34" s="543"/>
      <c r="FA34" s="543"/>
      <c r="FB34" s="543"/>
      <c r="FC34" s="543"/>
      <c r="FD34" s="543"/>
      <c r="FE34" s="543"/>
      <c r="FF34" s="543"/>
      <c r="FG34" s="543"/>
      <c r="FH34" s="543"/>
      <c r="FI34" s="543"/>
      <c r="FJ34" s="543"/>
      <c r="FK34" s="543"/>
      <c r="FL34" s="543"/>
      <c r="FM34" s="543"/>
      <c r="FN34" s="543"/>
      <c r="FO34" s="543"/>
      <c r="FP34" s="543"/>
      <c r="FQ34" s="543"/>
      <c r="FR34" s="543"/>
      <c r="FS34" s="543"/>
      <c r="FT34" s="543"/>
      <c r="FU34" s="543"/>
      <c r="FV34" s="543"/>
      <c r="FW34" s="543"/>
      <c r="FX34" s="543"/>
      <c r="FY34" s="543"/>
      <c r="FZ34" s="543"/>
      <c r="GA34" s="543"/>
      <c r="GB34" s="543"/>
      <c r="GC34" s="543"/>
      <c r="GD34" s="543"/>
      <c r="GE34" s="543"/>
      <c r="GF34" s="543"/>
      <c r="GG34" s="543"/>
      <c r="GH34" s="543"/>
      <c r="GI34" s="543"/>
      <c r="GJ34" s="543"/>
      <c r="GK34" s="543"/>
      <c r="GL34" s="543"/>
      <c r="GM34" s="543"/>
      <c r="GN34" s="543"/>
      <c r="GO34" s="543"/>
      <c r="GP34" s="543"/>
      <c r="GQ34" s="543"/>
      <c r="GR34" s="543"/>
      <c r="GS34" s="543"/>
      <c r="GT34" s="543"/>
      <c r="GU34" s="543"/>
      <c r="GV34" s="543"/>
      <c r="GW34" s="543"/>
      <c r="GX34" s="543"/>
      <c r="GY34" s="543"/>
      <c r="GZ34" s="543"/>
      <c r="HA34" s="543"/>
      <c r="HB34" s="543"/>
      <c r="HC34" s="543"/>
      <c r="HD34" s="543"/>
      <c r="HE34" s="543"/>
      <c r="HF34" s="543"/>
      <c r="HG34" s="543"/>
      <c r="HH34" s="543"/>
      <c r="HI34" s="543"/>
      <c r="HJ34" s="543"/>
      <c r="HK34" s="543"/>
      <c r="HL34" s="543"/>
      <c r="HM34" s="543"/>
      <c r="HN34" s="543"/>
      <c r="HO34" s="543"/>
      <c r="HP34" s="543"/>
      <c r="HQ34" s="543"/>
      <c r="HR34" s="543"/>
      <c r="HS34" s="543"/>
      <c r="HT34" s="543"/>
      <c r="HU34" s="543"/>
      <c r="HV34" s="543"/>
      <c r="HW34" s="543"/>
      <c r="HX34" s="543"/>
      <c r="HY34" s="543"/>
      <c r="HZ34" s="543"/>
      <c r="IA34" s="543"/>
      <c r="IB34" s="543"/>
      <c r="IC34" s="543"/>
      <c r="ID34" s="543"/>
      <c r="IE34" s="543"/>
      <c r="IF34" s="543"/>
      <c r="IG34" s="543"/>
      <c r="IH34" s="543"/>
      <c r="II34" s="543"/>
      <c r="IJ34" s="543"/>
      <c r="IK34" s="543"/>
      <c r="IL34" s="543"/>
      <c r="IM34" s="543"/>
      <c r="IN34" s="543"/>
      <c r="IO34" s="543"/>
      <c r="IP34" s="543"/>
      <c r="IQ34" s="543"/>
      <c r="IR34" s="543"/>
      <c r="IS34" s="543"/>
      <c r="IT34" s="543"/>
      <c r="IU34" s="543"/>
    </row>
    <row r="35" spans="1:255">
      <c r="A35" s="570"/>
      <c r="B35" s="567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71"/>
      <c r="R35" s="571"/>
      <c r="S35" s="571"/>
      <c r="T35" s="571"/>
      <c r="U35" s="571"/>
      <c r="V35" s="571"/>
      <c r="W35" s="543"/>
      <c r="X35" s="543"/>
      <c r="Y35" s="543"/>
      <c r="Z35" s="543"/>
      <c r="AA35" s="543"/>
      <c r="AB35" s="543"/>
      <c r="AC35" s="543"/>
      <c r="AD35" s="543"/>
      <c r="AE35" s="543"/>
      <c r="AF35" s="543"/>
      <c r="AG35" s="543"/>
      <c r="AH35" s="543"/>
      <c r="AI35" s="543"/>
      <c r="AJ35" s="543"/>
      <c r="AK35" s="543"/>
      <c r="AL35" s="543"/>
      <c r="AM35" s="543"/>
      <c r="AN35" s="543"/>
      <c r="AO35" s="543"/>
      <c r="AP35" s="543"/>
      <c r="AQ35" s="543"/>
      <c r="AR35" s="543"/>
      <c r="AS35" s="543"/>
      <c r="AT35" s="543"/>
      <c r="AU35" s="543"/>
      <c r="AV35" s="543"/>
      <c r="AW35" s="543"/>
      <c r="AX35" s="543"/>
      <c r="AY35" s="543"/>
      <c r="AZ35" s="543"/>
      <c r="BA35" s="543"/>
      <c r="BB35" s="543"/>
      <c r="BC35" s="543"/>
      <c r="BD35" s="543"/>
      <c r="BE35" s="543"/>
      <c r="BF35" s="543"/>
      <c r="BG35" s="543"/>
      <c r="BH35" s="543"/>
      <c r="BI35" s="543"/>
      <c r="BJ35" s="543"/>
      <c r="BK35" s="543"/>
      <c r="BL35" s="543"/>
      <c r="BM35" s="543"/>
      <c r="BN35" s="543"/>
      <c r="BO35" s="543"/>
      <c r="BP35" s="543"/>
      <c r="BQ35" s="543"/>
      <c r="BR35" s="543"/>
      <c r="BS35" s="543"/>
      <c r="BT35" s="543"/>
      <c r="BU35" s="543"/>
      <c r="BV35" s="543"/>
      <c r="BW35" s="543"/>
      <c r="BX35" s="543"/>
      <c r="BY35" s="543"/>
      <c r="BZ35" s="543"/>
      <c r="CA35" s="543"/>
      <c r="CB35" s="543"/>
      <c r="CC35" s="543"/>
      <c r="CD35" s="543"/>
      <c r="CE35" s="543"/>
      <c r="CF35" s="543"/>
      <c r="CG35" s="543"/>
      <c r="CH35" s="543"/>
      <c r="CI35" s="543"/>
      <c r="CJ35" s="543"/>
      <c r="CK35" s="543"/>
      <c r="CL35" s="543"/>
      <c r="CM35" s="543"/>
      <c r="CN35" s="543"/>
      <c r="CO35" s="543"/>
      <c r="CP35" s="543"/>
      <c r="CQ35" s="543"/>
      <c r="CR35" s="543"/>
      <c r="CS35" s="543"/>
      <c r="CT35" s="543"/>
      <c r="CU35" s="543"/>
      <c r="CV35" s="543"/>
      <c r="CW35" s="543"/>
      <c r="CX35" s="543"/>
      <c r="CY35" s="543"/>
      <c r="CZ35" s="543"/>
      <c r="DA35" s="543"/>
      <c r="DB35" s="543"/>
      <c r="DC35" s="543"/>
      <c r="DD35" s="543"/>
      <c r="DE35" s="543"/>
      <c r="DF35" s="543"/>
      <c r="DG35" s="543"/>
      <c r="DH35" s="543"/>
      <c r="DI35" s="543"/>
      <c r="DJ35" s="543"/>
      <c r="DK35" s="543"/>
      <c r="DL35" s="543"/>
      <c r="DM35" s="543"/>
      <c r="DN35" s="543"/>
      <c r="DO35" s="543"/>
      <c r="DP35" s="543"/>
      <c r="DQ35" s="543"/>
      <c r="DR35" s="543"/>
      <c r="DS35" s="543"/>
      <c r="DT35" s="543"/>
      <c r="DU35" s="543"/>
      <c r="DV35" s="543"/>
      <c r="DW35" s="543"/>
      <c r="DX35" s="543"/>
      <c r="DY35" s="543"/>
      <c r="DZ35" s="543"/>
      <c r="EA35" s="543"/>
      <c r="EB35" s="543"/>
      <c r="EC35" s="543"/>
      <c r="ED35" s="543"/>
      <c r="EE35" s="543"/>
      <c r="EF35" s="543"/>
      <c r="EG35" s="543"/>
      <c r="EH35" s="543"/>
      <c r="EI35" s="543"/>
      <c r="EJ35" s="543"/>
      <c r="EK35" s="543"/>
      <c r="EL35" s="543"/>
      <c r="EM35" s="543"/>
      <c r="EN35" s="543"/>
      <c r="EO35" s="543"/>
      <c r="EP35" s="543"/>
      <c r="EQ35" s="543"/>
      <c r="ER35" s="543"/>
      <c r="ES35" s="543"/>
      <c r="ET35" s="543"/>
      <c r="EU35" s="543"/>
      <c r="EV35" s="543"/>
      <c r="EW35" s="543"/>
      <c r="EX35" s="543"/>
      <c r="EY35" s="543"/>
      <c r="EZ35" s="543"/>
      <c r="FA35" s="543"/>
      <c r="FB35" s="543"/>
      <c r="FC35" s="543"/>
      <c r="FD35" s="543"/>
      <c r="FE35" s="543"/>
      <c r="FF35" s="543"/>
      <c r="FG35" s="543"/>
      <c r="FH35" s="543"/>
      <c r="FI35" s="543"/>
      <c r="FJ35" s="543"/>
      <c r="FK35" s="543"/>
      <c r="FL35" s="543"/>
      <c r="FM35" s="543"/>
      <c r="FN35" s="543"/>
      <c r="FO35" s="543"/>
      <c r="FP35" s="543"/>
      <c r="FQ35" s="543"/>
      <c r="FR35" s="543"/>
      <c r="FS35" s="543"/>
      <c r="FT35" s="543"/>
      <c r="FU35" s="543"/>
      <c r="FV35" s="543"/>
      <c r="FW35" s="543"/>
      <c r="FX35" s="543"/>
      <c r="FY35" s="543"/>
      <c r="FZ35" s="543"/>
      <c r="GA35" s="543"/>
      <c r="GB35" s="543"/>
      <c r="GC35" s="543"/>
      <c r="GD35" s="543"/>
      <c r="GE35" s="543"/>
      <c r="GF35" s="543"/>
      <c r="GG35" s="543"/>
      <c r="GH35" s="543"/>
      <c r="GI35" s="543"/>
      <c r="GJ35" s="543"/>
      <c r="GK35" s="543"/>
      <c r="GL35" s="543"/>
      <c r="GM35" s="543"/>
      <c r="GN35" s="543"/>
      <c r="GO35" s="543"/>
      <c r="GP35" s="543"/>
      <c r="GQ35" s="543"/>
      <c r="GR35" s="543"/>
      <c r="GS35" s="543"/>
      <c r="GT35" s="543"/>
      <c r="GU35" s="543"/>
      <c r="GV35" s="543"/>
      <c r="GW35" s="543"/>
      <c r="GX35" s="543"/>
      <c r="GY35" s="543"/>
      <c r="GZ35" s="543"/>
      <c r="HA35" s="543"/>
      <c r="HB35" s="543"/>
      <c r="HC35" s="543"/>
      <c r="HD35" s="543"/>
      <c r="HE35" s="543"/>
      <c r="HF35" s="543"/>
      <c r="HG35" s="543"/>
      <c r="HH35" s="543"/>
      <c r="HI35" s="543"/>
      <c r="HJ35" s="543"/>
      <c r="HK35" s="543"/>
      <c r="HL35" s="543"/>
      <c r="HM35" s="543"/>
      <c r="HN35" s="543"/>
      <c r="HO35" s="543"/>
      <c r="HP35" s="543"/>
      <c r="HQ35" s="543"/>
      <c r="HR35" s="543"/>
      <c r="HS35" s="543"/>
      <c r="HT35" s="543"/>
      <c r="HU35" s="543"/>
      <c r="HV35" s="543"/>
      <c r="HW35" s="543"/>
      <c r="HX35" s="543"/>
      <c r="HY35" s="543"/>
      <c r="HZ35" s="543"/>
      <c r="IA35" s="543"/>
      <c r="IB35" s="543"/>
      <c r="IC35" s="543"/>
      <c r="ID35" s="543"/>
      <c r="IE35" s="543"/>
      <c r="IF35" s="543"/>
      <c r="IG35" s="543"/>
      <c r="IH35" s="543"/>
      <c r="II35" s="543"/>
      <c r="IJ35" s="543"/>
      <c r="IK35" s="543"/>
      <c r="IL35" s="543"/>
      <c r="IM35" s="543"/>
      <c r="IN35" s="543"/>
      <c r="IO35" s="543"/>
      <c r="IP35" s="543"/>
      <c r="IQ35" s="543"/>
      <c r="IR35" s="543"/>
      <c r="IS35" s="543"/>
      <c r="IT35" s="543"/>
      <c r="IU35" s="54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IV228"/>
  <sheetViews>
    <sheetView showOutlineSymbols="0" view="pageBreakPreview" zoomScaleNormal="75" workbookViewId="0">
      <selection activeCell="C8" sqref="C8"/>
    </sheetView>
  </sheetViews>
  <sheetFormatPr defaultColWidth="9.81640625" defaultRowHeight="15.6"/>
  <cols>
    <col min="1" max="1" width="17.81640625" style="147" customWidth="1"/>
    <col min="2" max="19" width="9.81640625" style="147" customWidth="1"/>
    <col min="20" max="20" width="10.81640625" style="147" customWidth="1"/>
    <col min="21" max="21" width="11.81640625" style="147" customWidth="1"/>
    <col min="22" max="16384" width="9.81640625" style="147"/>
  </cols>
  <sheetData>
    <row r="2" spans="1:255">
      <c r="A2" s="148" t="s">
        <v>179</v>
      </c>
    </row>
    <row r="3" spans="1:255">
      <c r="B3" s="149">
        <f>Tariff!C5</f>
        <v>2000</v>
      </c>
      <c r="C3" s="149">
        <f>Tariff!D5</f>
        <v>2001</v>
      </c>
      <c r="D3" s="149">
        <f>Tariff!E5</f>
        <v>2002</v>
      </c>
      <c r="E3" s="149">
        <f>Tariff!F5</f>
        <v>2003</v>
      </c>
      <c r="F3" s="149">
        <f>Tariff!G5</f>
        <v>2004</v>
      </c>
      <c r="G3" s="149">
        <f>Tariff!H5</f>
        <v>2005</v>
      </c>
      <c r="H3" s="149">
        <f>Tariff!I5</f>
        <v>2006</v>
      </c>
      <c r="I3" s="149">
        <f>Tariff!J5</f>
        <v>2007</v>
      </c>
      <c r="J3" s="149">
        <f>Tariff!K5</f>
        <v>2008</v>
      </c>
      <c r="K3" s="149">
        <f>Tariff!L5</f>
        <v>2009</v>
      </c>
      <c r="L3" s="149">
        <f>Tariff!M5</f>
        <v>2010</v>
      </c>
      <c r="M3" s="149">
        <f>Tariff!N5</f>
        <v>2011</v>
      </c>
      <c r="N3" s="149">
        <f>Tariff!O5</f>
        <v>2012</v>
      </c>
      <c r="O3" s="149">
        <f>Tariff!P5</f>
        <v>2013</v>
      </c>
      <c r="P3" s="149">
        <f>Tariff!Q5</f>
        <v>2014</v>
      </c>
      <c r="Q3" s="149">
        <f>Tariff!R5</f>
        <v>2015</v>
      </c>
      <c r="R3" s="149">
        <f>Tariff!S5</f>
        <v>2016</v>
      </c>
      <c r="S3" s="149">
        <f>Tariff!T5</f>
        <v>2017</v>
      </c>
      <c r="T3" s="149">
        <f>Tariff!U5</f>
        <v>2018</v>
      </c>
      <c r="U3" s="149">
        <f>Tariff!V5</f>
        <v>2019</v>
      </c>
      <c r="V3" s="149">
        <f>Tariff!W5</f>
        <v>0</v>
      </c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  <c r="BM3" s="150"/>
      <c r="BN3" s="150"/>
      <c r="BO3" s="150"/>
      <c r="BP3" s="150"/>
      <c r="BQ3" s="150"/>
      <c r="BR3" s="150"/>
      <c r="BS3" s="150"/>
      <c r="BT3" s="150"/>
      <c r="BU3" s="150"/>
      <c r="BV3" s="150"/>
      <c r="BW3" s="150"/>
      <c r="BX3" s="150"/>
      <c r="BY3" s="150"/>
      <c r="BZ3" s="150"/>
      <c r="CA3" s="150"/>
      <c r="CB3" s="150"/>
      <c r="CC3" s="150"/>
      <c r="CD3" s="150"/>
      <c r="CE3" s="150"/>
      <c r="CF3" s="150"/>
      <c r="CG3" s="150"/>
      <c r="CH3" s="150"/>
      <c r="CI3" s="150"/>
      <c r="CJ3" s="150"/>
      <c r="CK3" s="150"/>
      <c r="CL3" s="150"/>
      <c r="CM3" s="150"/>
      <c r="CN3" s="150"/>
      <c r="CO3" s="150"/>
      <c r="CP3" s="150"/>
      <c r="CQ3" s="150"/>
      <c r="CR3" s="150"/>
      <c r="CS3" s="150"/>
      <c r="CT3" s="150"/>
      <c r="CU3" s="150"/>
      <c r="CV3" s="150"/>
      <c r="CW3" s="150"/>
      <c r="CX3" s="150"/>
      <c r="CY3" s="150"/>
      <c r="CZ3" s="150"/>
      <c r="DA3" s="150"/>
      <c r="DB3" s="150"/>
      <c r="DC3" s="150"/>
      <c r="DD3" s="150"/>
      <c r="DE3" s="150"/>
      <c r="DF3" s="150"/>
      <c r="DG3" s="150"/>
      <c r="DH3" s="150"/>
      <c r="DI3" s="150"/>
      <c r="DJ3" s="150"/>
      <c r="DK3" s="150"/>
      <c r="DL3" s="150"/>
      <c r="DM3" s="150"/>
      <c r="DN3" s="150"/>
      <c r="DO3" s="150"/>
      <c r="DP3" s="150"/>
      <c r="DQ3" s="150"/>
      <c r="DR3" s="150"/>
      <c r="DS3" s="150"/>
      <c r="DT3" s="150"/>
      <c r="DU3" s="150"/>
      <c r="DV3" s="150"/>
      <c r="DW3" s="150"/>
      <c r="DX3" s="150"/>
      <c r="DY3" s="150"/>
      <c r="DZ3" s="150"/>
      <c r="EA3" s="150"/>
      <c r="EB3" s="150"/>
      <c r="EC3" s="150"/>
      <c r="ED3" s="150"/>
      <c r="EE3" s="150"/>
      <c r="EF3" s="150"/>
      <c r="EG3" s="150"/>
      <c r="EH3" s="150"/>
      <c r="EI3" s="150"/>
      <c r="EJ3" s="150"/>
      <c r="EK3" s="150"/>
      <c r="EL3" s="150"/>
      <c r="EM3" s="150"/>
      <c r="EN3" s="150"/>
      <c r="EO3" s="150"/>
      <c r="EP3" s="150"/>
      <c r="EQ3" s="150"/>
      <c r="ER3" s="150"/>
      <c r="ES3" s="150"/>
      <c r="ET3" s="150"/>
      <c r="EU3" s="150"/>
      <c r="EV3" s="150"/>
      <c r="EW3" s="150"/>
      <c r="EX3" s="150"/>
      <c r="EY3" s="150"/>
      <c r="EZ3" s="150"/>
      <c r="FA3" s="150"/>
      <c r="FB3" s="150"/>
      <c r="FC3" s="150"/>
      <c r="FD3" s="150"/>
      <c r="FE3" s="150"/>
      <c r="FF3" s="150"/>
      <c r="FG3" s="150"/>
      <c r="FH3" s="150"/>
      <c r="FI3" s="150"/>
      <c r="FJ3" s="150"/>
      <c r="FK3" s="150"/>
      <c r="FL3" s="150"/>
      <c r="FM3" s="150"/>
      <c r="FN3" s="150"/>
      <c r="FO3" s="150"/>
      <c r="FP3" s="150"/>
      <c r="FQ3" s="150"/>
      <c r="FR3" s="150"/>
      <c r="FS3" s="150"/>
      <c r="FT3" s="150"/>
      <c r="FU3" s="150"/>
      <c r="FV3" s="150"/>
      <c r="FW3" s="150"/>
      <c r="FX3" s="150"/>
      <c r="FY3" s="150"/>
      <c r="FZ3" s="150"/>
      <c r="GA3" s="150"/>
      <c r="GB3" s="150"/>
      <c r="GC3" s="150"/>
      <c r="GD3" s="150"/>
      <c r="GE3" s="150"/>
      <c r="GF3" s="150"/>
      <c r="GG3" s="150"/>
      <c r="GH3" s="150"/>
      <c r="GI3" s="150"/>
      <c r="GJ3" s="150"/>
      <c r="GK3" s="150"/>
      <c r="GL3" s="150"/>
      <c r="GM3" s="150"/>
      <c r="GN3" s="150"/>
      <c r="GO3" s="150"/>
      <c r="GP3" s="150"/>
      <c r="GQ3" s="150"/>
      <c r="GR3" s="150"/>
      <c r="GS3" s="150"/>
      <c r="GT3" s="150"/>
      <c r="GU3" s="150"/>
      <c r="GV3" s="150"/>
      <c r="GW3" s="150"/>
      <c r="GX3" s="150"/>
      <c r="GY3" s="150"/>
      <c r="GZ3" s="150"/>
      <c r="HA3" s="150"/>
      <c r="HB3" s="150"/>
      <c r="HC3" s="150"/>
      <c r="HD3" s="150"/>
      <c r="HE3" s="150"/>
      <c r="HF3" s="150"/>
      <c r="HG3" s="150"/>
      <c r="HH3" s="150"/>
      <c r="HI3" s="150"/>
      <c r="HJ3" s="150"/>
      <c r="HK3" s="150"/>
      <c r="HL3" s="150"/>
      <c r="HM3" s="150"/>
      <c r="HN3" s="150"/>
      <c r="HO3" s="150"/>
      <c r="HP3" s="150"/>
      <c r="HQ3" s="150"/>
      <c r="HR3" s="150"/>
      <c r="HS3" s="150"/>
      <c r="HT3" s="150"/>
      <c r="HU3" s="150"/>
      <c r="HV3" s="150"/>
      <c r="HW3" s="150"/>
      <c r="HX3" s="150"/>
      <c r="HY3" s="150"/>
      <c r="HZ3" s="150"/>
      <c r="IA3" s="150"/>
      <c r="IB3" s="150"/>
      <c r="IC3" s="150"/>
      <c r="ID3" s="150"/>
      <c r="IE3" s="150"/>
      <c r="IF3" s="150"/>
      <c r="IG3" s="150"/>
      <c r="IH3" s="150"/>
      <c r="II3" s="150"/>
      <c r="IJ3" s="150"/>
      <c r="IK3" s="150"/>
      <c r="IL3" s="150"/>
      <c r="IM3" s="150"/>
      <c r="IN3" s="150"/>
      <c r="IO3" s="150"/>
      <c r="IP3" s="150"/>
      <c r="IQ3" s="150"/>
      <c r="IR3" s="150"/>
      <c r="IS3" s="150"/>
      <c r="IT3" s="150"/>
      <c r="IU3" s="150"/>
    </row>
    <row r="4" spans="1:255">
      <c r="B4" s="149">
        <f>Tariff!C6</f>
        <v>1</v>
      </c>
      <c r="C4" s="149">
        <f>Tariff!D6</f>
        <v>2</v>
      </c>
      <c r="D4" s="149">
        <f>Tariff!E6</f>
        <v>3</v>
      </c>
      <c r="E4" s="149">
        <f>Tariff!F6</f>
        <v>4</v>
      </c>
      <c r="F4" s="149">
        <f>Tariff!G6</f>
        <v>5</v>
      </c>
      <c r="G4" s="149">
        <f>Tariff!H6</f>
        <v>6</v>
      </c>
      <c r="H4" s="149">
        <f>Tariff!I6</f>
        <v>7</v>
      </c>
      <c r="I4" s="149">
        <f>Tariff!J6</f>
        <v>8</v>
      </c>
      <c r="J4" s="149">
        <f>Tariff!K6</f>
        <v>9</v>
      </c>
      <c r="K4" s="149">
        <f>Tariff!L6</f>
        <v>10</v>
      </c>
      <c r="L4" s="149">
        <f>Tariff!M6</f>
        <v>11</v>
      </c>
      <c r="M4" s="149">
        <f>Tariff!N6</f>
        <v>12</v>
      </c>
      <c r="N4" s="149">
        <f>Tariff!O6</f>
        <v>13</v>
      </c>
      <c r="O4" s="149">
        <f>Tariff!P6</f>
        <v>14</v>
      </c>
      <c r="P4" s="149">
        <f>Tariff!Q6</f>
        <v>15</v>
      </c>
      <c r="Q4" s="149">
        <f>Tariff!R6</f>
        <v>16</v>
      </c>
      <c r="R4" s="149">
        <f>Tariff!S6</f>
        <v>17</v>
      </c>
      <c r="S4" s="149">
        <f>Tariff!T6</f>
        <v>18</v>
      </c>
      <c r="T4" s="149">
        <f>Tariff!U6</f>
        <v>19</v>
      </c>
      <c r="U4" s="149">
        <f>Tariff!V6</f>
        <v>20</v>
      </c>
      <c r="V4" s="149">
        <f>Tariff!W6</f>
        <v>0</v>
      </c>
      <c r="X4" s="150"/>
    </row>
    <row r="5" spans="1:255">
      <c r="A5" s="148" t="s">
        <v>180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</row>
    <row r="6" spans="1:255">
      <c r="A6" s="152" t="s">
        <v>181</v>
      </c>
      <c r="B6" s="153">
        <f t="shared" ref="B6:V6" si="0">IF($A$15=1,B78,B141)</f>
        <v>30.831669999999999</v>
      </c>
      <c r="C6" s="153">
        <f t="shared" si="0"/>
        <v>34.302720000000001</v>
      </c>
      <c r="D6" s="153">
        <f t="shared" si="0"/>
        <v>32.314749999999997</v>
      </c>
      <c r="E6" s="153">
        <f t="shared" si="0"/>
        <v>33.133839999999999</v>
      </c>
      <c r="F6" s="153">
        <f t="shared" si="0"/>
        <v>32.351219999999998</v>
      </c>
      <c r="G6" s="153">
        <f t="shared" si="0"/>
        <v>22.711670000000002</v>
      </c>
      <c r="H6" s="153">
        <f t="shared" si="0"/>
        <v>28.9817</v>
      </c>
      <c r="I6" s="153">
        <f t="shared" si="0"/>
        <v>36.375579999999999</v>
      </c>
      <c r="J6" s="153">
        <f t="shared" si="0"/>
        <v>35.813789999999997</v>
      </c>
      <c r="K6" s="153">
        <f t="shared" si="0"/>
        <v>32.299639999999997</v>
      </c>
      <c r="L6" s="153">
        <f t="shared" si="0"/>
        <v>31.90879</v>
      </c>
      <c r="M6" s="153">
        <f t="shared" si="0"/>
        <v>29.33089</v>
      </c>
      <c r="N6" s="153">
        <f t="shared" si="0"/>
        <v>28.757259999999999</v>
      </c>
      <c r="O6" s="153">
        <f t="shared" si="0"/>
        <v>25.329329999999999</v>
      </c>
      <c r="P6" s="153">
        <f t="shared" si="0"/>
        <v>29.071960000000001</v>
      </c>
      <c r="Q6" s="153">
        <f t="shared" si="0"/>
        <v>33.511539999999997</v>
      </c>
      <c r="R6" s="153">
        <f t="shared" si="0"/>
        <v>37.370809999999999</v>
      </c>
      <c r="S6" s="153">
        <f t="shared" si="0"/>
        <v>36.83032</v>
      </c>
      <c r="T6" s="153">
        <f t="shared" si="0"/>
        <v>37.345829999999999</v>
      </c>
      <c r="U6" s="153">
        <f t="shared" si="0"/>
        <v>29.636839999999999</v>
      </c>
      <c r="V6" s="153">
        <f t="shared" si="0"/>
        <v>27.919720000000002</v>
      </c>
    </row>
    <row r="7" spans="1:255">
      <c r="A7" s="152" t="s">
        <v>182</v>
      </c>
      <c r="B7" s="154">
        <f>B6*(1+'ASSUM 1'!D19)^(B$3-'ASSUM 1'!B19)</f>
        <v>31.664125089999995</v>
      </c>
      <c r="C7" s="154">
        <f>C6*(1+'ASSUM 1'!D19)^(C$3-'ASSUM 1'!B19)</f>
        <v>36.180073562879997</v>
      </c>
      <c r="D7" s="154">
        <f>D6*(1+'ASSUM 1'!D19)^(D$3-'ASSUM 1'!B19)</f>
        <v>35.003553159474237</v>
      </c>
      <c r="E7" s="154">
        <f>E6*(1+'ASSUM 1'!D19)^(E$3-'ASSUM 1'!B19)</f>
        <v>36.85984843833193</v>
      </c>
      <c r="F7" s="154">
        <f>F6*(1+'ASSUM 1'!D19)^(F$3-'ASSUM 1'!B19)</f>
        <v>36.960929212460769</v>
      </c>
      <c r="G7" s="154">
        <f>G6*(1+'ASSUM 1'!D19)^(G$3-'ASSUM 1'!B19)</f>
        <v>26.648436340276245</v>
      </c>
      <c r="H7" s="154">
        <f>H6*(1+'ASSUM 1'!D19)^(H$3-'ASSUM 1'!B19)</f>
        <v>34.923435667435484</v>
      </c>
      <c r="I7" s="154">
        <f>I6*(1+'ASSUM 1'!D19)^(I$3-'ASSUM 1'!B19)</f>
        <v>45.016681359324515</v>
      </c>
      <c r="J7" s="154">
        <f>J6*(1+'ASSUM 1'!D19)^(J$3-'ASSUM 1'!B19)</f>
        <v>45.518115668881599</v>
      </c>
      <c r="K7" s="154">
        <f>K6*(1+'ASSUM 1'!D19)^(K$3-'ASSUM 1'!B19)</f>
        <v>42.160147133882845</v>
      </c>
      <c r="L7" s="154">
        <f>L6*(1+'ASSUM 1'!D19)^(L$3-'ASSUM 1'!B19)</f>
        <v>42.77452695628503</v>
      </c>
      <c r="M7" s="154">
        <f>M6*(1+'ASSUM 1'!D19)^(M$3-'ASSUM 1'!B19)</f>
        <v>40.380395134715712</v>
      </c>
      <c r="N7" s="154">
        <f>N6*(1+'ASSUM 1'!D19)^(N$3-'ASSUM 1'!B19)</f>
        <v>40.65961581391263</v>
      </c>
      <c r="O7" s="154">
        <f>O6*(1+'ASSUM 1'!D19)^(O$3-'ASSUM 1'!B19)</f>
        <v>36.779846513285847</v>
      </c>
      <c r="P7" s="154">
        <f>P6*(1+'ASSUM 1'!D19)^(P$3-'ASSUM 1'!B19)</f>
        <v>43.354178999589642</v>
      </c>
      <c r="Q7" s="154">
        <f>Q6*(1+'ASSUM 1'!D19)^(Q$3-'ASSUM 1'!B19)</f>
        <v>51.324116671601409</v>
      </c>
      <c r="R7" s="154">
        <f>R6*(1+'ASSUM 1'!D19)^(R$3-'ASSUM 1'!B19)</f>
        <v>58.780063688244688</v>
      </c>
      <c r="S7" s="154">
        <f>S6*(1+'ASSUM 1'!D19)^(S$3-'ASSUM 1'!B19)</f>
        <v>59.494042174906291</v>
      </c>
      <c r="T7" s="154">
        <f>T6*(1+'ASSUM 1'!D19)^(T$3-'ASSUM 1'!B19)</f>
        <v>61.955596733179519</v>
      </c>
      <c r="U7" s="154">
        <f>U6*(1+'ASSUM 1'!D19)^(U$3-'ASSUM 1'!B19)</f>
        <v>50.494115310541481</v>
      </c>
      <c r="V7" s="154">
        <f>V6*(1+'ASSUM 1'!D19)^(V$3-'ASSUM 1'!B19)</f>
        <v>2.0729761600363337E-22</v>
      </c>
    </row>
    <row r="8" spans="1:255">
      <c r="A8" s="152"/>
    </row>
    <row r="9" spans="1:255">
      <c r="A9" s="148" t="s">
        <v>183</v>
      </c>
      <c r="B9" s="152"/>
      <c r="C9" s="152"/>
      <c r="D9" s="152"/>
      <c r="E9" s="152"/>
      <c r="F9" s="152"/>
      <c r="G9" s="152"/>
    </row>
    <row r="10" spans="1:255">
      <c r="A10" s="155" t="s">
        <v>184</v>
      </c>
      <c r="B10" s="153">
        <f t="shared" ref="B10:V10" si="1">IF($A$15=1,B77,B140)</f>
        <v>32.812510000000003</v>
      </c>
      <c r="C10" s="153">
        <f t="shared" si="1"/>
        <v>31.1111313</v>
      </c>
      <c r="D10" s="153">
        <f t="shared" si="1"/>
        <v>25.538271999999999</v>
      </c>
      <c r="E10" s="153">
        <f t="shared" si="1"/>
        <v>25.468565999999999</v>
      </c>
      <c r="F10" s="153">
        <f t="shared" si="1"/>
        <v>25.3519358</v>
      </c>
      <c r="G10" s="153">
        <f t="shared" si="1"/>
        <v>18.071138000000001</v>
      </c>
      <c r="H10" s="153">
        <f t="shared" si="1"/>
        <v>22.8376345</v>
      </c>
      <c r="I10" s="153">
        <f t="shared" si="1"/>
        <v>27.853431799999999</v>
      </c>
      <c r="J10" s="153">
        <f t="shared" si="1"/>
        <v>27.770794500000001</v>
      </c>
      <c r="K10" s="153">
        <f t="shared" si="1"/>
        <v>25.533512200000001</v>
      </c>
      <c r="L10" s="153">
        <f t="shared" si="1"/>
        <v>25.366857299999999</v>
      </c>
      <c r="M10" s="153">
        <f t="shared" si="1"/>
        <v>23.424363199999998</v>
      </c>
      <c r="N10" s="153">
        <f t="shared" si="1"/>
        <v>22.270092000000002</v>
      </c>
      <c r="O10" s="153">
        <f t="shared" si="1"/>
        <v>19.8617925</v>
      </c>
      <c r="P10" s="153">
        <f t="shared" si="1"/>
        <v>22.8449594</v>
      </c>
      <c r="Q10" s="153">
        <f t="shared" si="1"/>
        <v>25.5496014</v>
      </c>
      <c r="R10" s="153">
        <f t="shared" si="1"/>
        <v>28.103738199999999</v>
      </c>
      <c r="S10" s="153">
        <f t="shared" si="1"/>
        <v>27.5778973</v>
      </c>
      <c r="T10" s="153">
        <f t="shared" si="1"/>
        <v>27.786945800000002</v>
      </c>
      <c r="U10" s="153">
        <f t="shared" si="1"/>
        <v>22.854046199999999</v>
      </c>
      <c r="V10" s="153">
        <f t="shared" si="1"/>
        <v>21.613823499999999</v>
      </c>
    </row>
    <row r="11" spans="1:255">
      <c r="A11" s="155" t="s">
        <v>185</v>
      </c>
      <c r="B11" s="154">
        <f>B10*(1+'ASSUM 1'!D19)^(B3-'ASSUM 1'!B19)</f>
        <v>33.698447770000001</v>
      </c>
      <c r="C11" s="154">
        <f>C10*(1+'ASSUM 1'!D19)^(C3-'ASSUM 1'!B19)</f>
        <v>32.813812404917691</v>
      </c>
      <c r="D11" s="154">
        <f>D10*(1+'ASSUM 1'!D19)^(D3-'ASSUM 1'!B19)</f>
        <v>27.66322690267177</v>
      </c>
      <c r="E11" s="154">
        <f>E10*(1+'ASSUM 1'!D19)^(E3-'ASSUM 1'!B19)</f>
        <v>28.332589361862485</v>
      </c>
      <c r="F11" s="154">
        <f>F10*(1+'ASSUM 1'!D19)^(F3-'ASSUM 1'!B19)</f>
        <v>28.964320495568636</v>
      </c>
      <c r="G11" s="154">
        <f>G10*(1+'ASSUM 1'!D19)^(G3-'ASSUM 1'!B19)</f>
        <v>21.203529753177417</v>
      </c>
      <c r="H11" s="154">
        <f>H10*(1+'ASSUM 1'!D19)^(H3-'ASSUM 1'!B19)</f>
        <v>27.519733461362001</v>
      </c>
      <c r="I11" s="154">
        <f>I10*(1+'ASSUM 1'!D19)^(I3-'ASSUM 1'!B19)</f>
        <v>34.470077565891096</v>
      </c>
      <c r="J11" s="154">
        <f>J10*(1+'ASSUM 1'!D19)^(J3-'ASSUM 1'!B19)</f>
        <v>35.295740447122213</v>
      </c>
      <c r="K11" s="154">
        <f>K10*(1+'ASSUM 1'!D19)^(K3-'ASSUM 1'!B19)</f>
        <v>33.328440539795267</v>
      </c>
      <c r="L11" s="154">
        <f>L10*(1+'ASSUM 1'!D19)^(L3-'ASSUM 1'!B19)</f>
        <v>34.004903394177141</v>
      </c>
      <c r="M11" s="154">
        <f>M10*(1+'ASSUM 1'!D19)^(M3-'ASSUM 1'!B19)</f>
        <v>32.248767146005243</v>
      </c>
      <c r="N11" s="154">
        <f>N10*(1+'ASSUM 1'!D19)^(N3-'ASSUM 1'!B19)</f>
        <v>31.487470811213907</v>
      </c>
      <c r="O11" s="154">
        <f>O10*(1+'ASSUM 1'!D19)^(O3-'ASSUM 1'!B19)</f>
        <v>28.840623878670772</v>
      </c>
      <c r="P11" s="154">
        <f>P10*(1+'ASSUM 1'!D19)^(P3-'ASSUM 1'!B19)</f>
        <v>34.068031844635108</v>
      </c>
      <c r="Q11" s="154">
        <f>Q10*(1+'ASSUM 1'!D19)^(Q3-'ASSUM 1'!B19)</f>
        <v>39.13012422486436</v>
      </c>
      <c r="R11" s="154">
        <f>R10*(1+'ASSUM 1'!D19)^(R3-'ASSUM 1'!B19)</f>
        <v>44.20400631599248</v>
      </c>
      <c r="S11" s="154">
        <f>S10*(1+'ASSUM 1'!D19)^(S3-'ASSUM 1'!B19)</f>
        <v>44.548094750776919</v>
      </c>
      <c r="T11" s="154">
        <f>T10*(1+'ASSUM 1'!D19)^(T3-'ASSUM 1'!B19)</f>
        <v>46.097698415901228</v>
      </c>
      <c r="U11" s="154">
        <f>U10*(1+'ASSUM 1'!D19)^(U3-'ASSUM 1'!B19)</f>
        <v>38.937850463654094</v>
      </c>
      <c r="V11" s="154">
        <f>V10*(1+'ASSUM 1'!D19)^(V3-'ASSUM 1'!B19)</f>
        <v>1.604777585259919E-22</v>
      </c>
    </row>
    <row r="12" spans="1:255">
      <c r="A12" s="155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</row>
    <row r="13" spans="1:255">
      <c r="A13" s="148" t="s">
        <v>186</v>
      </c>
      <c r="B13" s="156">
        <f t="shared" ref="B13:V13" si="2">IF($A$15=1,B79,B142)</f>
        <v>8.4333341385808516E-2</v>
      </c>
      <c r="C13" s="156">
        <f t="shared" si="2"/>
        <v>7.1671545171414067E-2</v>
      </c>
      <c r="D13" s="156">
        <f t="shared" si="2"/>
        <v>7.7850365171776487E-2</v>
      </c>
      <c r="E13" s="156">
        <f t="shared" si="2"/>
        <v>8.0304102584257436E-2</v>
      </c>
      <c r="F13" s="156">
        <f t="shared" si="2"/>
        <v>7.6373972532796985E-2</v>
      </c>
      <c r="G13" s="156">
        <f t="shared" si="2"/>
        <v>7.2564897130173237E-2</v>
      </c>
      <c r="H13" s="156">
        <f t="shared" si="2"/>
        <v>7.4859544599550631E-2</v>
      </c>
      <c r="I13" s="156">
        <f t="shared" si="2"/>
        <v>7.6775800985359147E-2</v>
      </c>
      <c r="J13" s="156">
        <f t="shared" si="2"/>
        <v>7.6182554516923962E-2</v>
      </c>
      <c r="K13" s="156">
        <f t="shared" si="2"/>
        <v>7.4945878077480627E-2</v>
      </c>
      <c r="L13" s="156">
        <f t="shared" si="2"/>
        <v>7.4352637683916784E-2</v>
      </c>
      <c r="M13" s="156">
        <f t="shared" si="2"/>
        <v>7.3303328418134389E-2</v>
      </c>
      <c r="N13" s="156">
        <f t="shared" si="2"/>
        <v>7.5416664831485097E-2</v>
      </c>
      <c r="O13" s="156">
        <f t="shared" si="2"/>
        <v>7.4076045758135839E-2</v>
      </c>
      <c r="P13" s="156">
        <f t="shared" si="2"/>
        <v>7.4974487905704129E-2</v>
      </c>
      <c r="Q13" s="156">
        <f t="shared" si="2"/>
        <v>7.2875298393853746E-2</v>
      </c>
      <c r="R13" s="156">
        <f t="shared" si="2"/>
        <v>7.3557264725664998E-2</v>
      </c>
      <c r="S13" s="156">
        <f t="shared" si="2"/>
        <v>7.3115990073204309E-2</v>
      </c>
      <c r="T13" s="156">
        <f t="shared" si="2"/>
        <v>7.3267097900268183E-2</v>
      </c>
      <c r="U13" s="156">
        <f t="shared" si="2"/>
        <v>7.0830641743132569E-2</v>
      </c>
      <c r="V13" s="156">
        <f t="shared" si="2"/>
        <v>0</v>
      </c>
    </row>
    <row r="14" spans="1:255">
      <c r="A14" s="155"/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</row>
    <row r="15" spans="1:255">
      <c r="A15" s="158">
        <v>1</v>
      </c>
      <c r="B15" s="148" t="s">
        <v>187</v>
      </c>
      <c r="C15" s="155" t="s">
        <v>188</v>
      </c>
    </row>
    <row r="16" spans="1:255">
      <c r="A16" s="148"/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</row>
    <row r="17" spans="1:29">
      <c r="A17" s="161" t="s">
        <v>189</v>
      </c>
      <c r="B17" s="162">
        <v>2000</v>
      </c>
      <c r="C17" s="162">
        <v>2001</v>
      </c>
      <c r="D17" s="162">
        <v>2002</v>
      </c>
      <c r="E17" s="162">
        <v>2003</v>
      </c>
      <c r="F17" s="162">
        <v>2004</v>
      </c>
      <c r="G17" s="162">
        <v>2005</v>
      </c>
      <c r="H17" s="162">
        <v>2006</v>
      </c>
      <c r="I17" s="162">
        <v>2007</v>
      </c>
      <c r="J17" s="162">
        <v>2008</v>
      </c>
      <c r="K17" s="162">
        <v>2009</v>
      </c>
      <c r="L17" s="162">
        <v>2010</v>
      </c>
      <c r="M17" s="162">
        <v>2011</v>
      </c>
      <c r="N17" s="162">
        <v>2012</v>
      </c>
      <c r="O17" s="162">
        <v>2013</v>
      </c>
      <c r="P17" s="162">
        <v>2014</v>
      </c>
      <c r="Q17" s="162">
        <v>2015</v>
      </c>
      <c r="R17" s="162">
        <v>2016</v>
      </c>
      <c r="S17" s="162">
        <v>2017</v>
      </c>
      <c r="T17" s="162">
        <v>2018</v>
      </c>
      <c r="U17" s="162">
        <v>2019</v>
      </c>
      <c r="V17" s="163">
        <v>2020</v>
      </c>
      <c r="W17" s="164"/>
    </row>
    <row r="18" spans="1:29">
      <c r="A18" s="165" t="s">
        <v>190</v>
      </c>
      <c r="B18" s="185">
        <f t="shared" ref="B18:V18" si="3">IF($A$15=1,B81,B144)</f>
        <v>0</v>
      </c>
      <c r="C18" s="185">
        <f t="shared" si="3"/>
        <v>9084.8464679999997</v>
      </c>
      <c r="D18" s="185">
        <f t="shared" si="3"/>
        <v>20329.175428999999</v>
      </c>
      <c r="E18" s="185">
        <f t="shared" si="3"/>
        <v>19893.690769000001</v>
      </c>
      <c r="F18" s="185">
        <f t="shared" si="3"/>
        <v>17826.435507999999</v>
      </c>
      <c r="G18" s="185">
        <f t="shared" si="3"/>
        <v>16876.072751</v>
      </c>
      <c r="H18" s="185">
        <f t="shared" si="3"/>
        <v>17589.758806999998</v>
      </c>
      <c r="I18" s="185">
        <f t="shared" si="3"/>
        <v>18265.576421000002</v>
      </c>
      <c r="J18" s="185">
        <f t="shared" si="3"/>
        <v>18166.602723</v>
      </c>
      <c r="K18" s="185">
        <f t="shared" si="3"/>
        <v>17244.211366</v>
      </c>
      <c r="L18" s="185">
        <f t="shared" si="3"/>
        <v>16379.052215</v>
      </c>
      <c r="M18" s="185">
        <f t="shared" si="3"/>
        <v>16351.942652</v>
      </c>
      <c r="N18" s="185">
        <f t="shared" si="3"/>
        <v>17073.804665</v>
      </c>
      <c r="O18" s="185">
        <f t="shared" si="3"/>
        <v>17681.631701999999</v>
      </c>
      <c r="P18" s="185">
        <f t="shared" si="3"/>
        <v>17543.068135000001</v>
      </c>
      <c r="Q18" s="185">
        <f t="shared" si="3"/>
        <v>14834.849224</v>
      </c>
      <c r="R18" s="185">
        <f t="shared" si="3"/>
        <v>14029.505370999999</v>
      </c>
      <c r="S18" s="185">
        <f t="shared" si="3"/>
        <v>14569.772962999999</v>
      </c>
      <c r="T18" s="185">
        <f t="shared" si="3"/>
        <v>15053.88291</v>
      </c>
      <c r="U18" s="185">
        <f t="shared" si="3"/>
        <v>14930.166031999999</v>
      </c>
      <c r="V18" s="814">
        <f t="shared" si="3"/>
        <v>14885.628892999999</v>
      </c>
      <c r="W18" s="164"/>
      <c r="Y18" s="160"/>
      <c r="Z18" s="160"/>
      <c r="AA18" s="160"/>
      <c r="AB18" s="160"/>
      <c r="AC18" s="160"/>
    </row>
    <row r="19" spans="1:29">
      <c r="A19" s="165" t="s">
        <v>191</v>
      </c>
      <c r="B19" s="185">
        <f t="shared" ref="B19:V19" si="4">IF($A$15=1,B82,B145)</f>
        <v>0</v>
      </c>
      <c r="C19" s="185">
        <f t="shared" si="4"/>
        <v>468.57068199999998</v>
      </c>
      <c r="D19" s="185">
        <f t="shared" si="4"/>
        <v>939.49632699999995</v>
      </c>
      <c r="E19" s="185">
        <f t="shared" si="4"/>
        <v>882.15599999999995</v>
      </c>
      <c r="F19" s="185">
        <f t="shared" si="4"/>
        <v>772.53169300000002</v>
      </c>
      <c r="G19" s="185">
        <f t="shared" si="4"/>
        <v>772.53169300000002</v>
      </c>
      <c r="H19" s="185">
        <f t="shared" si="4"/>
        <v>763.27971200000002</v>
      </c>
      <c r="I19" s="185">
        <f t="shared" si="4"/>
        <v>731.97424000000001</v>
      </c>
      <c r="J19" s="185">
        <f t="shared" si="4"/>
        <v>722.93742199999997</v>
      </c>
      <c r="K19" s="185">
        <f t="shared" si="4"/>
        <v>709.38174900000001</v>
      </c>
      <c r="L19" s="185">
        <f t="shared" si="4"/>
        <v>698.51585</v>
      </c>
      <c r="M19" s="185">
        <f t="shared" si="4"/>
        <v>680.01280099999997</v>
      </c>
      <c r="N19" s="185">
        <f t="shared" si="4"/>
        <v>680.01280099999997</v>
      </c>
      <c r="O19" s="185">
        <f t="shared" si="4"/>
        <v>635.15138000000002</v>
      </c>
      <c r="P19" s="185">
        <f t="shared" si="4"/>
        <v>635.15138000000002</v>
      </c>
      <c r="Q19" s="185">
        <f t="shared" si="4"/>
        <v>456.35440899999998</v>
      </c>
      <c r="R19" s="185">
        <f t="shared" si="4"/>
        <v>468.61842899999999</v>
      </c>
      <c r="S19" s="185">
        <f t="shared" si="4"/>
        <v>457.96800999999999</v>
      </c>
      <c r="T19" s="185">
        <f t="shared" si="4"/>
        <v>442.79873600000002</v>
      </c>
      <c r="U19" s="185">
        <f t="shared" si="4"/>
        <v>427.84551599999998</v>
      </c>
      <c r="V19" s="814">
        <f t="shared" si="4"/>
        <v>433.76191799999998</v>
      </c>
      <c r="W19" s="164"/>
    </row>
    <row r="20" spans="1:29">
      <c r="A20" s="165" t="s">
        <v>192</v>
      </c>
      <c r="B20" s="185">
        <f t="shared" ref="B20:V20" si="5">IF($A$15=1,B83,B146)</f>
        <v>0</v>
      </c>
      <c r="C20" s="185">
        <f t="shared" si="5"/>
        <v>468.57068199999998</v>
      </c>
      <c r="D20" s="185">
        <f t="shared" si="5"/>
        <v>939.49632699999995</v>
      </c>
      <c r="E20" s="185">
        <f t="shared" si="5"/>
        <v>882.15599999999995</v>
      </c>
      <c r="F20" s="185">
        <f t="shared" si="5"/>
        <v>772.53169300000002</v>
      </c>
      <c r="G20" s="185">
        <f t="shared" si="5"/>
        <v>772.53169300000002</v>
      </c>
      <c r="H20" s="185">
        <f t="shared" si="5"/>
        <v>763.27971200000002</v>
      </c>
      <c r="I20" s="185">
        <f t="shared" si="5"/>
        <v>731.97424000000001</v>
      </c>
      <c r="J20" s="185">
        <f t="shared" si="5"/>
        <v>722.93742199999997</v>
      </c>
      <c r="K20" s="185">
        <f t="shared" si="5"/>
        <v>709.38174900000001</v>
      </c>
      <c r="L20" s="185">
        <f t="shared" si="5"/>
        <v>698.51585</v>
      </c>
      <c r="M20" s="185">
        <f t="shared" si="5"/>
        <v>680.01280099999997</v>
      </c>
      <c r="N20" s="185">
        <f t="shared" si="5"/>
        <v>680.01280099999997</v>
      </c>
      <c r="O20" s="185">
        <f t="shared" si="5"/>
        <v>635.15138000000002</v>
      </c>
      <c r="P20" s="185">
        <f t="shared" si="5"/>
        <v>635.15138000000002</v>
      </c>
      <c r="Q20" s="185">
        <f t="shared" si="5"/>
        <v>456.35440899999998</v>
      </c>
      <c r="R20" s="185">
        <f t="shared" si="5"/>
        <v>468.61842899999999</v>
      </c>
      <c r="S20" s="185">
        <f t="shared" si="5"/>
        <v>457.96800999999999</v>
      </c>
      <c r="T20" s="185">
        <f t="shared" si="5"/>
        <v>442.79873600000002</v>
      </c>
      <c r="U20" s="185">
        <f t="shared" si="5"/>
        <v>427.84551599999998</v>
      </c>
      <c r="V20" s="814">
        <f t="shared" si="5"/>
        <v>433.76191799999998</v>
      </c>
      <c r="W20" s="164"/>
    </row>
    <row r="21" spans="1:29">
      <c r="A21" s="165" t="s">
        <v>193</v>
      </c>
      <c r="B21" s="185">
        <f t="shared" ref="B21:V21" si="6">IF($A$15=1,B84,B147)</f>
        <v>0</v>
      </c>
      <c r="C21" s="185">
        <f t="shared" si="6"/>
        <v>6043.0107680000001</v>
      </c>
      <c r="D21" s="185">
        <f t="shared" si="6"/>
        <v>12224.313334</v>
      </c>
      <c r="E21" s="185">
        <f t="shared" si="6"/>
        <v>11355.714895999999</v>
      </c>
      <c r="F21" s="185">
        <f t="shared" si="6"/>
        <v>9848.087125</v>
      </c>
      <c r="G21" s="185">
        <f t="shared" si="6"/>
        <v>9298.7832670000007</v>
      </c>
      <c r="H21" s="185">
        <f t="shared" si="6"/>
        <v>8744.101772</v>
      </c>
      <c r="I21" s="185">
        <f t="shared" si="6"/>
        <v>9038.9776450000008</v>
      </c>
      <c r="J21" s="185">
        <f t="shared" si="6"/>
        <v>9414.9707149999995</v>
      </c>
      <c r="K21" s="185">
        <f t="shared" si="6"/>
        <v>9284.7982030000003</v>
      </c>
      <c r="L21" s="185">
        <f t="shared" si="6"/>
        <v>9175.9283959999993</v>
      </c>
      <c r="M21" s="185">
        <f t="shared" si="6"/>
        <v>8627.8086629999998</v>
      </c>
      <c r="N21" s="185">
        <f t="shared" si="6"/>
        <v>8519.3672920000008</v>
      </c>
      <c r="O21" s="185">
        <f t="shared" si="6"/>
        <v>8809.079651</v>
      </c>
      <c r="P21" s="185">
        <f t="shared" si="6"/>
        <v>8719.1422619999994</v>
      </c>
      <c r="Q21" s="185">
        <f t="shared" si="6"/>
        <v>7493.1617539999997</v>
      </c>
      <c r="R21" s="185">
        <f t="shared" si="6"/>
        <v>7089.3053200000004</v>
      </c>
      <c r="S21" s="185">
        <f t="shared" si="6"/>
        <v>6669.9593629999999</v>
      </c>
      <c r="T21" s="185">
        <f t="shared" si="6"/>
        <v>6910.8310609999999</v>
      </c>
      <c r="U21" s="185">
        <f t="shared" si="6"/>
        <v>7161.8136260000001</v>
      </c>
      <c r="V21" s="814">
        <f t="shared" si="6"/>
        <v>7123.9473900000003</v>
      </c>
      <c r="W21" s="164"/>
    </row>
    <row r="22" spans="1:29">
      <c r="A22" s="165" t="s">
        <v>194</v>
      </c>
      <c r="B22" s="185">
        <f t="shared" ref="B22:V22" si="7">IF($A$15=1,B85,B148)</f>
        <v>0</v>
      </c>
      <c r="C22" s="185">
        <f t="shared" si="7"/>
        <v>13691.067775</v>
      </c>
      <c r="D22" s="185">
        <f t="shared" si="7"/>
        <v>17610.041746999999</v>
      </c>
      <c r="E22" s="185">
        <f t="shared" si="7"/>
        <v>19236.028642000001</v>
      </c>
      <c r="F22" s="185">
        <f t="shared" si="7"/>
        <v>17495.437658999999</v>
      </c>
      <c r="G22" s="185">
        <f t="shared" si="7"/>
        <v>16193.993737999999</v>
      </c>
      <c r="H22" s="185">
        <f t="shared" si="7"/>
        <v>17391.872368</v>
      </c>
      <c r="I22" s="185">
        <f t="shared" si="7"/>
        <v>17752.901431999999</v>
      </c>
      <c r="J22" s="185">
        <f t="shared" si="7"/>
        <v>18031.975112</v>
      </c>
      <c r="K22" s="185">
        <f t="shared" si="7"/>
        <v>17127.346477999999</v>
      </c>
      <c r="L22" s="185">
        <f t="shared" si="7"/>
        <v>16950.340083999999</v>
      </c>
      <c r="M22" s="185">
        <f t="shared" si="7"/>
        <v>16922.601081000001</v>
      </c>
      <c r="N22" s="185">
        <f t="shared" si="7"/>
        <v>17425.03775</v>
      </c>
      <c r="O22" s="185">
        <f t="shared" si="7"/>
        <v>17179.877077000001</v>
      </c>
      <c r="P22" s="185">
        <f t="shared" si="7"/>
        <v>17727.361193000001</v>
      </c>
      <c r="Q22" s="185">
        <f t="shared" si="7"/>
        <v>17229.928863000001</v>
      </c>
      <c r="R22" s="185">
        <f t="shared" si="7"/>
        <v>18029.917083</v>
      </c>
      <c r="S22" s="185">
        <f t="shared" si="7"/>
        <v>17840.561738</v>
      </c>
      <c r="T22" s="185">
        <f t="shared" si="7"/>
        <v>17419.003187999999</v>
      </c>
      <c r="U22" s="185">
        <f t="shared" si="7"/>
        <v>16799.108765000001</v>
      </c>
      <c r="V22" s="814">
        <f t="shared" si="7"/>
        <v>16077.378430999999</v>
      </c>
      <c r="W22" s="164"/>
    </row>
    <row r="23" spans="1:29">
      <c r="A23" s="165" t="s">
        <v>195</v>
      </c>
      <c r="B23" s="185">
        <f t="shared" ref="B23:V23" si="8">IF($A$15=1,B86,B149)</f>
        <v>12460.249599999999</v>
      </c>
      <c r="C23" s="185">
        <f t="shared" si="8"/>
        <v>33117.530533999998</v>
      </c>
      <c r="D23" s="185">
        <f t="shared" si="8"/>
        <v>29686.037656</v>
      </c>
      <c r="E23" s="185">
        <f t="shared" si="8"/>
        <v>32814.102143999997</v>
      </c>
      <c r="F23" s="185">
        <f t="shared" si="8"/>
        <v>33521.376226</v>
      </c>
      <c r="G23" s="185">
        <f t="shared" si="8"/>
        <v>30715.351286000001</v>
      </c>
      <c r="H23" s="185">
        <f t="shared" si="8"/>
        <v>32606.616225999998</v>
      </c>
      <c r="I23" s="185">
        <f t="shared" si="8"/>
        <v>32613.269425999999</v>
      </c>
      <c r="J23" s="185">
        <f t="shared" si="8"/>
        <v>32506.303930999999</v>
      </c>
      <c r="K23" s="185">
        <f t="shared" si="8"/>
        <v>33242.374105000003</v>
      </c>
      <c r="L23" s="185">
        <f t="shared" si="8"/>
        <v>33139.464519000001</v>
      </c>
      <c r="M23" s="185">
        <f t="shared" si="8"/>
        <v>32336.762707000002</v>
      </c>
      <c r="N23" s="185">
        <f t="shared" si="8"/>
        <v>31683.331679999999</v>
      </c>
      <c r="O23" s="185">
        <f t="shared" si="8"/>
        <v>29232.816070000001</v>
      </c>
      <c r="P23" s="185">
        <f t="shared" si="8"/>
        <v>31713.893742</v>
      </c>
      <c r="Q23" s="185">
        <f t="shared" si="8"/>
        <v>33770.649901999997</v>
      </c>
      <c r="R23" s="185">
        <f t="shared" si="8"/>
        <v>34484.160969999997</v>
      </c>
      <c r="S23" s="185">
        <f t="shared" si="8"/>
        <v>34218.881301000001</v>
      </c>
      <c r="T23" s="185">
        <f t="shared" si="8"/>
        <v>32746.428883</v>
      </c>
      <c r="U23" s="185">
        <f t="shared" si="8"/>
        <v>29559.219125</v>
      </c>
      <c r="V23" s="814">
        <f t="shared" si="8"/>
        <v>32016.596841999999</v>
      </c>
      <c r="W23" s="164"/>
    </row>
    <row r="24" spans="1:29">
      <c r="A24" s="165" t="s">
        <v>196</v>
      </c>
      <c r="B24" s="185">
        <f t="shared" ref="B24:V24" si="9">IF($A$15=1,B87,B150)</f>
        <v>19497.705024999999</v>
      </c>
      <c r="C24" s="185">
        <f t="shared" si="9"/>
        <v>56264.907060999998</v>
      </c>
      <c r="D24" s="185">
        <f t="shared" si="9"/>
        <v>53379.670561999999</v>
      </c>
      <c r="E24" s="185">
        <f t="shared" si="9"/>
        <v>54734.658902000003</v>
      </c>
      <c r="F24" s="185">
        <f t="shared" si="9"/>
        <v>52808.174012000003</v>
      </c>
      <c r="G24" s="185">
        <f t="shared" si="9"/>
        <v>51117.697055999997</v>
      </c>
      <c r="H24" s="185">
        <f t="shared" si="9"/>
        <v>52294.994310000002</v>
      </c>
      <c r="I24" s="185">
        <f t="shared" si="9"/>
        <v>54387.258047000003</v>
      </c>
      <c r="J24" s="185">
        <f t="shared" si="9"/>
        <v>53024.972589999998</v>
      </c>
      <c r="K24" s="185">
        <f t="shared" si="9"/>
        <v>52300.482387999997</v>
      </c>
      <c r="L24" s="185">
        <f t="shared" si="9"/>
        <v>52111.126366999997</v>
      </c>
      <c r="M24" s="185">
        <f t="shared" si="9"/>
        <v>51551.293668999999</v>
      </c>
      <c r="N24" s="185">
        <f t="shared" si="9"/>
        <v>54440.584145000001</v>
      </c>
      <c r="O24" s="185">
        <f t="shared" si="9"/>
        <v>53573.329575000003</v>
      </c>
      <c r="P24" s="185">
        <f t="shared" si="9"/>
        <v>53016.738848000001</v>
      </c>
      <c r="Q24" s="185">
        <f t="shared" si="9"/>
        <v>52495.325945999997</v>
      </c>
      <c r="R24" s="185">
        <f t="shared" si="9"/>
        <v>52937.155760000001</v>
      </c>
      <c r="S24" s="185">
        <f t="shared" si="9"/>
        <v>52706.635363000001</v>
      </c>
      <c r="T24" s="185">
        <f t="shared" si="9"/>
        <v>53921.354075000003</v>
      </c>
      <c r="U24" s="185">
        <f t="shared" si="9"/>
        <v>52579.773553999999</v>
      </c>
      <c r="V24" s="814">
        <f t="shared" si="9"/>
        <v>50873.456463000002</v>
      </c>
      <c r="W24" s="164"/>
    </row>
    <row r="25" spans="1:29">
      <c r="A25" s="165" t="s">
        <v>197</v>
      </c>
      <c r="B25" s="185">
        <f t="shared" ref="B25:V25" si="10">IF($A$15=1,B88,B151)</f>
        <v>12998.470017</v>
      </c>
      <c r="C25" s="185">
        <f t="shared" si="10"/>
        <v>37509.938040000001</v>
      </c>
      <c r="D25" s="185">
        <f t="shared" si="10"/>
        <v>35586.447040999999</v>
      </c>
      <c r="E25" s="185">
        <f t="shared" si="10"/>
        <v>36489.772601999997</v>
      </c>
      <c r="F25" s="185">
        <f t="shared" si="10"/>
        <v>35205.449341</v>
      </c>
      <c r="G25" s="185">
        <f t="shared" si="10"/>
        <v>34078.464703999998</v>
      </c>
      <c r="H25" s="185">
        <f t="shared" si="10"/>
        <v>34863.329539999999</v>
      </c>
      <c r="I25" s="185">
        <f t="shared" si="10"/>
        <v>36258.172032000002</v>
      </c>
      <c r="J25" s="185">
        <f t="shared" si="10"/>
        <v>35349.981725999998</v>
      </c>
      <c r="K25" s="185">
        <f t="shared" si="10"/>
        <v>34866.988258999998</v>
      </c>
      <c r="L25" s="185">
        <f t="shared" si="10"/>
        <v>34740.750911000003</v>
      </c>
      <c r="M25" s="185">
        <f t="shared" si="10"/>
        <v>34367.529112999997</v>
      </c>
      <c r="N25" s="185">
        <f t="shared" si="10"/>
        <v>36293.722763999998</v>
      </c>
      <c r="O25" s="185">
        <f t="shared" si="10"/>
        <v>35715.553050000002</v>
      </c>
      <c r="P25" s="185">
        <f t="shared" si="10"/>
        <v>35344.492566000001</v>
      </c>
      <c r="Q25" s="185">
        <f t="shared" si="10"/>
        <v>34996.883964000001</v>
      </c>
      <c r="R25" s="185">
        <f t="shared" si="10"/>
        <v>35291.437172999998</v>
      </c>
      <c r="S25" s="185">
        <f t="shared" si="10"/>
        <v>35137.756908000003</v>
      </c>
      <c r="T25" s="185">
        <f t="shared" si="10"/>
        <v>35947.569384000002</v>
      </c>
      <c r="U25" s="185">
        <f t="shared" si="10"/>
        <v>35053.182369000002</v>
      </c>
      <c r="V25" s="814">
        <f t="shared" si="10"/>
        <v>33915.637642000002</v>
      </c>
      <c r="W25" s="164"/>
    </row>
    <row r="26" spans="1:29">
      <c r="A26" s="165" t="s">
        <v>198</v>
      </c>
      <c r="B26" s="185">
        <f t="shared" ref="B26:V26" si="11">IF($A$15=1,B89,B152)</f>
        <v>6632.1312630000002</v>
      </c>
      <c r="C26" s="185">
        <f t="shared" si="11"/>
        <v>16733.527279999998</v>
      </c>
      <c r="D26" s="185">
        <f t="shared" si="11"/>
        <v>21523.384357999999</v>
      </c>
      <c r="E26" s="185">
        <f t="shared" si="11"/>
        <v>23510.701674</v>
      </c>
      <c r="F26" s="185">
        <f t="shared" si="11"/>
        <v>21383.312694</v>
      </c>
      <c r="G26" s="185">
        <f t="shared" si="11"/>
        <v>19792.659014000001</v>
      </c>
      <c r="H26" s="185">
        <f t="shared" si="11"/>
        <v>21256.732895000001</v>
      </c>
      <c r="I26" s="185">
        <f t="shared" si="11"/>
        <v>21697.990639</v>
      </c>
      <c r="J26" s="185">
        <f t="shared" si="11"/>
        <v>22039.080693</v>
      </c>
      <c r="K26" s="185">
        <f t="shared" si="11"/>
        <v>20933.423472999999</v>
      </c>
      <c r="L26" s="185">
        <f t="shared" si="11"/>
        <v>20717.082324999999</v>
      </c>
      <c r="M26" s="185">
        <f t="shared" si="11"/>
        <v>20683.179099000001</v>
      </c>
      <c r="N26" s="185">
        <f t="shared" si="11"/>
        <v>21297.268360999999</v>
      </c>
      <c r="O26" s="185">
        <f t="shared" si="11"/>
        <v>20997.627539000001</v>
      </c>
      <c r="P26" s="185">
        <f t="shared" si="11"/>
        <v>21666.774792</v>
      </c>
      <c r="Q26" s="185">
        <f t="shared" si="11"/>
        <v>21058.801942999999</v>
      </c>
      <c r="R26" s="185">
        <f t="shared" si="11"/>
        <v>22036.565322999999</v>
      </c>
      <c r="S26" s="185">
        <f t="shared" si="11"/>
        <v>21805.131013999999</v>
      </c>
      <c r="T26" s="185">
        <f t="shared" si="11"/>
        <v>21289.892786</v>
      </c>
      <c r="U26" s="185">
        <f t="shared" si="11"/>
        <v>20532.244047</v>
      </c>
      <c r="V26" s="814">
        <f t="shared" si="11"/>
        <v>19650.129193000001</v>
      </c>
      <c r="W26" s="164"/>
    </row>
    <row r="27" spans="1:29">
      <c r="A27" s="165" t="s">
        <v>199</v>
      </c>
      <c r="B27" s="185">
        <f t="shared" ref="B27:V27" si="12">IF($A$15=1,B90,B153)</f>
        <v>1286.0334439999999</v>
      </c>
      <c r="C27" s="185">
        <f t="shared" si="12"/>
        <v>6675.7690220000004</v>
      </c>
      <c r="D27" s="185">
        <f t="shared" si="12"/>
        <v>5389.1129060000003</v>
      </c>
      <c r="E27" s="185">
        <f t="shared" si="12"/>
        <v>4884.3469500000001</v>
      </c>
      <c r="F27" s="185">
        <f t="shared" si="12"/>
        <v>3781.8669060000002</v>
      </c>
      <c r="G27" s="185">
        <f t="shared" si="12"/>
        <v>3714.0921069999999</v>
      </c>
      <c r="H27" s="185">
        <f t="shared" si="12"/>
        <v>3843.6188560000001</v>
      </c>
      <c r="I27" s="185">
        <f t="shared" si="12"/>
        <v>3968.8404909999999</v>
      </c>
      <c r="J27" s="185">
        <f t="shared" si="12"/>
        <v>3899.5591960000002</v>
      </c>
      <c r="K27" s="185">
        <f t="shared" si="12"/>
        <v>3696.8776769999999</v>
      </c>
      <c r="L27" s="185">
        <f t="shared" si="12"/>
        <v>3488.1743299999998</v>
      </c>
      <c r="M27" s="185">
        <f t="shared" si="12"/>
        <v>3438.4713849999998</v>
      </c>
      <c r="N27" s="185">
        <f t="shared" si="12"/>
        <v>3756.0483589999999</v>
      </c>
      <c r="O27" s="185">
        <f t="shared" si="12"/>
        <v>3731.3042030000001</v>
      </c>
      <c r="P27" s="185">
        <f t="shared" si="12"/>
        <v>3696.6645309999999</v>
      </c>
      <c r="Q27" s="185">
        <f t="shared" si="12"/>
        <v>3048.3872719999999</v>
      </c>
      <c r="R27" s="185">
        <f t="shared" si="12"/>
        <v>2887.2317240000002</v>
      </c>
      <c r="S27" s="185">
        <f t="shared" si="12"/>
        <v>2986.8503780000001</v>
      </c>
      <c r="T27" s="185">
        <f t="shared" si="12"/>
        <v>3107.7715669999998</v>
      </c>
      <c r="U27" s="185">
        <f t="shared" si="12"/>
        <v>3087.9756560000001</v>
      </c>
      <c r="V27" s="814">
        <f t="shared" si="12"/>
        <v>2934.7824930000002</v>
      </c>
      <c r="W27" s="164"/>
    </row>
    <row r="28" spans="1:29">
      <c r="A28" s="165" t="s">
        <v>200</v>
      </c>
      <c r="B28" s="185">
        <f t="shared" ref="B28:V28" si="13">IF($A$15=1,B91,B154)</f>
        <v>2651.3831030000001</v>
      </c>
      <c r="C28" s="185">
        <f t="shared" si="13"/>
        <v>8856.3617169999998</v>
      </c>
      <c r="D28" s="185">
        <f t="shared" si="13"/>
        <v>8606.5609839999997</v>
      </c>
      <c r="E28" s="185">
        <f t="shared" si="13"/>
        <v>8453.9060460000001</v>
      </c>
      <c r="F28" s="185">
        <f t="shared" si="13"/>
        <v>8665.568475</v>
      </c>
      <c r="G28" s="185">
        <f t="shared" si="13"/>
        <v>8451.6999159999996</v>
      </c>
      <c r="H28" s="185">
        <f t="shared" si="13"/>
        <v>8224.9215850000001</v>
      </c>
      <c r="I28" s="185">
        <f t="shared" si="13"/>
        <v>8204.105313</v>
      </c>
      <c r="J28" s="185">
        <f t="shared" si="13"/>
        <v>8169.4097019999999</v>
      </c>
      <c r="K28" s="185">
        <f t="shared" si="13"/>
        <v>8345.1952600000004</v>
      </c>
      <c r="L28" s="185">
        <f t="shared" si="13"/>
        <v>8534.8587889999999</v>
      </c>
      <c r="M28" s="185">
        <f t="shared" si="13"/>
        <v>8316.7952330000007</v>
      </c>
      <c r="N28" s="185">
        <f t="shared" si="13"/>
        <v>8127.7771590000002</v>
      </c>
      <c r="O28" s="185">
        <f t="shared" si="13"/>
        <v>8106.959519</v>
      </c>
      <c r="P28" s="185">
        <f t="shared" si="13"/>
        <v>8093.0815490000005</v>
      </c>
      <c r="Q28" s="185">
        <f t="shared" si="13"/>
        <v>7625.7003510000004</v>
      </c>
      <c r="R28" s="185">
        <f t="shared" si="13"/>
        <v>7625.7003510000004</v>
      </c>
      <c r="S28" s="185">
        <f t="shared" si="13"/>
        <v>7452.3889799999997</v>
      </c>
      <c r="T28" s="185">
        <f t="shared" si="13"/>
        <v>7445.44931</v>
      </c>
      <c r="U28" s="185">
        <f t="shared" si="13"/>
        <v>7445.44931</v>
      </c>
      <c r="V28" s="814">
        <f t="shared" si="13"/>
        <v>7597.2989230000003</v>
      </c>
      <c r="W28" s="164"/>
    </row>
    <row r="29" spans="1:29">
      <c r="A29" s="165" t="s">
        <v>201</v>
      </c>
      <c r="B29" s="815">
        <f t="shared" ref="B29:V29" si="14">IF($A$15=1,B92,B155)</f>
        <v>2651.3831030000001</v>
      </c>
      <c r="C29" s="815">
        <f t="shared" si="14"/>
        <v>8856.3617169999998</v>
      </c>
      <c r="D29" s="815">
        <f t="shared" si="14"/>
        <v>8606.5609839999997</v>
      </c>
      <c r="E29" s="815">
        <f t="shared" si="14"/>
        <v>8453.9060460000001</v>
      </c>
      <c r="F29" s="815">
        <f t="shared" si="14"/>
        <v>8665.568475</v>
      </c>
      <c r="G29" s="815">
        <f t="shared" si="14"/>
        <v>8451.6999159999996</v>
      </c>
      <c r="H29" s="815">
        <f t="shared" si="14"/>
        <v>8224.9215850000001</v>
      </c>
      <c r="I29" s="815">
        <f t="shared" si="14"/>
        <v>8204.105313</v>
      </c>
      <c r="J29" s="815">
        <f t="shared" si="14"/>
        <v>8169.4097019999999</v>
      </c>
      <c r="K29" s="815">
        <f t="shared" si="14"/>
        <v>8345.1952600000004</v>
      </c>
      <c r="L29" s="815">
        <f t="shared" si="14"/>
        <v>8534.8587889999999</v>
      </c>
      <c r="M29" s="815">
        <f t="shared" si="14"/>
        <v>8316.7952330000007</v>
      </c>
      <c r="N29" s="815">
        <f t="shared" si="14"/>
        <v>8127.7771590000002</v>
      </c>
      <c r="O29" s="815">
        <f t="shared" si="14"/>
        <v>8106.959519</v>
      </c>
      <c r="P29" s="815">
        <f t="shared" si="14"/>
        <v>8093.0815490000005</v>
      </c>
      <c r="Q29" s="815">
        <f t="shared" si="14"/>
        <v>7625.7003510000004</v>
      </c>
      <c r="R29" s="815">
        <f t="shared" si="14"/>
        <v>7625.7003510000004</v>
      </c>
      <c r="S29" s="815">
        <f t="shared" si="14"/>
        <v>7452.3889799999997</v>
      </c>
      <c r="T29" s="815">
        <f t="shared" si="14"/>
        <v>7445.44931</v>
      </c>
      <c r="U29" s="815">
        <f t="shared" si="14"/>
        <v>7445.44931</v>
      </c>
      <c r="V29" s="816">
        <f t="shared" si="14"/>
        <v>7597.2989230000003</v>
      </c>
      <c r="W29" s="164"/>
    </row>
    <row r="30" spans="1:29">
      <c r="A30" s="165" t="s">
        <v>27</v>
      </c>
      <c r="B30" s="185">
        <f t="shared" ref="B30:V30" si="15">SUM(B18:B29)</f>
        <v>58177.355555000002</v>
      </c>
      <c r="C30" s="185">
        <f t="shared" si="15"/>
        <v>197770.46174599999</v>
      </c>
      <c r="D30" s="185">
        <f t="shared" si="15"/>
        <v>214820.29765500003</v>
      </c>
      <c r="E30" s="185">
        <f t="shared" si="15"/>
        <v>221591.14067099997</v>
      </c>
      <c r="F30" s="185">
        <f t="shared" si="15"/>
        <v>210746.33980700001</v>
      </c>
      <c r="G30" s="185">
        <f t="shared" si="15"/>
        <v>200235.57714100005</v>
      </c>
      <c r="H30" s="185">
        <f t="shared" si="15"/>
        <v>206567.427368</v>
      </c>
      <c r="I30" s="185">
        <f t="shared" si="15"/>
        <v>211855.14523900003</v>
      </c>
      <c r="J30" s="185">
        <f t="shared" si="15"/>
        <v>210218.140934</v>
      </c>
      <c r="K30" s="185">
        <f t="shared" si="15"/>
        <v>206805.65596700003</v>
      </c>
      <c r="L30" s="185">
        <f t="shared" si="15"/>
        <v>205168.66842499998</v>
      </c>
      <c r="M30" s="185">
        <f t="shared" si="15"/>
        <v>202273.20443700004</v>
      </c>
      <c r="N30" s="185">
        <f t="shared" si="15"/>
        <v>208104.74493599997</v>
      </c>
      <c r="O30" s="185">
        <f t="shared" si="15"/>
        <v>204405.44066500003</v>
      </c>
      <c r="P30" s="185">
        <f t="shared" si="15"/>
        <v>206884.60192699998</v>
      </c>
      <c r="Q30" s="185">
        <f t="shared" si="15"/>
        <v>201092.09838800001</v>
      </c>
      <c r="R30" s="185">
        <f t="shared" si="15"/>
        <v>202973.91628400001</v>
      </c>
      <c r="S30" s="185">
        <f t="shared" si="15"/>
        <v>201756.26300799998</v>
      </c>
      <c r="T30" s="185">
        <f t="shared" si="15"/>
        <v>202173.22994600001</v>
      </c>
      <c r="U30" s="185">
        <f t="shared" si="15"/>
        <v>195450.07282600002</v>
      </c>
      <c r="V30" s="814">
        <f t="shared" si="15"/>
        <v>193539.67902899999</v>
      </c>
      <c r="W30" s="164"/>
    </row>
    <row r="31" spans="1:29">
      <c r="A31" s="165"/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7"/>
      <c r="W31" s="164"/>
    </row>
    <row r="32" spans="1:29">
      <c r="A32" s="168" t="s">
        <v>202</v>
      </c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69"/>
      <c r="W32" s="164"/>
    </row>
    <row r="33" spans="1:23">
      <c r="A33" s="165" t="str">
        <f t="shared" ref="A33:A44" si="16">A18</f>
        <v>January</v>
      </c>
      <c r="B33" s="156">
        <f t="shared" ref="B33:V33" si="17">B18/B$30</f>
        <v>0</v>
      </c>
      <c r="C33" s="156">
        <f t="shared" si="17"/>
        <v>4.5936316211203594E-2</v>
      </c>
      <c r="D33" s="156">
        <f t="shared" si="17"/>
        <v>9.4633401270342338E-2</v>
      </c>
      <c r="E33" s="156">
        <f t="shared" si="17"/>
        <v>8.9776561954417175E-2</v>
      </c>
      <c r="F33" s="156">
        <f t="shared" si="17"/>
        <v>8.4587165425151961E-2</v>
      </c>
      <c r="G33" s="156">
        <f t="shared" si="17"/>
        <v>8.4281090263576691E-2</v>
      </c>
      <c r="H33" s="156">
        <f t="shared" si="17"/>
        <v>8.5152625615382393E-2</v>
      </c>
      <c r="I33" s="156">
        <f t="shared" si="17"/>
        <v>8.6217289650407439E-2</v>
      </c>
      <c r="J33" s="156">
        <f t="shared" si="17"/>
        <v>8.641786404487127E-2</v>
      </c>
      <c r="K33" s="156">
        <f t="shared" si="17"/>
        <v>8.3383654500975818E-2</v>
      </c>
      <c r="L33" s="156">
        <f t="shared" si="17"/>
        <v>7.983213197578172E-2</v>
      </c>
      <c r="M33" s="156">
        <f t="shared" si="17"/>
        <v>8.0840874091619844E-2</v>
      </c>
      <c r="N33" s="156">
        <f t="shared" si="17"/>
        <v>8.2044283373984755E-2</v>
      </c>
      <c r="O33" s="156">
        <f t="shared" si="17"/>
        <v>8.6502744958625713E-2</v>
      </c>
      <c r="P33" s="156">
        <f t="shared" si="17"/>
        <v>8.4796393601057563E-2</v>
      </c>
      <c r="Q33" s="156">
        <f t="shared" si="17"/>
        <v>7.3771417887224439E-2</v>
      </c>
      <c r="R33" s="156">
        <f t="shared" si="17"/>
        <v>6.9119745176370304E-2</v>
      </c>
      <c r="S33" s="156">
        <f t="shared" si="17"/>
        <v>7.2214724568041205E-2</v>
      </c>
      <c r="T33" s="156">
        <f t="shared" si="17"/>
        <v>7.446031759012238E-2</v>
      </c>
      <c r="U33" s="156">
        <f t="shared" si="17"/>
        <v>7.6388643995500688E-2</v>
      </c>
      <c r="V33" s="170">
        <f t="shared" si="17"/>
        <v>7.6912543038626907E-2</v>
      </c>
      <c r="W33" s="164"/>
    </row>
    <row r="34" spans="1:23">
      <c r="A34" s="165" t="str">
        <f t="shared" si="16"/>
        <v>February</v>
      </c>
      <c r="B34" s="156">
        <f t="shared" ref="B34:V34" si="18">B19/B$30</f>
        <v>0</v>
      </c>
      <c r="C34" s="156">
        <f t="shared" si="18"/>
        <v>2.3692652475160491E-3</v>
      </c>
      <c r="D34" s="156">
        <f t="shared" si="18"/>
        <v>4.3734057593981402E-3</v>
      </c>
      <c r="E34" s="156">
        <f t="shared" si="18"/>
        <v>3.9810075318387908E-3</v>
      </c>
      <c r="F34" s="156">
        <f t="shared" si="18"/>
        <v>3.6656944728315518E-3</v>
      </c>
      <c r="G34" s="156">
        <f t="shared" si="18"/>
        <v>3.8581140476150536E-3</v>
      </c>
      <c r="H34" s="156">
        <f t="shared" si="18"/>
        <v>3.6950632620321921E-3</v>
      </c>
      <c r="I34" s="156">
        <f t="shared" si="18"/>
        <v>3.4550694493364243E-3</v>
      </c>
      <c r="J34" s="156">
        <f t="shared" si="18"/>
        <v>3.4389868485563912E-3</v>
      </c>
      <c r="K34" s="156">
        <f t="shared" si="18"/>
        <v>3.4301854351275383E-3</v>
      </c>
      <c r="L34" s="156">
        <f t="shared" si="18"/>
        <v>3.4045931835607959E-3</v>
      </c>
      <c r="M34" s="156">
        <f t="shared" si="18"/>
        <v>3.3618531079918526E-3</v>
      </c>
      <c r="N34" s="156">
        <f t="shared" si="18"/>
        <v>3.2676467862812518E-3</v>
      </c>
      <c r="O34" s="156">
        <f t="shared" si="18"/>
        <v>3.1073115174118544E-3</v>
      </c>
      <c r="P34" s="156">
        <f t="shared" si="18"/>
        <v>3.0700756561095619E-3</v>
      </c>
      <c r="Q34" s="156">
        <f t="shared" si="18"/>
        <v>2.2693801131831669E-3</v>
      </c>
      <c r="R34" s="156">
        <f t="shared" si="18"/>
        <v>2.3087618230921438E-3</v>
      </c>
      <c r="S34" s="156">
        <f t="shared" si="18"/>
        <v>2.2699072790708895E-3</v>
      </c>
      <c r="T34" s="156">
        <f t="shared" si="18"/>
        <v>2.1901946964900869E-3</v>
      </c>
      <c r="U34" s="156">
        <f t="shared" si="18"/>
        <v>2.1890271505853602E-3</v>
      </c>
      <c r="V34" s="170">
        <f t="shared" si="18"/>
        <v>2.2412040785445607E-3</v>
      </c>
      <c r="W34" s="164"/>
    </row>
    <row r="35" spans="1:23">
      <c r="A35" s="165" t="str">
        <f t="shared" si="16"/>
        <v>March</v>
      </c>
      <c r="B35" s="156">
        <f t="shared" ref="B35:V35" si="19">B20/B$30</f>
        <v>0</v>
      </c>
      <c r="C35" s="156">
        <f t="shared" si="19"/>
        <v>2.3692652475160491E-3</v>
      </c>
      <c r="D35" s="156">
        <f t="shared" si="19"/>
        <v>4.3734057593981402E-3</v>
      </c>
      <c r="E35" s="156">
        <f t="shared" si="19"/>
        <v>3.9810075318387908E-3</v>
      </c>
      <c r="F35" s="156">
        <f t="shared" si="19"/>
        <v>3.6656944728315518E-3</v>
      </c>
      <c r="G35" s="156">
        <f t="shared" si="19"/>
        <v>3.8581140476150536E-3</v>
      </c>
      <c r="H35" s="156">
        <f t="shared" si="19"/>
        <v>3.6950632620321921E-3</v>
      </c>
      <c r="I35" s="156">
        <f t="shared" si="19"/>
        <v>3.4550694493364243E-3</v>
      </c>
      <c r="J35" s="156">
        <f t="shared" si="19"/>
        <v>3.4389868485563912E-3</v>
      </c>
      <c r="K35" s="156">
        <f t="shared" si="19"/>
        <v>3.4301854351275383E-3</v>
      </c>
      <c r="L35" s="156">
        <f t="shared" si="19"/>
        <v>3.4045931835607959E-3</v>
      </c>
      <c r="M35" s="156">
        <f t="shared" si="19"/>
        <v>3.3618531079918526E-3</v>
      </c>
      <c r="N35" s="156">
        <f t="shared" si="19"/>
        <v>3.2676467862812518E-3</v>
      </c>
      <c r="O35" s="156">
        <f t="shared" si="19"/>
        <v>3.1073115174118544E-3</v>
      </c>
      <c r="P35" s="156">
        <f t="shared" si="19"/>
        <v>3.0700756561095619E-3</v>
      </c>
      <c r="Q35" s="156">
        <f t="shared" si="19"/>
        <v>2.2693801131831669E-3</v>
      </c>
      <c r="R35" s="156">
        <f t="shared" si="19"/>
        <v>2.3087618230921438E-3</v>
      </c>
      <c r="S35" s="156">
        <f t="shared" si="19"/>
        <v>2.2699072790708895E-3</v>
      </c>
      <c r="T35" s="156">
        <f t="shared" si="19"/>
        <v>2.1901946964900869E-3</v>
      </c>
      <c r="U35" s="156">
        <f t="shared" si="19"/>
        <v>2.1890271505853602E-3</v>
      </c>
      <c r="V35" s="170">
        <f t="shared" si="19"/>
        <v>2.2412040785445607E-3</v>
      </c>
      <c r="W35" s="164"/>
    </row>
    <row r="36" spans="1:23">
      <c r="A36" s="165" t="str">
        <f t="shared" si="16"/>
        <v>April</v>
      </c>
      <c r="B36" s="156">
        <f t="shared" ref="B36:V36" si="20">B21/B$30</f>
        <v>0</v>
      </c>
      <c r="C36" s="156">
        <f t="shared" si="20"/>
        <v>3.0555679117345354E-2</v>
      </c>
      <c r="D36" s="156">
        <f t="shared" si="20"/>
        <v>5.6904833795697309E-2</v>
      </c>
      <c r="E36" s="156">
        <f t="shared" si="20"/>
        <v>5.1246249564011304E-2</v>
      </c>
      <c r="F36" s="156">
        <f t="shared" si="20"/>
        <v>4.6729576105657672E-2</v>
      </c>
      <c r="G36" s="156">
        <f t="shared" si="20"/>
        <v>4.6439216246032387E-2</v>
      </c>
      <c r="H36" s="156">
        <f t="shared" si="20"/>
        <v>4.2330496552209933E-2</v>
      </c>
      <c r="I36" s="156">
        <f t="shared" si="20"/>
        <v>4.2665839599047094E-2</v>
      </c>
      <c r="J36" s="156">
        <f t="shared" si="20"/>
        <v>4.4786670994088562E-2</v>
      </c>
      <c r="K36" s="156">
        <f t="shared" si="20"/>
        <v>4.4896248894090086E-2</v>
      </c>
      <c r="L36" s="156">
        <f t="shared" si="20"/>
        <v>4.472382877190767E-2</v>
      </c>
      <c r="M36" s="156">
        <f t="shared" si="20"/>
        <v>4.2654234341193795E-2</v>
      </c>
      <c r="N36" s="156">
        <f t="shared" si="20"/>
        <v>4.0937881039762099E-2</v>
      </c>
      <c r="O36" s="156">
        <f t="shared" si="20"/>
        <v>4.3096111445669376E-2</v>
      </c>
      <c r="P36" s="156">
        <f t="shared" si="20"/>
        <v>4.2144955114042669E-2</v>
      </c>
      <c r="Q36" s="156">
        <f t="shared" si="20"/>
        <v>3.7262338073285266E-2</v>
      </c>
      <c r="R36" s="156">
        <f t="shared" si="20"/>
        <v>3.4927174140349557E-2</v>
      </c>
      <c r="S36" s="156">
        <f t="shared" si="20"/>
        <v>3.3059491009384552E-2</v>
      </c>
      <c r="T36" s="156">
        <f t="shared" si="20"/>
        <v>3.4182720743225335E-2</v>
      </c>
      <c r="U36" s="156">
        <f t="shared" si="20"/>
        <v>3.6642675658534164E-2</v>
      </c>
      <c r="V36" s="170">
        <f t="shared" si="20"/>
        <v>3.6808717601172353E-2</v>
      </c>
      <c r="W36" s="164"/>
    </row>
    <row r="37" spans="1:23">
      <c r="A37" s="165" t="str">
        <f t="shared" si="16"/>
        <v>May</v>
      </c>
      <c r="B37" s="156">
        <f t="shared" ref="B37:V37" si="21">B22/B$30</f>
        <v>0</v>
      </c>
      <c r="C37" s="156">
        <f t="shared" si="21"/>
        <v>6.9227060776061056E-2</v>
      </c>
      <c r="D37" s="156">
        <f t="shared" si="21"/>
        <v>8.1975688234459151E-2</v>
      </c>
      <c r="E37" s="156">
        <f t="shared" si="21"/>
        <v>8.6808653918885911E-2</v>
      </c>
      <c r="F37" s="156">
        <f t="shared" si="21"/>
        <v>8.3016567096834026E-2</v>
      </c>
      <c r="G37" s="156">
        <f t="shared" si="21"/>
        <v>8.0874707528106562E-2</v>
      </c>
      <c r="H37" s="156">
        <f t="shared" si="21"/>
        <v>8.4194650577781402E-2</v>
      </c>
      <c r="I37" s="156">
        <f t="shared" si="21"/>
        <v>8.3797357916289589E-2</v>
      </c>
      <c r="J37" s="156">
        <f t="shared" si="21"/>
        <v>8.5777445428276866E-2</v>
      </c>
      <c r="K37" s="156">
        <f t="shared" si="21"/>
        <v>8.2818559279312018E-2</v>
      </c>
      <c r="L37" s="156">
        <f t="shared" si="21"/>
        <v>8.2616611074786239E-2</v>
      </c>
      <c r="M37" s="156">
        <f t="shared" si="21"/>
        <v>8.3662100119003699E-2</v>
      </c>
      <c r="N37" s="156">
        <f t="shared" si="21"/>
        <v>8.3732054044989956E-2</v>
      </c>
      <c r="O37" s="156">
        <f t="shared" si="21"/>
        <v>8.404804207318578E-2</v>
      </c>
      <c r="P37" s="156">
        <f t="shared" si="21"/>
        <v>8.5687194831711874E-2</v>
      </c>
      <c r="Q37" s="156">
        <f t="shared" si="21"/>
        <v>8.568177964782818E-2</v>
      </c>
      <c r="R37" s="156">
        <f t="shared" si="21"/>
        <v>8.8828739244369889E-2</v>
      </c>
      <c r="S37" s="156">
        <f t="shared" si="21"/>
        <v>8.8426309409252848E-2</v>
      </c>
      <c r="T37" s="156">
        <f t="shared" si="21"/>
        <v>8.6158801502318444E-2</v>
      </c>
      <c r="U37" s="156">
        <f t="shared" si="21"/>
        <v>8.5950895398005073E-2</v>
      </c>
      <c r="V37" s="170">
        <f t="shared" si="21"/>
        <v>8.3070192694651337E-2</v>
      </c>
      <c r="W37" s="164"/>
    </row>
    <row r="38" spans="1:23">
      <c r="A38" s="165" t="str">
        <f t="shared" si="16"/>
        <v>June</v>
      </c>
      <c r="B38" s="156">
        <f t="shared" ref="B38:V38" si="22">B23/B$30</f>
        <v>0.21417696767293359</v>
      </c>
      <c r="C38" s="156">
        <f t="shared" si="22"/>
        <v>0.16745438242710589</v>
      </c>
      <c r="D38" s="156">
        <f t="shared" si="22"/>
        <v>0.13819009646693434</v>
      </c>
      <c r="E38" s="156">
        <f t="shared" si="22"/>
        <v>0.14808399850569676</v>
      </c>
      <c r="F38" s="156">
        <f t="shared" si="22"/>
        <v>0.15906030091292991</v>
      </c>
      <c r="G38" s="156">
        <f t="shared" si="22"/>
        <v>0.15339607338795316</v>
      </c>
      <c r="H38" s="156">
        <f t="shared" si="22"/>
        <v>0.15784974737527854</v>
      </c>
      <c r="I38" s="156">
        <f t="shared" si="22"/>
        <v>0.15394136115602955</v>
      </c>
      <c r="J38" s="156">
        <f t="shared" si="22"/>
        <v>0.15463129769188505</v>
      </c>
      <c r="K38" s="156">
        <f t="shared" si="22"/>
        <v>0.16074209358328423</v>
      </c>
      <c r="L38" s="156">
        <f t="shared" si="22"/>
        <v>0.16152302772835039</v>
      </c>
      <c r="M38" s="156">
        <f t="shared" si="22"/>
        <v>0.15986676434481267</v>
      </c>
      <c r="N38" s="156">
        <f t="shared" si="22"/>
        <v>0.15224704121832405</v>
      </c>
      <c r="O38" s="156">
        <f t="shared" si="22"/>
        <v>0.14301388443916055</v>
      </c>
      <c r="P38" s="156">
        <f t="shared" si="22"/>
        <v>0.15329267353203196</v>
      </c>
      <c r="Q38" s="156">
        <f t="shared" si="22"/>
        <v>0.16793623505206423</v>
      </c>
      <c r="R38" s="156">
        <f t="shared" si="22"/>
        <v>0.16989454409378368</v>
      </c>
      <c r="S38" s="156">
        <f t="shared" si="22"/>
        <v>0.16960505111875096</v>
      </c>
      <c r="T38" s="156">
        <f t="shared" si="22"/>
        <v>0.16197213098760155</v>
      </c>
      <c r="U38" s="156">
        <f t="shared" si="22"/>
        <v>0.15123667490937789</v>
      </c>
      <c r="V38" s="170">
        <f t="shared" si="22"/>
        <v>0.16542652650158954</v>
      </c>
      <c r="W38" s="164"/>
    </row>
    <row r="39" spans="1:23">
      <c r="A39" s="165" t="str">
        <f t="shared" si="16"/>
        <v>July</v>
      </c>
      <c r="B39" s="156">
        <f t="shared" ref="B39:V39" si="23">B24/B$30</f>
        <v>0.33514251101645831</v>
      </c>
      <c r="C39" s="156">
        <f t="shared" si="23"/>
        <v>0.28449600898066357</v>
      </c>
      <c r="D39" s="156">
        <f t="shared" si="23"/>
        <v>0.24848522762838451</v>
      </c>
      <c r="E39" s="156">
        <f t="shared" si="23"/>
        <v>0.24700743331280314</v>
      </c>
      <c r="F39" s="156">
        <f t="shared" si="23"/>
        <v>0.25057694506277711</v>
      </c>
      <c r="G39" s="156">
        <f t="shared" si="23"/>
        <v>0.25528778544686098</v>
      </c>
      <c r="H39" s="156">
        <f t="shared" si="23"/>
        <v>0.25316186088156306</v>
      </c>
      <c r="I39" s="156">
        <f t="shared" si="23"/>
        <v>0.25671908032086799</v>
      </c>
      <c r="J39" s="156">
        <f t="shared" si="23"/>
        <v>0.25223785328140497</v>
      </c>
      <c r="K39" s="156">
        <f t="shared" si="23"/>
        <v>0.25289676988498605</v>
      </c>
      <c r="L39" s="156">
        <f t="shared" si="23"/>
        <v>0.25399163901114546</v>
      </c>
      <c r="M39" s="156">
        <f t="shared" si="23"/>
        <v>0.25485972703347443</v>
      </c>
      <c r="N39" s="156">
        <f t="shared" si="23"/>
        <v>0.2616018397934296</v>
      </c>
      <c r="O39" s="156">
        <f t="shared" si="23"/>
        <v>0.26209346189958466</v>
      </c>
      <c r="P39" s="156">
        <f t="shared" si="23"/>
        <v>0.25626237213491199</v>
      </c>
      <c r="Q39" s="156">
        <f t="shared" si="23"/>
        <v>0.261051161964167</v>
      </c>
      <c r="R39" s="156">
        <f t="shared" si="23"/>
        <v>0.26080767779999187</v>
      </c>
      <c r="S39" s="156">
        <f t="shared" si="23"/>
        <v>0.26123915350726978</v>
      </c>
      <c r="T39" s="156">
        <f t="shared" si="23"/>
        <v>0.26670867398914422</v>
      </c>
      <c r="U39" s="156">
        <f t="shared" si="23"/>
        <v>0.26901895094615436</v>
      </c>
      <c r="V39" s="170">
        <f t="shared" si="23"/>
        <v>0.26285801815025805</v>
      </c>
      <c r="W39" s="164"/>
    </row>
    <row r="40" spans="1:23">
      <c r="A40" s="165" t="str">
        <f t="shared" si="16"/>
        <v>August</v>
      </c>
      <c r="B40" s="156">
        <f t="shared" ref="B40:V40" si="24">B25/B$30</f>
        <v>0.22342834068336848</v>
      </c>
      <c r="C40" s="156">
        <f t="shared" si="24"/>
        <v>0.18966400598373817</v>
      </c>
      <c r="D40" s="156">
        <f t="shared" si="24"/>
        <v>0.16565681841737132</v>
      </c>
      <c r="E40" s="156">
        <f t="shared" si="24"/>
        <v>0.16467162221154394</v>
      </c>
      <c r="F40" s="156">
        <f t="shared" si="24"/>
        <v>0.16705129670693639</v>
      </c>
      <c r="G40" s="156">
        <f t="shared" si="24"/>
        <v>0.17019185696457398</v>
      </c>
      <c r="H40" s="156">
        <f t="shared" si="24"/>
        <v>0.16877457392104203</v>
      </c>
      <c r="I40" s="156">
        <f t="shared" si="24"/>
        <v>0.17114605355039214</v>
      </c>
      <c r="J40" s="156">
        <f t="shared" si="24"/>
        <v>0.16815856885109864</v>
      </c>
      <c r="K40" s="156">
        <f t="shared" si="24"/>
        <v>0.16859784659160251</v>
      </c>
      <c r="L40" s="156">
        <f t="shared" si="24"/>
        <v>0.16932775933913899</v>
      </c>
      <c r="M40" s="156">
        <f t="shared" si="24"/>
        <v>0.16990648469063088</v>
      </c>
      <c r="N40" s="156">
        <f t="shared" si="24"/>
        <v>0.17440122653215659</v>
      </c>
      <c r="O40" s="156">
        <f t="shared" si="24"/>
        <v>0.17472897459972311</v>
      </c>
      <c r="P40" s="156">
        <f t="shared" si="24"/>
        <v>0.17084158142649708</v>
      </c>
      <c r="Q40" s="156">
        <f t="shared" si="24"/>
        <v>0.17403410797611135</v>
      </c>
      <c r="R40" s="156">
        <f t="shared" si="24"/>
        <v>0.17387178519835234</v>
      </c>
      <c r="S40" s="156">
        <f t="shared" si="24"/>
        <v>0.17415943566820888</v>
      </c>
      <c r="T40" s="156">
        <f t="shared" si="24"/>
        <v>0.17780578266272698</v>
      </c>
      <c r="U40" s="156">
        <f t="shared" si="24"/>
        <v>0.1793459672957308</v>
      </c>
      <c r="V40" s="170">
        <f t="shared" si="24"/>
        <v>0.17523867876683871</v>
      </c>
      <c r="W40" s="164"/>
    </row>
    <row r="41" spans="1:23">
      <c r="A41" s="165" t="str">
        <f t="shared" si="16"/>
        <v>September</v>
      </c>
      <c r="B41" s="156">
        <f t="shared" ref="B41:V41" si="25">B26/B$30</f>
        <v>0.11399849992717669</v>
      </c>
      <c r="C41" s="156">
        <f t="shared" si="25"/>
        <v>8.461085205682109E-2</v>
      </c>
      <c r="D41" s="156">
        <f t="shared" si="25"/>
        <v>0.10019250784470289</v>
      </c>
      <c r="E41" s="156">
        <f t="shared" si="25"/>
        <v>0.10609946590286624</v>
      </c>
      <c r="F41" s="156">
        <f t="shared" si="25"/>
        <v>0.10146469311677102</v>
      </c>
      <c r="G41" s="156">
        <f t="shared" si="25"/>
        <v>9.8846864761013911E-2</v>
      </c>
      <c r="H41" s="156">
        <f t="shared" si="25"/>
        <v>0.10290457293216475</v>
      </c>
      <c r="I41" s="156">
        <f t="shared" si="25"/>
        <v>0.10241899300827392</v>
      </c>
      <c r="J41" s="156">
        <f t="shared" si="25"/>
        <v>0.10483909997053671</v>
      </c>
      <c r="K41" s="156">
        <f t="shared" si="25"/>
        <v>0.10122268356306631</v>
      </c>
      <c r="L41" s="156">
        <f t="shared" si="25"/>
        <v>0.10097585798083586</v>
      </c>
      <c r="M41" s="156">
        <f t="shared" si="25"/>
        <v>0.10225367792322675</v>
      </c>
      <c r="N41" s="156">
        <f t="shared" si="25"/>
        <v>0.10233917716556491</v>
      </c>
      <c r="O41" s="156">
        <f t="shared" si="25"/>
        <v>0.10272538475829027</v>
      </c>
      <c r="P41" s="156">
        <f t="shared" si="25"/>
        <v>0.10472879368588874</v>
      </c>
      <c r="Q41" s="156">
        <f t="shared" si="25"/>
        <v>0.10472217512180808</v>
      </c>
      <c r="R41" s="156">
        <f t="shared" si="25"/>
        <v>0.10856845907316759</v>
      </c>
      <c r="S41" s="156">
        <f t="shared" si="25"/>
        <v>0.10807660039349255</v>
      </c>
      <c r="T41" s="156">
        <f t="shared" si="25"/>
        <v>0.1053052018394645</v>
      </c>
      <c r="U41" s="156">
        <f t="shared" si="25"/>
        <v>0.10505109437988744</v>
      </c>
      <c r="V41" s="170">
        <f t="shared" si="25"/>
        <v>0.10153023551338858</v>
      </c>
      <c r="W41" s="164"/>
    </row>
    <row r="42" spans="1:23">
      <c r="A42" s="165" t="str">
        <f t="shared" si="16"/>
        <v>October</v>
      </c>
      <c r="B42" s="156">
        <f t="shared" ref="B42:V42" si="26">B27/B$30</f>
        <v>2.210539533348509E-2</v>
      </c>
      <c r="C42" s="156">
        <f t="shared" si="26"/>
        <v>3.3755136955557125E-2</v>
      </c>
      <c r="D42" s="156">
        <f t="shared" si="26"/>
        <v>2.5086609435086435E-2</v>
      </c>
      <c r="E42" s="156">
        <f t="shared" si="26"/>
        <v>2.2042158071887318E-2</v>
      </c>
      <c r="F42" s="156">
        <f t="shared" si="26"/>
        <v>1.7945113113060025E-2</v>
      </c>
      <c r="G42" s="156">
        <f t="shared" si="26"/>
        <v>1.8548612389618677E-2</v>
      </c>
      <c r="H42" s="156">
        <f t="shared" si="26"/>
        <v>1.8607090696601408E-2</v>
      </c>
      <c r="I42" s="156">
        <f t="shared" si="26"/>
        <v>1.87337460533358E-2</v>
      </c>
      <c r="J42" s="156">
        <f t="shared" si="26"/>
        <v>1.8550060326260349E-2</v>
      </c>
      <c r="K42" s="156">
        <f t="shared" si="26"/>
        <v>1.7876095601514451E-2</v>
      </c>
      <c r="L42" s="156">
        <f t="shared" si="26"/>
        <v>1.7001496167896184E-2</v>
      </c>
      <c r="M42" s="156">
        <f t="shared" si="26"/>
        <v>1.6999144274055071E-2</v>
      </c>
      <c r="N42" s="156">
        <f t="shared" si="26"/>
        <v>1.8048835744495523E-2</v>
      </c>
      <c r="O42" s="156">
        <f t="shared" si="26"/>
        <v>1.8254427039029908E-2</v>
      </c>
      <c r="P42" s="156">
        <f t="shared" si="26"/>
        <v>1.7868243922302067E-2</v>
      </c>
      <c r="Q42" s="156">
        <f t="shared" si="26"/>
        <v>1.5159159889605636E-2</v>
      </c>
      <c r="R42" s="156">
        <f t="shared" si="26"/>
        <v>1.4224644116144467E-2</v>
      </c>
      <c r="S42" s="156">
        <f t="shared" si="26"/>
        <v>1.480425109718436E-2</v>
      </c>
      <c r="T42" s="156">
        <f t="shared" si="26"/>
        <v>1.5371825279885365E-2</v>
      </c>
      <c r="U42" s="156">
        <f t="shared" si="26"/>
        <v>1.5799306755690388E-2</v>
      </c>
      <c r="V42" s="170">
        <f t="shared" si="26"/>
        <v>1.5163725122021372E-2</v>
      </c>
      <c r="W42" s="164"/>
    </row>
    <row r="43" spans="1:23">
      <c r="A43" s="165" t="str">
        <f t="shared" si="16"/>
        <v>November</v>
      </c>
      <c r="B43" s="156">
        <f t="shared" ref="B43:V43" si="27">B28/B$30</f>
        <v>4.5574142683288896E-2</v>
      </c>
      <c r="C43" s="156">
        <f t="shared" si="27"/>
        <v>4.4781013498236037E-2</v>
      </c>
      <c r="D43" s="156">
        <f t="shared" si="27"/>
        <v>4.0064002694112637E-2</v>
      </c>
      <c r="E43" s="156">
        <f t="shared" si="27"/>
        <v>3.8150920747105382E-2</v>
      </c>
      <c r="F43" s="156">
        <f t="shared" si="27"/>
        <v>4.1118476757109355E-2</v>
      </c>
      <c r="G43" s="156">
        <f t="shared" si="27"/>
        <v>4.2208782458516649E-2</v>
      </c>
      <c r="H43" s="156">
        <f t="shared" si="27"/>
        <v>3.981712746195603E-2</v>
      </c>
      <c r="I43" s="156">
        <f t="shared" si="27"/>
        <v>3.8725069923341758E-2</v>
      </c>
      <c r="J43" s="156">
        <f t="shared" si="27"/>
        <v>3.8861582857232402E-2</v>
      </c>
      <c r="K43" s="156">
        <f t="shared" si="27"/>
        <v>4.0352838615456646E-2</v>
      </c>
      <c r="L43" s="156">
        <f t="shared" si="27"/>
        <v>4.159923079151797E-2</v>
      </c>
      <c r="M43" s="156">
        <f t="shared" si="27"/>
        <v>4.1116643482999489E-2</v>
      </c>
      <c r="N43" s="156">
        <f t="shared" si="27"/>
        <v>3.9056183757365054E-2</v>
      </c>
      <c r="O43" s="156">
        <f t="shared" si="27"/>
        <v>3.9661172875953395E-2</v>
      </c>
      <c r="P43" s="156">
        <f t="shared" si="27"/>
        <v>3.9118820219668525E-2</v>
      </c>
      <c r="Q43" s="156">
        <f t="shared" si="27"/>
        <v>3.7921432080769701E-2</v>
      </c>
      <c r="R43" s="156">
        <f t="shared" si="27"/>
        <v>3.7569853755642972E-2</v>
      </c>
      <c r="S43" s="156">
        <f t="shared" si="27"/>
        <v>3.6937584335136601E-2</v>
      </c>
      <c r="T43" s="156">
        <f t="shared" si="27"/>
        <v>3.6827078006265529E-2</v>
      </c>
      <c r="U43" s="156">
        <f t="shared" si="27"/>
        <v>3.8093868179974191E-2</v>
      </c>
      <c r="V43" s="170">
        <f t="shared" si="27"/>
        <v>3.9254477227182033E-2</v>
      </c>
      <c r="W43" s="164"/>
    </row>
    <row r="44" spans="1:23">
      <c r="A44" s="165" t="str">
        <f t="shared" si="16"/>
        <v>December</v>
      </c>
      <c r="B44" s="171">
        <f t="shared" ref="B44:V44" si="28">B29/B$30</f>
        <v>4.5574142683288896E-2</v>
      </c>
      <c r="C44" s="171">
        <f t="shared" si="28"/>
        <v>4.4781013498236037E-2</v>
      </c>
      <c r="D44" s="171">
        <f t="shared" si="28"/>
        <v>4.0064002694112637E-2</v>
      </c>
      <c r="E44" s="171">
        <f t="shared" si="28"/>
        <v>3.8150920747105382E-2</v>
      </c>
      <c r="F44" s="171">
        <f t="shared" si="28"/>
        <v>4.1118476757109355E-2</v>
      </c>
      <c r="G44" s="171">
        <f t="shared" si="28"/>
        <v>4.2208782458516649E-2</v>
      </c>
      <c r="H44" s="171">
        <f t="shared" si="28"/>
        <v>3.981712746195603E-2</v>
      </c>
      <c r="I44" s="171">
        <f t="shared" si="28"/>
        <v>3.8725069923341758E-2</v>
      </c>
      <c r="J44" s="171">
        <f t="shared" si="28"/>
        <v>3.8861582857232402E-2</v>
      </c>
      <c r="K44" s="171">
        <f t="shared" si="28"/>
        <v>4.0352838615456646E-2</v>
      </c>
      <c r="L44" s="171">
        <f t="shared" si="28"/>
        <v>4.159923079151797E-2</v>
      </c>
      <c r="M44" s="171">
        <f t="shared" si="28"/>
        <v>4.1116643482999489E-2</v>
      </c>
      <c r="N44" s="171">
        <f t="shared" si="28"/>
        <v>3.9056183757365054E-2</v>
      </c>
      <c r="O44" s="171">
        <f t="shared" si="28"/>
        <v>3.9661172875953395E-2</v>
      </c>
      <c r="P44" s="171">
        <f t="shared" si="28"/>
        <v>3.9118820219668525E-2</v>
      </c>
      <c r="Q44" s="171">
        <f t="shared" si="28"/>
        <v>3.7921432080769701E-2</v>
      </c>
      <c r="R44" s="171">
        <f t="shared" si="28"/>
        <v>3.7569853755642972E-2</v>
      </c>
      <c r="S44" s="171">
        <f t="shared" si="28"/>
        <v>3.6937584335136601E-2</v>
      </c>
      <c r="T44" s="171">
        <f t="shared" si="28"/>
        <v>3.6827078006265529E-2</v>
      </c>
      <c r="U44" s="171">
        <f t="shared" si="28"/>
        <v>3.8093868179974191E-2</v>
      </c>
      <c r="V44" s="172">
        <f t="shared" si="28"/>
        <v>3.9254477227182033E-2</v>
      </c>
      <c r="W44" s="164"/>
    </row>
    <row r="45" spans="1:23">
      <c r="A45" s="164"/>
      <c r="B45" s="156">
        <f t="shared" ref="B45:V45" si="29">SUM(B33:B44)</f>
        <v>0.99999999999999989</v>
      </c>
      <c r="C45" s="156">
        <f t="shared" si="29"/>
        <v>1</v>
      </c>
      <c r="D45" s="156">
        <f t="shared" si="29"/>
        <v>0.99999999999999978</v>
      </c>
      <c r="E45" s="156">
        <f t="shared" si="29"/>
        <v>1.0000000000000002</v>
      </c>
      <c r="F45" s="156">
        <f t="shared" si="29"/>
        <v>0.99999999999999978</v>
      </c>
      <c r="G45" s="156">
        <f t="shared" si="29"/>
        <v>0.99999999999999967</v>
      </c>
      <c r="H45" s="156">
        <f t="shared" si="29"/>
        <v>0.99999999999999978</v>
      </c>
      <c r="I45" s="156">
        <f t="shared" si="29"/>
        <v>0.99999999999999989</v>
      </c>
      <c r="J45" s="156">
        <f t="shared" si="29"/>
        <v>1.0000000000000002</v>
      </c>
      <c r="K45" s="156">
        <f t="shared" si="29"/>
        <v>0.99999999999999989</v>
      </c>
      <c r="L45" s="156">
        <f t="shared" si="29"/>
        <v>1</v>
      </c>
      <c r="M45" s="156">
        <f t="shared" si="29"/>
        <v>0.99999999999999967</v>
      </c>
      <c r="N45" s="156">
        <f t="shared" si="29"/>
        <v>1.0000000000000002</v>
      </c>
      <c r="O45" s="156">
        <f t="shared" si="29"/>
        <v>0.99999999999999989</v>
      </c>
      <c r="P45" s="156">
        <f t="shared" si="29"/>
        <v>1</v>
      </c>
      <c r="Q45" s="156">
        <f t="shared" si="29"/>
        <v>0.99999999999999978</v>
      </c>
      <c r="R45" s="156">
        <f t="shared" si="29"/>
        <v>0.99999999999999978</v>
      </c>
      <c r="S45" s="156">
        <f t="shared" si="29"/>
        <v>1</v>
      </c>
      <c r="T45" s="156">
        <f t="shared" si="29"/>
        <v>0.99999999999999989</v>
      </c>
      <c r="U45" s="156">
        <f t="shared" si="29"/>
        <v>1</v>
      </c>
      <c r="V45" s="170">
        <f t="shared" si="29"/>
        <v>0.99999999999999989</v>
      </c>
      <c r="W45" s="164"/>
    </row>
    <row r="46" spans="1:23">
      <c r="A46" s="164"/>
      <c r="B46" s="159"/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69"/>
      <c r="W46" s="164"/>
    </row>
    <row r="47" spans="1:23">
      <c r="A47" s="168" t="str">
        <f>A110</f>
        <v>Spot Rates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69"/>
      <c r="W47" s="164"/>
    </row>
    <row r="48" spans="1:23">
      <c r="A48" s="165" t="s">
        <v>190</v>
      </c>
      <c r="B48" s="154">
        <f t="shared" ref="B48:V48" si="30">IF($A$15=1,B111,B174)</f>
        <v>0</v>
      </c>
      <c r="C48" s="154">
        <f t="shared" si="30"/>
        <v>50.276172119999998</v>
      </c>
      <c r="D48" s="154">
        <f t="shared" si="30"/>
        <v>49.292064809999999</v>
      </c>
      <c r="E48" s="154">
        <f t="shared" si="30"/>
        <v>48.871634270000001</v>
      </c>
      <c r="F48" s="154">
        <f t="shared" si="30"/>
        <v>48.114296760000002</v>
      </c>
      <c r="G48" s="154">
        <f t="shared" si="30"/>
        <v>48.06361708</v>
      </c>
      <c r="H48" s="154">
        <f t="shared" si="30"/>
        <v>47.985188090000001</v>
      </c>
      <c r="I48" s="154">
        <f t="shared" si="30"/>
        <v>47.92342798</v>
      </c>
      <c r="J48" s="154">
        <f t="shared" si="30"/>
        <v>47.851334469999998</v>
      </c>
      <c r="K48" s="154">
        <f t="shared" si="30"/>
        <v>47.800795440000002</v>
      </c>
      <c r="L48" s="154">
        <f t="shared" si="30"/>
        <v>47.727659449999997</v>
      </c>
      <c r="M48" s="154">
        <f t="shared" si="30"/>
        <v>47.627052849999998</v>
      </c>
      <c r="N48" s="154">
        <f t="shared" si="30"/>
        <v>47.543011270000001</v>
      </c>
      <c r="O48" s="154">
        <f t="shared" si="30"/>
        <v>47.51406309</v>
      </c>
      <c r="P48" s="154">
        <f t="shared" si="30"/>
        <v>47.472470049999998</v>
      </c>
      <c r="Q48" s="154">
        <f t="shared" si="30"/>
        <v>48.311608300000003</v>
      </c>
      <c r="R48" s="154">
        <f t="shared" si="30"/>
        <v>48.278161849999996</v>
      </c>
      <c r="S48" s="154">
        <f t="shared" si="30"/>
        <v>48.241320610000002</v>
      </c>
      <c r="T48" s="154">
        <f t="shared" si="30"/>
        <v>48.23143288</v>
      </c>
      <c r="U48" s="154">
        <f t="shared" si="30"/>
        <v>48.193177519999999</v>
      </c>
      <c r="V48" s="173">
        <f t="shared" si="30"/>
        <v>48.112318119999998</v>
      </c>
      <c r="W48" s="164"/>
    </row>
    <row r="49" spans="1:23">
      <c r="A49" s="165" t="s">
        <v>191</v>
      </c>
      <c r="B49" s="154">
        <f t="shared" ref="B49:V49" si="31">IF($A$15=1,B112,B175)</f>
        <v>0</v>
      </c>
      <c r="C49" s="154">
        <f t="shared" si="31"/>
        <v>41.817346350000001</v>
      </c>
      <c r="D49" s="154">
        <f t="shared" si="31"/>
        <v>41.748309280000001</v>
      </c>
      <c r="E49" s="154">
        <f t="shared" si="31"/>
        <v>41.724420000000002</v>
      </c>
      <c r="F49" s="154">
        <f t="shared" si="31"/>
        <v>41.790971169999999</v>
      </c>
      <c r="G49" s="154">
        <f t="shared" si="31"/>
        <v>41.746887319999999</v>
      </c>
      <c r="H49" s="154">
        <f t="shared" si="31"/>
        <v>41.739237850000002</v>
      </c>
      <c r="I49" s="154">
        <f t="shared" si="31"/>
        <v>41.750481800000003</v>
      </c>
      <c r="J49" s="154">
        <f t="shared" si="31"/>
        <v>41.745338220000001</v>
      </c>
      <c r="K49" s="154">
        <f t="shared" si="31"/>
        <v>41.759888549999999</v>
      </c>
      <c r="L49" s="154">
        <f t="shared" si="31"/>
        <v>41.834905370000001</v>
      </c>
      <c r="M49" s="154">
        <f t="shared" si="31"/>
        <v>41.87551191</v>
      </c>
      <c r="N49" s="154">
        <f t="shared" si="31"/>
        <v>41.835226169999999</v>
      </c>
      <c r="O49" s="154">
        <f t="shared" si="31"/>
        <v>41.857962829999998</v>
      </c>
      <c r="P49" s="154">
        <f t="shared" si="31"/>
        <v>41.819254440000002</v>
      </c>
      <c r="Q49" s="154">
        <f t="shared" si="31"/>
        <v>42.662712560000003</v>
      </c>
      <c r="R49" s="154">
        <f t="shared" si="31"/>
        <v>42.681394259999998</v>
      </c>
      <c r="S49" s="154">
        <f t="shared" si="31"/>
        <v>42.643273039999997</v>
      </c>
      <c r="T49" s="154">
        <f t="shared" si="31"/>
        <v>42.634758580000003</v>
      </c>
      <c r="U49" s="154">
        <f t="shared" si="31"/>
        <v>42.626866929999998</v>
      </c>
      <c r="V49" s="173">
        <f t="shared" si="31"/>
        <v>42.619629170000003</v>
      </c>
      <c r="W49" s="164"/>
    </row>
    <row r="50" spans="1:23">
      <c r="A50" s="165" t="s">
        <v>192</v>
      </c>
      <c r="B50" s="154">
        <f t="shared" ref="B50:V50" si="32">IF($A$15=1,B113,B176)</f>
        <v>0</v>
      </c>
      <c r="C50" s="154">
        <f t="shared" si="32"/>
        <v>41.817346350000001</v>
      </c>
      <c r="D50" s="154">
        <f t="shared" si="32"/>
        <v>41.748309280000001</v>
      </c>
      <c r="E50" s="154">
        <f t="shared" si="32"/>
        <v>41.724420000000002</v>
      </c>
      <c r="F50" s="154">
        <f t="shared" si="32"/>
        <v>41.790971169999999</v>
      </c>
      <c r="G50" s="154">
        <f t="shared" si="32"/>
        <v>41.746887319999999</v>
      </c>
      <c r="H50" s="154">
        <f t="shared" si="32"/>
        <v>41.739237850000002</v>
      </c>
      <c r="I50" s="154">
        <f t="shared" si="32"/>
        <v>41.750481800000003</v>
      </c>
      <c r="J50" s="154">
        <f t="shared" si="32"/>
        <v>41.745338220000001</v>
      </c>
      <c r="K50" s="154">
        <f t="shared" si="32"/>
        <v>41.759888549999999</v>
      </c>
      <c r="L50" s="154">
        <f t="shared" si="32"/>
        <v>41.834905370000001</v>
      </c>
      <c r="M50" s="154">
        <f t="shared" si="32"/>
        <v>41.87551191</v>
      </c>
      <c r="N50" s="154">
        <f t="shared" si="32"/>
        <v>41.835226169999999</v>
      </c>
      <c r="O50" s="154">
        <f t="shared" si="32"/>
        <v>41.857962829999998</v>
      </c>
      <c r="P50" s="154">
        <f t="shared" si="32"/>
        <v>41.819254440000002</v>
      </c>
      <c r="Q50" s="154">
        <f t="shared" si="32"/>
        <v>42.662712560000003</v>
      </c>
      <c r="R50" s="154">
        <f t="shared" si="32"/>
        <v>42.681394259999998</v>
      </c>
      <c r="S50" s="154">
        <f t="shared" si="32"/>
        <v>42.643273039999997</v>
      </c>
      <c r="T50" s="154">
        <f t="shared" si="32"/>
        <v>42.634758580000003</v>
      </c>
      <c r="U50" s="154">
        <f t="shared" si="32"/>
        <v>42.626866929999998</v>
      </c>
      <c r="V50" s="173">
        <f t="shared" si="32"/>
        <v>42.619629170000003</v>
      </c>
      <c r="W50" s="164"/>
    </row>
    <row r="51" spans="1:23">
      <c r="A51" s="165" t="s">
        <v>193</v>
      </c>
      <c r="B51" s="154">
        <f t="shared" ref="B51:V51" si="33">IF($A$15=1,B114,B177)</f>
        <v>0</v>
      </c>
      <c r="C51" s="154">
        <f t="shared" si="33"/>
        <v>45.644802769999998</v>
      </c>
      <c r="D51" s="154">
        <f t="shared" si="33"/>
        <v>45.906999220000003</v>
      </c>
      <c r="E51" s="154">
        <f t="shared" si="33"/>
        <v>45.99268799</v>
      </c>
      <c r="F51" s="154">
        <f t="shared" si="33"/>
        <v>46.152457849999998</v>
      </c>
      <c r="G51" s="154">
        <f t="shared" si="33"/>
        <v>46.158718229999998</v>
      </c>
      <c r="H51" s="154">
        <f t="shared" si="33"/>
        <v>46.17733114</v>
      </c>
      <c r="I51" s="154">
        <f t="shared" si="33"/>
        <v>46.215252710000001</v>
      </c>
      <c r="J51" s="154">
        <f t="shared" si="33"/>
        <v>46.195517700000003</v>
      </c>
      <c r="K51" s="154">
        <f t="shared" si="33"/>
        <v>46.225966669999998</v>
      </c>
      <c r="L51" s="154">
        <f t="shared" si="33"/>
        <v>46.245486280000001</v>
      </c>
      <c r="M51" s="154">
        <f t="shared" si="33"/>
        <v>46.286573279999999</v>
      </c>
      <c r="N51" s="154">
        <f t="shared" si="33"/>
        <v>46.314709980000003</v>
      </c>
      <c r="O51" s="154">
        <f t="shared" si="33"/>
        <v>46.347454259999999</v>
      </c>
      <c r="P51" s="154">
        <f t="shared" si="33"/>
        <v>46.364830099999999</v>
      </c>
      <c r="Q51" s="154">
        <f t="shared" si="33"/>
        <v>47.220839869999999</v>
      </c>
      <c r="R51" s="154">
        <f t="shared" si="33"/>
        <v>47.235548139999999</v>
      </c>
      <c r="S51" s="154">
        <f t="shared" si="33"/>
        <v>47.271625739999998</v>
      </c>
      <c r="T51" s="154">
        <f t="shared" si="33"/>
        <v>47.3161731</v>
      </c>
      <c r="U51" s="154">
        <f t="shared" si="33"/>
        <v>47.346890139999999</v>
      </c>
      <c r="V51" s="173">
        <f t="shared" si="33"/>
        <v>47.344748350000003</v>
      </c>
      <c r="W51" s="164"/>
    </row>
    <row r="52" spans="1:23">
      <c r="A52" s="165" t="s">
        <v>194</v>
      </c>
      <c r="B52" s="154">
        <f t="shared" ref="B52:V52" si="34">IF($A$15=1,B115,B178)</f>
        <v>0</v>
      </c>
      <c r="C52" s="154">
        <f t="shared" si="34"/>
        <v>58.689083459999999</v>
      </c>
      <c r="D52" s="154">
        <f t="shared" si="34"/>
        <v>58.100821000000003</v>
      </c>
      <c r="E52" s="154">
        <f t="shared" si="34"/>
        <v>57.461687830000002</v>
      </c>
      <c r="F52" s="154">
        <f t="shared" si="34"/>
        <v>57.919345980000003</v>
      </c>
      <c r="G52" s="154">
        <f t="shared" si="34"/>
        <v>53.610625630000001</v>
      </c>
      <c r="H52" s="154">
        <f t="shared" si="34"/>
        <v>56.393782999999999</v>
      </c>
      <c r="I52" s="154">
        <f t="shared" si="34"/>
        <v>58.915942250000001</v>
      </c>
      <c r="J52" s="154">
        <f t="shared" si="34"/>
        <v>59.030088880000001</v>
      </c>
      <c r="K52" s="154">
        <f t="shared" si="34"/>
        <v>58.185289750000003</v>
      </c>
      <c r="L52" s="154">
        <f t="shared" si="34"/>
        <v>58.186107210000003</v>
      </c>
      <c r="M52" s="154">
        <f t="shared" si="34"/>
        <v>57.018796610000003</v>
      </c>
      <c r="N52" s="154">
        <f t="shared" si="34"/>
        <v>56.019390420000001</v>
      </c>
      <c r="O52" s="154">
        <f t="shared" si="34"/>
        <v>54.785273279999998</v>
      </c>
      <c r="P52" s="154">
        <f t="shared" si="34"/>
        <v>56.348211910000003</v>
      </c>
      <c r="Q52" s="154">
        <f t="shared" si="34"/>
        <v>59.278648250000003</v>
      </c>
      <c r="R52" s="154">
        <f t="shared" si="34"/>
        <v>60.213965199999997</v>
      </c>
      <c r="S52" s="154">
        <f t="shared" si="34"/>
        <v>60.133431620000003</v>
      </c>
      <c r="T52" s="154">
        <f t="shared" si="34"/>
        <v>60.237749559999997</v>
      </c>
      <c r="U52" s="154">
        <f t="shared" si="34"/>
        <v>57.747255699999997</v>
      </c>
      <c r="V52" s="173">
        <f t="shared" si="34"/>
        <v>57.120286929999999</v>
      </c>
      <c r="W52" s="164"/>
    </row>
    <row r="53" spans="1:23">
      <c r="A53" s="165" t="s">
        <v>195</v>
      </c>
      <c r="B53" s="154">
        <f t="shared" ref="B53:V53" si="35">IF($A$15=1,B116,B179)</f>
        <v>119.6982624</v>
      </c>
      <c r="C53" s="154">
        <f t="shared" si="35"/>
        <v>109.2786763</v>
      </c>
      <c r="D53" s="154">
        <f t="shared" si="35"/>
        <v>107.4110546</v>
      </c>
      <c r="E53" s="154">
        <f t="shared" si="35"/>
        <v>105.2136455</v>
      </c>
      <c r="F53" s="154">
        <f t="shared" si="35"/>
        <v>106.4071165</v>
      </c>
      <c r="G53" s="154">
        <f t="shared" si="35"/>
        <v>94.655896670000004</v>
      </c>
      <c r="H53" s="154">
        <f t="shared" si="35"/>
        <v>102.64554800000001</v>
      </c>
      <c r="I53" s="154">
        <f t="shared" si="35"/>
        <v>109.4849347</v>
      </c>
      <c r="J53" s="154">
        <f t="shared" si="35"/>
        <v>109.5895077</v>
      </c>
      <c r="K53" s="154">
        <f t="shared" si="35"/>
        <v>107.21891189999999</v>
      </c>
      <c r="L53" s="154">
        <f t="shared" si="35"/>
        <v>107.1349637</v>
      </c>
      <c r="M53" s="154">
        <f t="shared" si="35"/>
        <v>104.3683817</v>
      </c>
      <c r="N53" s="154">
        <f t="shared" si="35"/>
        <v>101.02728279999999</v>
      </c>
      <c r="O53" s="154">
        <f t="shared" si="35"/>
        <v>97.5558604</v>
      </c>
      <c r="P53" s="154">
        <f t="shared" si="35"/>
        <v>102.08996550000001</v>
      </c>
      <c r="Q53" s="154">
        <f t="shared" si="35"/>
        <v>107.58108249999999</v>
      </c>
      <c r="R53" s="154">
        <f t="shared" si="35"/>
        <v>110.5573703</v>
      </c>
      <c r="S53" s="154">
        <f t="shared" si="35"/>
        <v>110.1751727</v>
      </c>
      <c r="T53" s="154">
        <f t="shared" si="35"/>
        <v>110.4394211</v>
      </c>
      <c r="U53" s="154">
        <f t="shared" si="35"/>
        <v>104.0923138</v>
      </c>
      <c r="V53" s="173">
        <f t="shared" si="35"/>
        <v>102.5254025</v>
      </c>
      <c r="W53" s="164"/>
    </row>
    <row r="54" spans="1:23">
      <c r="A54" s="165" t="s">
        <v>196</v>
      </c>
      <c r="B54" s="154">
        <f t="shared" ref="B54:V54" si="36">IF($A$15=1,B117,B180)</f>
        <v>200.74960490000001</v>
      </c>
      <c r="C54" s="154">
        <f t="shared" si="36"/>
        <v>177.48117289999999</v>
      </c>
      <c r="D54" s="154">
        <f t="shared" si="36"/>
        <v>170.2370583</v>
      </c>
      <c r="E54" s="154">
        <f t="shared" si="36"/>
        <v>165.2013354</v>
      </c>
      <c r="F54" s="154">
        <f t="shared" si="36"/>
        <v>168.53742829999999</v>
      </c>
      <c r="G54" s="154">
        <f t="shared" si="36"/>
        <v>139.3279043</v>
      </c>
      <c r="H54" s="154">
        <f t="shared" si="36"/>
        <v>159.35017020000001</v>
      </c>
      <c r="I54" s="154">
        <f t="shared" si="36"/>
        <v>178.5405433</v>
      </c>
      <c r="J54" s="154">
        <f t="shared" si="36"/>
        <v>178.80340810000001</v>
      </c>
      <c r="K54" s="154">
        <f t="shared" si="36"/>
        <v>170.34071489999999</v>
      </c>
      <c r="L54" s="154">
        <f t="shared" si="36"/>
        <v>170.04549890000001</v>
      </c>
      <c r="M54" s="154">
        <f t="shared" si="36"/>
        <v>163.52485100000001</v>
      </c>
      <c r="N54" s="154">
        <f t="shared" si="36"/>
        <v>155.51577209999999</v>
      </c>
      <c r="O54" s="154">
        <f t="shared" si="36"/>
        <v>145.99592559999999</v>
      </c>
      <c r="P54" s="154">
        <f t="shared" si="36"/>
        <v>158.10978119999999</v>
      </c>
      <c r="Q54" s="154">
        <f t="shared" si="36"/>
        <v>171.14359540000001</v>
      </c>
      <c r="R54" s="154">
        <f t="shared" si="36"/>
        <v>180.9578376</v>
      </c>
      <c r="S54" s="154">
        <f t="shared" si="36"/>
        <v>180.10846520000001</v>
      </c>
      <c r="T54" s="154">
        <f t="shared" si="36"/>
        <v>180.73672049999999</v>
      </c>
      <c r="U54" s="154">
        <f t="shared" si="36"/>
        <v>162.35939680000001</v>
      </c>
      <c r="V54" s="173">
        <f t="shared" si="36"/>
        <v>157.5536275</v>
      </c>
      <c r="W54" s="164"/>
    </row>
    <row r="55" spans="1:23">
      <c r="A55" s="165" t="s">
        <v>197</v>
      </c>
      <c r="B55" s="154">
        <f t="shared" ref="B55:V55" si="37">IF($A$15=1,B118,B181)</f>
        <v>200.74960490000001</v>
      </c>
      <c r="C55" s="154">
        <f t="shared" si="37"/>
        <v>177.48117289999999</v>
      </c>
      <c r="D55" s="154">
        <f t="shared" si="37"/>
        <v>170.2370583</v>
      </c>
      <c r="E55" s="154">
        <f t="shared" si="37"/>
        <v>165.2013354</v>
      </c>
      <c r="F55" s="154">
        <f t="shared" si="37"/>
        <v>168.53742829999999</v>
      </c>
      <c r="G55" s="154">
        <f t="shared" si="37"/>
        <v>139.3279043</v>
      </c>
      <c r="H55" s="154">
        <f t="shared" si="37"/>
        <v>159.35017020000001</v>
      </c>
      <c r="I55" s="154">
        <f t="shared" si="37"/>
        <v>178.5405433</v>
      </c>
      <c r="J55" s="154">
        <f t="shared" si="37"/>
        <v>178.80340810000001</v>
      </c>
      <c r="K55" s="154">
        <f t="shared" si="37"/>
        <v>170.34071489999999</v>
      </c>
      <c r="L55" s="154">
        <f t="shared" si="37"/>
        <v>170.04549890000001</v>
      </c>
      <c r="M55" s="154">
        <f t="shared" si="37"/>
        <v>163.52485100000001</v>
      </c>
      <c r="N55" s="154">
        <f t="shared" si="37"/>
        <v>155.51577209999999</v>
      </c>
      <c r="O55" s="154">
        <f t="shared" si="37"/>
        <v>145.99592559999999</v>
      </c>
      <c r="P55" s="154">
        <f t="shared" si="37"/>
        <v>158.10978119999999</v>
      </c>
      <c r="Q55" s="154">
        <f t="shared" si="37"/>
        <v>171.14359540000001</v>
      </c>
      <c r="R55" s="154">
        <f t="shared" si="37"/>
        <v>180.9578376</v>
      </c>
      <c r="S55" s="154">
        <f t="shared" si="37"/>
        <v>180.10846520000001</v>
      </c>
      <c r="T55" s="154">
        <f t="shared" si="37"/>
        <v>180.73672049999999</v>
      </c>
      <c r="U55" s="154">
        <f t="shared" si="37"/>
        <v>162.35939680000001</v>
      </c>
      <c r="V55" s="173">
        <f t="shared" si="37"/>
        <v>157.5536275</v>
      </c>
      <c r="W55" s="164"/>
    </row>
    <row r="56" spans="1:23">
      <c r="A56" s="165" t="s">
        <v>198</v>
      </c>
      <c r="B56" s="154">
        <f t="shared" ref="B56:V56" si="38">IF($A$15=1,B119,B182)</f>
        <v>65.474885459999996</v>
      </c>
      <c r="C56" s="154">
        <f t="shared" si="38"/>
        <v>58.689083459999999</v>
      </c>
      <c r="D56" s="154">
        <f t="shared" si="38"/>
        <v>58.100821000000003</v>
      </c>
      <c r="E56" s="154">
        <f t="shared" si="38"/>
        <v>57.461687830000002</v>
      </c>
      <c r="F56" s="154">
        <f t="shared" si="38"/>
        <v>57.919345980000003</v>
      </c>
      <c r="G56" s="154">
        <f t="shared" si="38"/>
        <v>53.610625630000001</v>
      </c>
      <c r="H56" s="154">
        <f t="shared" si="38"/>
        <v>56.393782999999999</v>
      </c>
      <c r="I56" s="154">
        <f t="shared" si="38"/>
        <v>58.915942250000001</v>
      </c>
      <c r="J56" s="154">
        <f t="shared" si="38"/>
        <v>59.030088880000001</v>
      </c>
      <c r="K56" s="154">
        <f t="shared" si="38"/>
        <v>58.185289750000003</v>
      </c>
      <c r="L56" s="154">
        <f t="shared" si="38"/>
        <v>58.186107210000003</v>
      </c>
      <c r="M56" s="154">
        <f t="shared" si="38"/>
        <v>57.018796610000003</v>
      </c>
      <c r="N56" s="154">
        <f t="shared" si="38"/>
        <v>56.019390420000001</v>
      </c>
      <c r="O56" s="154">
        <f t="shared" si="38"/>
        <v>54.785273279999998</v>
      </c>
      <c r="P56" s="154">
        <f t="shared" si="38"/>
        <v>56.348211910000003</v>
      </c>
      <c r="Q56" s="154">
        <f t="shared" si="38"/>
        <v>59.278648250000003</v>
      </c>
      <c r="R56" s="154">
        <f t="shared" si="38"/>
        <v>60.213965199999997</v>
      </c>
      <c r="S56" s="154">
        <f t="shared" si="38"/>
        <v>60.133431620000003</v>
      </c>
      <c r="T56" s="154">
        <f t="shared" si="38"/>
        <v>60.237749559999997</v>
      </c>
      <c r="U56" s="154">
        <f t="shared" si="38"/>
        <v>57.747255699999997</v>
      </c>
      <c r="V56" s="173">
        <f t="shared" si="38"/>
        <v>57.120286929999999</v>
      </c>
      <c r="W56" s="164"/>
    </row>
    <row r="57" spans="1:23">
      <c r="A57" s="165" t="s">
        <v>199</v>
      </c>
      <c r="B57" s="154">
        <f t="shared" ref="B57:V57" si="39">IF($A$15=1,B120,B183)</f>
        <v>52.66540105</v>
      </c>
      <c r="C57" s="154">
        <f t="shared" si="39"/>
        <v>45.789530360000001</v>
      </c>
      <c r="D57" s="154">
        <f t="shared" si="39"/>
        <v>46.577470480000002</v>
      </c>
      <c r="E57" s="154">
        <f t="shared" si="39"/>
        <v>47.031459339999998</v>
      </c>
      <c r="F57" s="154">
        <f t="shared" si="39"/>
        <v>47.742775229999999</v>
      </c>
      <c r="G57" s="154">
        <f t="shared" si="39"/>
        <v>47.844415580000003</v>
      </c>
      <c r="H57" s="154">
        <f t="shared" si="39"/>
        <v>47.893237370000001</v>
      </c>
      <c r="I57" s="154">
        <f t="shared" si="39"/>
        <v>47.945772689999998</v>
      </c>
      <c r="J57" s="154">
        <f t="shared" si="39"/>
        <v>48.051463550000001</v>
      </c>
      <c r="K57" s="154">
        <f t="shared" si="39"/>
        <v>48.074641470000003</v>
      </c>
      <c r="L57" s="154">
        <f t="shared" si="39"/>
        <v>48.125682779999998</v>
      </c>
      <c r="M57" s="154">
        <f t="shared" si="39"/>
        <v>48.206387999999997</v>
      </c>
      <c r="N57" s="154">
        <f t="shared" si="39"/>
        <v>48.172355099999997</v>
      </c>
      <c r="O57" s="154">
        <f t="shared" si="39"/>
        <v>48.179096860000001</v>
      </c>
      <c r="P57" s="154">
        <f t="shared" si="39"/>
        <v>48.214159109999997</v>
      </c>
      <c r="Q57" s="154">
        <f t="shared" si="39"/>
        <v>49.610740900000003</v>
      </c>
      <c r="R57" s="154">
        <f t="shared" si="39"/>
        <v>49.635343859999999</v>
      </c>
      <c r="S57" s="154">
        <f t="shared" si="39"/>
        <v>49.71153984</v>
      </c>
      <c r="T57" s="154">
        <f t="shared" si="39"/>
        <v>49.706975929999999</v>
      </c>
      <c r="U57" s="154">
        <f t="shared" si="39"/>
        <v>49.720502250000003</v>
      </c>
      <c r="V57" s="173">
        <f t="shared" si="39"/>
        <v>49.735560960000001</v>
      </c>
      <c r="W57" s="164"/>
    </row>
    <row r="58" spans="1:23">
      <c r="A58" s="165" t="s">
        <v>200</v>
      </c>
      <c r="B58" s="154">
        <f t="shared" ref="B58:V58" si="40">IF($A$15=1,B121,B184)</f>
        <v>53.728532940000001</v>
      </c>
      <c r="C58" s="154">
        <f t="shared" si="40"/>
        <v>49.629084890000001</v>
      </c>
      <c r="D58" s="154">
        <f t="shared" si="40"/>
        <v>49.842813739999997</v>
      </c>
      <c r="E58" s="154">
        <f t="shared" si="40"/>
        <v>50.00419986</v>
      </c>
      <c r="F58" s="154">
        <f t="shared" si="40"/>
        <v>50.15598731</v>
      </c>
      <c r="G58" s="154">
        <f t="shared" si="40"/>
        <v>50.177827559999997</v>
      </c>
      <c r="H58" s="154">
        <f t="shared" si="40"/>
        <v>50.220165530000003</v>
      </c>
      <c r="I58" s="154">
        <f t="shared" si="40"/>
        <v>50.242813720000001</v>
      </c>
      <c r="J58" s="154">
        <f t="shared" si="40"/>
        <v>50.286237190000001</v>
      </c>
      <c r="K58" s="154">
        <f t="shared" si="40"/>
        <v>50.299502140000001</v>
      </c>
      <c r="L58" s="154">
        <f t="shared" si="40"/>
        <v>50.292528799999999</v>
      </c>
      <c r="M58" s="154">
        <f t="shared" si="40"/>
        <v>50.32686254</v>
      </c>
      <c r="N58" s="154">
        <f t="shared" si="40"/>
        <v>50.320336650000002</v>
      </c>
      <c r="O58" s="154">
        <f t="shared" si="40"/>
        <v>50.344943149999999</v>
      </c>
      <c r="P58" s="154">
        <f t="shared" si="40"/>
        <v>50.359455420000003</v>
      </c>
      <c r="Q58" s="154">
        <f t="shared" si="40"/>
        <v>51.339711940000001</v>
      </c>
      <c r="R58" s="154">
        <f t="shared" si="40"/>
        <v>51.334918649999999</v>
      </c>
      <c r="S58" s="154">
        <f t="shared" si="40"/>
        <v>51.330231499999996</v>
      </c>
      <c r="T58" s="154">
        <f t="shared" si="40"/>
        <v>51.336928190000002</v>
      </c>
      <c r="U58" s="154">
        <f t="shared" si="40"/>
        <v>51.332499489999996</v>
      </c>
      <c r="V58" s="173">
        <f t="shared" si="40"/>
        <v>51.362057149999998</v>
      </c>
      <c r="W58" s="164"/>
    </row>
    <row r="59" spans="1:23">
      <c r="A59" s="165" t="s">
        <v>201</v>
      </c>
      <c r="B59" s="154">
        <f t="shared" ref="B59:V59" si="41">IF($A$15=1,B122,B185)</f>
        <v>53.728532940000001</v>
      </c>
      <c r="C59" s="154">
        <f t="shared" si="41"/>
        <v>49.629084890000001</v>
      </c>
      <c r="D59" s="154">
        <f t="shared" si="41"/>
        <v>49.842813739999997</v>
      </c>
      <c r="E59" s="154">
        <f t="shared" si="41"/>
        <v>50.00419986</v>
      </c>
      <c r="F59" s="154">
        <f t="shared" si="41"/>
        <v>50.15598731</v>
      </c>
      <c r="G59" s="154">
        <f t="shared" si="41"/>
        <v>50.177827559999997</v>
      </c>
      <c r="H59" s="154">
        <f t="shared" si="41"/>
        <v>50.220165530000003</v>
      </c>
      <c r="I59" s="154">
        <f t="shared" si="41"/>
        <v>50.242813720000001</v>
      </c>
      <c r="J59" s="154">
        <f t="shared" si="41"/>
        <v>50.286237190000001</v>
      </c>
      <c r="K59" s="154">
        <f t="shared" si="41"/>
        <v>50.299502140000001</v>
      </c>
      <c r="L59" s="154">
        <f t="shared" si="41"/>
        <v>50.292528799999999</v>
      </c>
      <c r="M59" s="154">
        <f t="shared" si="41"/>
        <v>50.32686254</v>
      </c>
      <c r="N59" s="154">
        <f t="shared" si="41"/>
        <v>50.320336650000002</v>
      </c>
      <c r="O59" s="154">
        <f t="shared" si="41"/>
        <v>50.344943149999999</v>
      </c>
      <c r="P59" s="154">
        <f t="shared" si="41"/>
        <v>50.359455420000003</v>
      </c>
      <c r="Q59" s="154">
        <f t="shared" si="41"/>
        <v>51.339711940000001</v>
      </c>
      <c r="R59" s="154">
        <f t="shared" si="41"/>
        <v>51.334918649999999</v>
      </c>
      <c r="S59" s="154">
        <f t="shared" si="41"/>
        <v>51.330231499999996</v>
      </c>
      <c r="T59" s="154">
        <f t="shared" si="41"/>
        <v>51.336928190000002</v>
      </c>
      <c r="U59" s="154">
        <f t="shared" si="41"/>
        <v>51.332499489999996</v>
      </c>
      <c r="V59" s="173">
        <f t="shared" si="41"/>
        <v>51.362057149999998</v>
      </c>
      <c r="W59" s="164"/>
    </row>
    <row r="60" spans="1:23">
      <c r="A60" s="164"/>
      <c r="B60" s="160"/>
      <c r="V60" s="164"/>
      <c r="W60" s="164"/>
    </row>
    <row r="61" spans="1:23">
      <c r="A61" s="168" t="s">
        <v>203</v>
      </c>
      <c r="B61" s="160"/>
      <c r="V61" s="164"/>
      <c r="W61" s="164"/>
    </row>
    <row r="62" spans="1:23">
      <c r="A62" s="165" t="str">
        <f t="shared" ref="A62:A73" si="42">A48</f>
        <v>January</v>
      </c>
      <c r="B62" s="154">
        <f t="shared" ref="B62:V62" si="43">IF($A$15=1,B125,B188)</f>
        <v>0</v>
      </c>
      <c r="C62" s="154">
        <f t="shared" si="43"/>
        <v>3.8354166699999999</v>
      </c>
      <c r="D62" s="154">
        <f t="shared" si="43"/>
        <v>3.8354166699999999</v>
      </c>
      <c r="E62" s="154">
        <f t="shared" si="43"/>
        <v>3.8354166699999999</v>
      </c>
      <c r="F62" s="154">
        <f t="shared" si="43"/>
        <v>3.8354166699999999</v>
      </c>
      <c r="G62" s="154">
        <f t="shared" si="43"/>
        <v>3.8354166699999999</v>
      </c>
      <c r="H62" s="154">
        <f t="shared" si="43"/>
        <v>3.8354166699999999</v>
      </c>
      <c r="I62" s="154">
        <f t="shared" si="43"/>
        <v>3.8354166699999999</v>
      </c>
      <c r="J62" s="154">
        <f t="shared" si="43"/>
        <v>3.8354166699999999</v>
      </c>
      <c r="K62" s="154">
        <f t="shared" si="43"/>
        <v>3.8354166699999999</v>
      </c>
      <c r="L62" s="154">
        <f t="shared" si="43"/>
        <v>3.8354166699999999</v>
      </c>
      <c r="M62" s="154">
        <f t="shared" si="43"/>
        <v>3.8354166699999999</v>
      </c>
      <c r="N62" s="154">
        <f t="shared" si="43"/>
        <v>3.8354166699999999</v>
      </c>
      <c r="O62" s="154">
        <f t="shared" si="43"/>
        <v>3.8354166699999999</v>
      </c>
      <c r="P62" s="154">
        <f t="shared" si="43"/>
        <v>3.8354166699999999</v>
      </c>
      <c r="Q62" s="154">
        <f t="shared" si="43"/>
        <v>3.9375</v>
      </c>
      <c r="R62" s="154">
        <f t="shared" si="43"/>
        <v>3.9375</v>
      </c>
      <c r="S62" s="154">
        <f t="shared" si="43"/>
        <v>3.9375</v>
      </c>
      <c r="T62" s="154">
        <f t="shared" si="43"/>
        <v>3.9375</v>
      </c>
      <c r="U62" s="154">
        <f t="shared" si="43"/>
        <v>3.9375</v>
      </c>
      <c r="V62" s="173">
        <f t="shared" si="43"/>
        <v>3.9375</v>
      </c>
      <c r="W62" s="164"/>
    </row>
    <row r="63" spans="1:23">
      <c r="A63" s="165" t="str">
        <f t="shared" si="42"/>
        <v>February</v>
      </c>
      <c r="B63" s="154">
        <f t="shared" ref="B63:V63" si="44">IF($A$15=1,B126,B189)</f>
        <v>0</v>
      </c>
      <c r="C63" s="154">
        <f t="shared" si="44"/>
        <v>3.8354166699999999</v>
      </c>
      <c r="D63" s="154">
        <f t="shared" si="44"/>
        <v>3.8354166699999999</v>
      </c>
      <c r="E63" s="154">
        <f t="shared" si="44"/>
        <v>3.8354166699999999</v>
      </c>
      <c r="F63" s="154">
        <f t="shared" si="44"/>
        <v>3.8354166699999999</v>
      </c>
      <c r="G63" s="154">
        <f t="shared" si="44"/>
        <v>3.8354166699999999</v>
      </c>
      <c r="H63" s="154">
        <f t="shared" si="44"/>
        <v>3.8354166699999999</v>
      </c>
      <c r="I63" s="154">
        <f t="shared" si="44"/>
        <v>3.8354166699999999</v>
      </c>
      <c r="J63" s="154">
        <f t="shared" si="44"/>
        <v>3.8354166699999999</v>
      </c>
      <c r="K63" s="154">
        <f t="shared" si="44"/>
        <v>3.8354166699999999</v>
      </c>
      <c r="L63" s="154">
        <f t="shared" si="44"/>
        <v>3.8354166699999999</v>
      </c>
      <c r="M63" s="154">
        <f t="shared" si="44"/>
        <v>3.8354166699999999</v>
      </c>
      <c r="N63" s="154">
        <f t="shared" si="44"/>
        <v>3.8354166699999999</v>
      </c>
      <c r="O63" s="154">
        <f t="shared" si="44"/>
        <v>3.8354166699999999</v>
      </c>
      <c r="P63" s="154">
        <f t="shared" si="44"/>
        <v>3.8354166699999999</v>
      </c>
      <c r="Q63" s="154">
        <f t="shared" si="44"/>
        <v>3.9375</v>
      </c>
      <c r="R63" s="154">
        <f t="shared" si="44"/>
        <v>3.9375</v>
      </c>
      <c r="S63" s="154">
        <f t="shared" si="44"/>
        <v>3.9375</v>
      </c>
      <c r="T63" s="154">
        <f t="shared" si="44"/>
        <v>3.9375</v>
      </c>
      <c r="U63" s="154">
        <f t="shared" si="44"/>
        <v>3.9375</v>
      </c>
      <c r="V63" s="173">
        <f t="shared" si="44"/>
        <v>3.9375</v>
      </c>
      <c r="W63" s="164"/>
    </row>
    <row r="64" spans="1:23">
      <c r="A64" s="165" t="str">
        <f t="shared" si="42"/>
        <v>March</v>
      </c>
      <c r="B64" s="154">
        <f t="shared" ref="B64:V64" si="45">IF($A$15=1,B127,B190)</f>
        <v>0</v>
      </c>
      <c r="C64" s="154">
        <f t="shared" si="45"/>
        <v>3.8354166699999999</v>
      </c>
      <c r="D64" s="154">
        <f t="shared" si="45"/>
        <v>3.8354166699999999</v>
      </c>
      <c r="E64" s="154">
        <f t="shared" si="45"/>
        <v>3.8354166699999999</v>
      </c>
      <c r="F64" s="154">
        <f t="shared" si="45"/>
        <v>3.8354166699999999</v>
      </c>
      <c r="G64" s="154">
        <f t="shared" si="45"/>
        <v>3.8354166699999999</v>
      </c>
      <c r="H64" s="154">
        <f t="shared" si="45"/>
        <v>3.8354166699999999</v>
      </c>
      <c r="I64" s="154">
        <f t="shared" si="45"/>
        <v>3.8354166699999999</v>
      </c>
      <c r="J64" s="154">
        <f t="shared" si="45"/>
        <v>3.8354166699999999</v>
      </c>
      <c r="K64" s="154">
        <f t="shared" si="45"/>
        <v>3.8354166699999999</v>
      </c>
      <c r="L64" s="154">
        <f t="shared" si="45"/>
        <v>3.8354166699999999</v>
      </c>
      <c r="M64" s="154">
        <f t="shared" si="45"/>
        <v>3.8354166699999999</v>
      </c>
      <c r="N64" s="154">
        <f t="shared" si="45"/>
        <v>3.8354166699999999</v>
      </c>
      <c r="O64" s="154">
        <f t="shared" si="45"/>
        <v>3.8354166699999999</v>
      </c>
      <c r="P64" s="154">
        <f t="shared" si="45"/>
        <v>3.8354166699999999</v>
      </c>
      <c r="Q64" s="154">
        <f t="shared" si="45"/>
        <v>3.9375</v>
      </c>
      <c r="R64" s="154">
        <f t="shared" si="45"/>
        <v>3.9375</v>
      </c>
      <c r="S64" s="154">
        <f t="shared" si="45"/>
        <v>3.9375</v>
      </c>
      <c r="T64" s="154">
        <f t="shared" si="45"/>
        <v>3.9375</v>
      </c>
      <c r="U64" s="154">
        <f t="shared" si="45"/>
        <v>3.9375</v>
      </c>
      <c r="V64" s="173">
        <f t="shared" si="45"/>
        <v>3.9375</v>
      </c>
      <c r="W64" s="164"/>
    </row>
    <row r="65" spans="1:23">
      <c r="A65" s="165" t="str">
        <f t="shared" si="42"/>
        <v>April</v>
      </c>
      <c r="B65" s="154">
        <f t="shared" ref="B65:V65" si="46">IF($A$15=1,B128,B191)</f>
        <v>0</v>
      </c>
      <c r="C65" s="154">
        <f t="shared" si="46"/>
        <v>3.98020833</v>
      </c>
      <c r="D65" s="154">
        <f t="shared" si="46"/>
        <v>3.98020833</v>
      </c>
      <c r="E65" s="154">
        <f t="shared" si="46"/>
        <v>3.98020833</v>
      </c>
      <c r="F65" s="154">
        <f t="shared" si="46"/>
        <v>3.98020833</v>
      </c>
      <c r="G65" s="154">
        <f t="shared" si="46"/>
        <v>3.98020833</v>
      </c>
      <c r="H65" s="154">
        <f t="shared" si="46"/>
        <v>3.98020833</v>
      </c>
      <c r="I65" s="154">
        <f t="shared" si="46"/>
        <v>3.98020833</v>
      </c>
      <c r="J65" s="154">
        <f t="shared" si="46"/>
        <v>3.98020833</v>
      </c>
      <c r="K65" s="154">
        <f t="shared" si="46"/>
        <v>3.98020833</v>
      </c>
      <c r="L65" s="154">
        <f t="shared" si="46"/>
        <v>3.98020833</v>
      </c>
      <c r="M65" s="154">
        <f t="shared" si="46"/>
        <v>3.98020833</v>
      </c>
      <c r="N65" s="154">
        <f t="shared" si="46"/>
        <v>3.98020833</v>
      </c>
      <c r="O65" s="154">
        <f t="shared" si="46"/>
        <v>3.98020833</v>
      </c>
      <c r="P65" s="154">
        <f t="shared" si="46"/>
        <v>3.98020833</v>
      </c>
      <c r="Q65" s="154">
        <f t="shared" si="46"/>
        <v>4.08229167</v>
      </c>
      <c r="R65" s="154">
        <f t="shared" si="46"/>
        <v>4.08229167</v>
      </c>
      <c r="S65" s="154">
        <f t="shared" si="46"/>
        <v>4.08229167</v>
      </c>
      <c r="T65" s="154">
        <f t="shared" si="46"/>
        <v>4.08229167</v>
      </c>
      <c r="U65" s="154">
        <f t="shared" si="46"/>
        <v>4.08229167</v>
      </c>
      <c r="V65" s="173">
        <f t="shared" si="46"/>
        <v>4.08229167</v>
      </c>
      <c r="W65" s="164"/>
    </row>
    <row r="66" spans="1:23">
      <c r="A66" s="165" t="str">
        <f t="shared" si="42"/>
        <v>May</v>
      </c>
      <c r="B66" s="154">
        <f t="shared" ref="B66:V66" si="47">IF($A$15=1,B129,B192)</f>
        <v>0</v>
      </c>
      <c r="C66" s="154">
        <f t="shared" si="47"/>
        <v>3.8177083299999999</v>
      </c>
      <c r="D66" s="154">
        <f t="shared" si="47"/>
        <v>3.8177083299999999</v>
      </c>
      <c r="E66" s="154">
        <f t="shared" si="47"/>
        <v>3.8177083299999999</v>
      </c>
      <c r="F66" s="154">
        <f t="shared" si="47"/>
        <v>3.8177083299999999</v>
      </c>
      <c r="G66" s="154">
        <f t="shared" si="47"/>
        <v>3.8177083299999999</v>
      </c>
      <c r="H66" s="154">
        <f t="shared" si="47"/>
        <v>3.8177083299999999</v>
      </c>
      <c r="I66" s="154">
        <f t="shared" si="47"/>
        <v>3.8177083299999999</v>
      </c>
      <c r="J66" s="154">
        <f t="shared" si="47"/>
        <v>3.8177083299999999</v>
      </c>
      <c r="K66" s="154">
        <f t="shared" si="47"/>
        <v>3.8177083299999999</v>
      </c>
      <c r="L66" s="154">
        <f t="shared" si="47"/>
        <v>3.8177083299999999</v>
      </c>
      <c r="M66" s="154">
        <f t="shared" si="47"/>
        <v>3.8177083299999999</v>
      </c>
      <c r="N66" s="154">
        <f t="shared" si="47"/>
        <v>3.8177083299999999</v>
      </c>
      <c r="O66" s="154">
        <f t="shared" si="47"/>
        <v>3.8177083299999999</v>
      </c>
      <c r="P66" s="154">
        <f t="shared" si="47"/>
        <v>3.8177083299999999</v>
      </c>
      <c r="Q66" s="154">
        <f t="shared" si="47"/>
        <v>3.91979167</v>
      </c>
      <c r="R66" s="154">
        <f t="shared" si="47"/>
        <v>3.91979167</v>
      </c>
      <c r="S66" s="154">
        <f t="shared" si="47"/>
        <v>3.91979167</v>
      </c>
      <c r="T66" s="154">
        <f t="shared" si="47"/>
        <v>3.91979167</v>
      </c>
      <c r="U66" s="154">
        <f t="shared" si="47"/>
        <v>3.91979167</v>
      </c>
      <c r="V66" s="173">
        <f t="shared" si="47"/>
        <v>3.91979167</v>
      </c>
      <c r="W66" s="164"/>
    </row>
    <row r="67" spans="1:23">
      <c r="A67" s="165" t="str">
        <f t="shared" si="42"/>
        <v>June</v>
      </c>
      <c r="B67" s="154">
        <f t="shared" ref="B67:V67" si="48">IF($A$15=1,B130,B193)</f>
        <v>4.2322916700000004</v>
      </c>
      <c r="C67" s="154">
        <f t="shared" si="48"/>
        <v>3.8093750000000002</v>
      </c>
      <c r="D67" s="154">
        <f t="shared" si="48"/>
        <v>3.8093750000000002</v>
      </c>
      <c r="E67" s="154">
        <f t="shared" si="48"/>
        <v>3.8093750000000002</v>
      </c>
      <c r="F67" s="154">
        <f t="shared" si="48"/>
        <v>3.8093750000000002</v>
      </c>
      <c r="G67" s="154">
        <f t="shared" si="48"/>
        <v>3.8093750000000002</v>
      </c>
      <c r="H67" s="154">
        <f t="shared" si="48"/>
        <v>3.8093750000000002</v>
      </c>
      <c r="I67" s="154">
        <f t="shared" si="48"/>
        <v>3.8093750000000002</v>
      </c>
      <c r="J67" s="154">
        <f t="shared" si="48"/>
        <v>3.8093750000000002</v>
      </c>
      <c r="K67" s="154">
        <f t="shared" si="48"/>
        <v>3.8093750000000002</v>
      </c>
      <c r="L67" s="154">
        <f t="shared" si="48"/>
        <v>3.8093750000000002</v>
      </c>
      <c r="M67" s="154">
        <f t="shared" si="48"/>
        <v>3.8093750000000002</v>
      </c>
      <c r="N67" s="154">
        <f t="shared" si="48"/>
        <v>3.8093750000000002</v>
      </c>
      <c r="O67" s="154">
        <f t="shared" si="48"/>
        <v>3.8093750000000002</v>
      </c>
      <c r="P67" s="154">
        <f t="shared" si="48"/>
        <v>3.8093750000000002</v>
      </c>
      <c r="Q67" s="154">
        <f t="shared" si="48"/>
        <v>3.9125000000000001</v>
      </c>
      <c r="R67" s="154">
        <f t="shared" si="48"/>
        <v>3.9125000000000001</v>
      </c>
      <c r="S67" s="154">
        <f t="shared" si="48"/>
        <v>3.9125000000000001</v>
      </c>
      <c r="T67" s="154">
        <f t="shared" si="48"/>
        <v>3.9125000000000001</v>
      </c>
      <c r="U67" s="154">
        <f t="shared" si="48"/>
        <v>3.9125000000000001</v>
      </c>
      <c r="V67" s="173">
        <f t="shared" si="48"/>
        <v>3.9125000000000001</v>
      </c>
      <c r="W67" s="164"/>
    </row>
    <row r="68" spans="1:23">
      <c r="A68" s="165" t="str">
        <f t="shared" si="42"/>
        <v>July</v>
      </c>
      <c r="B68" s="154">
        <f t="shared" ref="B68:V68" si="49">IF($A$15=1,B131,B194)</f>
        <v>4.1906249999999998</v>
      </c>
      <c r="C68" s="154">
        <f t="shared" si="49"/>
        <v>3.7718750000000001</v>
      </c>
      <c r="D68" s="154">
        <f t="shared" si="49"/>
        <v>3.7718750000000001</v>
      </c>
      <c r="E68" s="154">
        <f t="shared" si="49"/>
        <v>3.7718750000000001</v>
      </c>
      <c r="F68" s="154">
        <f t="shared" si="49"/>
        <v>3.7718750000000001</v>
      </c>
      <c r="G68" s="154">
        <f t="shared" si="49"/>
        <v>3.7718750000000001</v>
      </c>
      <c r="H68" s="154">
        <f t="shared" si="49"/>
        <v>3.7718750000000001</v>
      </c>
      <c r="I68" s="154">
        <f t="shared" si="49"/>
        <v>3.7718750000000001</v>
      </c>
      <c r="J68" s="154">
        <f t="shared" si="49"/>
        <v>3.7718750000000001</v>
      </c>
      <c r="K68" s="154">
        <f t="shared" si="49"/>
        <v>3.7718750000000001</v>
      </c>
      <c r="L68" s="154">
        <f t="shared" si="49"/>
        <v>3.7718750000000001</v>
      </c>
      <c r="M68" s="154">
        <f t="shared" si="49"/>
        <v>3.7718750000000001</v>
      </c>
      <c r="N68" s="154">
        <f t="shared" si="49"/>
        <v>3.7718750000000001</v>
      </c>
      <c r="O68" s="154">
        <f t="shared" si="49"/>
        <v>3.7718750000000001</v>
      </c>
      <c r="P68" s="154">
        <f t="shared" si="49"/>
        <v>3.7718750000000001</v>
      </c>
      <c r="Q68" s="154">
        <f t="shared" si="49"/>
        <v>3.8739583299999998</v>
      </c>
      <c r="R68" s="154">
        <f t="shared" si="49"/>
        <v>3.8739583299999998</v>
      </c>
      <c r="S68" s="154">
        <f t="shared" si="49"/>
        <v>3.8739583299999998</v>
      </c>
      <c r="T68" s="154">
        <f t="shared" si="49"/>
        <v>3.8739583299999998</v>
      </c>
      <c r="U68" s="154">
        <f t="shared" si="49"/>
        <v>3.8739583299999998</v>
      </c>
      <c r="V68" s="173">
        <f t="shared" si="49"/>
        <v>3.8739583299999998</v>
      </c>
      <c r="W68" s="164"/>
    </row>
    <row r="69" spans="1:23">
      <c r="A69" s="165" t="str">
        <f t="shared" si="42"/>
        <v>August</v>
      </c>
      <c r="B69" s="154">
        <f t="shared" ref="B69:V69" si="50">IF($A$15=1,B132,B195)</f>
        <v>4.1906249999999998</v>
      </c>
      <c r="C69" s="154">
        <f t="shared" si="50"/>
        <v>3.7718750000000001</v>
      </c>
      <c r="D69" s="154">
        <f t="shared" si="50"/>
        <v>3.7718750000000001</v>
      </c>
      <c r="E69" s="154">
        <f t="shared" si="50"/>
        <v>3.7718750000000001</v>
      </c>
      <c r="F69" s="154">
        <f t="shared" si="50"/>
        <v>3.7718750000000001</v>
      </c>
      <c r="G69" s="154">
        <f t="shared" si="50"/>
        <v>3.7718750000000001</v>
      </c>
      <c r="H69" s="154">
        <f t="shared" si="50"/>
        <v>3.7718750000000001</v>
      </c>
      <c r="I69" s="154">
        <f t="shared" si="50"/>
        <v>3.7718750000000001</v>
      </c>
      <c r="J69" s="154">
        <f t="shared" si="50"/>
        <v>3.7718750000000001</v>
      </c>
      <c r="K69" s="154">
        <f t="shared" si="50"/>
        <v>3.7718750000000001</v>
      </c>
      <c r="L69" s="154">
        <f t="shared" si="50"/>
        <v>3.7718750000000001</v>
      </c>
      <c r="M69" s="154">
        <f t="shared" si="50"/>
        <v>3.7718750000000001</v>
      </c>
      <c r="N69" s="154">
        <f t="shared" si="50"/>
        <v>3.7718750000000001</v>
      </c>
      <c r="O69" s="154">
        <f t="shared" si="50"/>
        <v>3.7718750000000001</v>
      </c>
      <c r="P69" s="154">
        <f t="shared" si="50"/>
        <v>3.7718750000000001</v>
      </c>
      <c r="Q69" s="154">
        <f t="shared" si="50"/>
        <v>3.8739583299999998</v>
      </c>
      <c r="R69" s="154">
        <f t="shared" si="50"/>
        <v>3.8739583299999998</v>
      </c>
      <c r="S69" s="154">
        <f t="shared" si="50"/>
        <v>3.8739583299999998</v>
      </c>
      <c r="T69" s="154">
        <f t="shared" si="50"/>
        <v>3.8739583299999998</v>
      </c>
      <c r="U69" s="154">
        <f t="shared" si="50"/>
        <v>3.8739583299999998</v>
      </c>
      <c r="V69" s="173">
        <f t="shared" si="50"/>
        <v>3.8739583299999998</v>
      </c>
      <c r="W69" s="164"/>
    </row>
    <row r="70" spans="1:23">
      <c r="A70" s="165" t="str">
        <f t="shared" si="42"/>
        <v>September</v>
      </c>
      <c r="B70" s="154">
        <f t="shared" ref="B70:V70" si="51">IF($A$15=1,B133,B196)</f>
        <v>4.2416666699999999</v>
      </c>
      <c r="C70" s="154">
        <f t="shared" si="51"/>
        <v>3.8177083299999999</v>
      </c>
      <c r="D70" s="154">
        <f t="shared" si="51"/>
        <v>3.8177083299999999</v>
      </c>
      <c r="E70" s="154">
        <f t="shared" si="51"/>
        <v>3.8177083299999999</v>
      </c>
      <c r="F70" s="154">
        <f t="shared" si="51"/>
        <v>3.8177083299999999</v>
      </c>
      <c r="G70" s="154">
        <f t="shared" si="51"/>
        <v>3.8177083299999999</v>
      </c>
      <c r="H70" s="154">
        <f t="shared" si="51"/>
        <v>3.8177083299999999</v>
      </c>
      <c r="I70" s="154">
        <f t="shared" si="51"/>
        <v>3.8177083299999999</v>
      </c>
      <c r="J70" s="154">
        <f t="shared" si="51"/>
        <v>3.8177083299999999</v>
      </c>
      <c r="K70" s="154">
        <f t="shared" si="51"/>
        <v>3.8177083299999999</v>
      </c>
      <c r="L70" s="154">
        <f t="shared" si="51"/>
        <v>3.8177083299999999</v>
      </c>
      <c r="M70" s="154">
        <f t="shared" si="51"/>
        <v>3.8177083299999999</v>
      </c>
      <c r="N70" s="154">
        <f t="shared" si="51"/>
        <v>3.8177083299999999</v>
      </c>
      <c r="O70" s="154">
        <f t="shared" si="51"/>
        <v>3.8177083299999999</v>
      </c>
      <c r="P70" s="154">
        <f t="shared" si="51"/>
        <v>3.8177083299999999</v>
      </c>
      <c r="Q70" s="154">
        <f t="shared" si="51"/>
        <v>3.91979167</v>
      </c>
      <c r="R70" s="154">
        <f t="shared" si="51"/>
        <v>3.91979167</v>
      </c>
      <c r="S70" s="154">
        <f t="shared" si="51"/>
        <v>3.91979167</v>
      </c>
      <c r="T70" s="154">
        <f t="shared" si="51"/>
        <v>3.91979167</v>
      </c>
      <c r="U70" s="154">
        <f t="shared" si="51"/>
        <v>3.91979167</v>
      </c>
      <c r="V70" s="173">
        <f t="shared" si="51"/>
        <v>3.91979167</v>
      </c>
      <c r="W70" s="164"/>
    </row>
    <row r="71" spans="1:23">
      <c r="A71" s="165" t="str">
        <f t="shared" si="42"/>
        <v>October</v>
      </c>
      <c r="B71" s="154">
        <f t="shared" ref="B71:V71" si="52">IF($A$15=1,B134,B197)</f>
        <v>4.1968750000000004</v>
      </c>
      <c r="C71" s="154">
        <f t="shared" si="52"/>
        <v>3.7781250000000002</v>
      </c>
      <c r="D71" s="154">
        <f t="shared" si="52"/>
        <v>3.7781250000000002</v>
      </c>
      <c r="E71" s="154">
        <f t="shared" si="52"/>
        <v>3.7781250000000002</v>
      </c>
      <c r="F71" s="154">
        <f t="shared" si="52"/>
        <v>3.7781250000000002</v>
      </c>
      <c r="G71" s="154">
        <f t="shared" si="52"/>
        <v>3.7781250000000002</v>
      </c>
      <c r="H71" s="154">
        <f t="shared" si="52"/>
        <v>3.7781250000000002</v>
      </c>
      <c r="I71" s="154">
        <f t="shared" si="52"/>
        <v>3.7781250000000002</v>
      </c>
      <c r="J71" s="154">
        <f t="shared" si="52"/>
        <v>3.7781250000000002</v>
      </c>
      <c r="K71" s="154">
        <f t="shared" si="52"/>
        <v>3.7781250000000002</v>
      </c>
      <c r="L71" s="154">
        <f t="shared" si="52"/>
        <v>3.7781250000000002</v>
      </c>
      <c r="M71" s="154">
        <f t="shared" si="52"/>
        <v>3.7781250000000002</v>
      </c>
      <c r="N71" s="154">
        <f t="shared" si="52"/>
        <v>3.7781250000000002</v>
      </c>
      <c r="O71" s="154">
        <f t="shared" si="52"/>
        <v>3.7781250000000002</v>
      </c>
      <c r="P71" s="154">
        <f t="shared" si="52"/>
        <v>3.7781250000000002</v>
      </c>
      <c r="Q71" s="154">
        <f t="shared" si="52"/>
        <v>3.8802083299999999</v>
      </c>
      <c r="R71" s="154">
        <f t="shared" si="52"/>
        <v>3.8802083299999999</v>
      </c>
      <c r="S71" s="154">
        <f t="shared" si="52"/>
        <v>3.8802083299999999</v>
      </c>
      <c r="T71" s="154">
        <f t="shared" si="52"/>
        <v>3.8802083299999999</v>
      </c>
      <c r="U71" s="154">
        <f t="shared" si="52"/>
        <v>3.8802083299999999</v>
      </c>
      <c r="V71" s="173">
        <f t="shared" si="52"/>
        <v>3.8802083299999999</v>
      </c>
      <c r="W71" s="164"/>
    </row>
    <row r="72" spans="1:23">
      <c r="A72" s="165" t="str">
        <f t="shared" si="42"/>
        <v>November</v>
      </c>
      <c r="B72" s="154">
        <f t="shared" ref="B72:V72" si="53">IF($A$15=1,B135,B198)</f>
        <v>4.1968750000000004</v>
      </c>
      <c r="C72" s="154">
        <f t="shared" si="53"/>
        <v>3.7781250000000002</v>
      </c>
      <c r="D72" s="154">
        <f t="shared" si="53"/>
        <v>3.7781250000000002</v>
      </c>
      <c r="E72" s="154">
        <f t="shared" si="53"/>
        <v>3.7781250000000002</v>
      </c>
      <c r="F72" s="154">
        <f t="shared" si="53"/>
        <v>3.7781250000000002</v>
      </c>
      <c r="G72" s="154">
        <f t="shared" si="53"/>
        <v>3.7781250000000002</v>
      </c>
      <c r="H72" s="154">
        <f t="shared" si="53"/>
        <v>3.7781250000000002</v>
      </c>
      <c r="I72" s="154">
        <f t="shared" si="53"/>
        <v>3.7781250000000002</v>
      </c>
      <c r="J72" s="154">
        <f t="shared" si="53"/>
        <v>3.7781250000000002</v>
      </c>
      <c r="K72" s="154">
        <f t="shared" si="53"/>
        <v>3.7781250000000002</v>
      </c>
      <c r="L72" s="154">
        <f t="shared" si="53"/>
        <v>3.7781250000000002</v>
      </c>
      <c r="M72" s="154">
        <f t="shared" si="53"/>
        <v>3.7781250000000002</v>
      </c>
      <c r="N72" s="154">
        <f t="shared" si="53"/>
        <v>3.7781250000000002</v>
      </c>
      <c r="O72" s="154">
        <f t="shared" si="53"/>
        <v>3.7781250000000002</v>
      </c>
      <c r="P72" s="154">
        <f t="shared" si="53"/>
        <v>3.7781250000000002</v>
      </c>
      <c r="Q72" s="154">
        <f t="shared" si="53"/>
        <v>3.8802083299999999</v>
      </c>
      <c r="R72" s="154">
        <f t="shared" si="53"/>
        <v>3.8802083299999999</v>
      </c>
      <c r="S72" s="154">
        <f t="shared" si="53"/>
        <v>3.8802083299999999</v>
      </c>
      <c r="T72" s="154">
        <f t="shared" si="53"/>
        <v>3.8802083299999999</v>
      </c>
      <c r="U72" s="154">
        <f t="shared" si="53"/>
        <v>3.8802083299999999</v>
      </c>
      <c r="V72" s="173">
        <f t="shared" si="53"/>
        <v>3.8802083299999999</v>
      </c>
      <c r="W72" s="164"/>
    </row>
    <row r="73" spans="1:23">
      <c r="A73" s="165" t="str">
        <f t="shared" si="42"/>
        <v>December</v>
      </c>
      <c r="B73" s="154">
        <f t="shared" ref="B73:V73" si="54">IF($A$15=1,B136,B199)</f>
        <v>4.1968750000000004</v>
      </c>
      <c r="C73" s="154">
        <f t="shared" si="54"/>
        <v>3.7781250000000002</v>
      </c>
      <c r="D73" s="154">
        <f t="shared" si="54"/>
        <v>3.7781250000000002</v>
      </c>
      <c r="E73" s="154">
        <f t="shared" si="54"/>
        <v>3.7781250000000002</v>
      </c>
      <c r="F73" s="154">
        <f t="shared" si="54"/>
        <v>3.7781250000000002</v>
      </c>
      <c r="G73" s="154">
        <f t="shared" si="54"/>
        <v>3.7781250000000002</v>
      </c>
      <c r="H73" s="154">
        <f t="shared" si="54"/>
        <v>3.7781250000000002</v>
      </c>
      <c r="I73" s="154">
        <f t="shared" si="54"/>
        <v>3.7781250000000002</v>
      </c>
      <c r="J73" s="154">
        <f t="shared" si="54"/>
        <v>3.7781250000000002</v>
      </c>
      <c r="K73" s="154">
        <f t="shared" si="54"/>
        <v>3.7781250000000002</v>
      </c>
      <c r="L73" s="154">
        <f t="shared" si="54"/>
        <v>3.7781250000000002</v>
      </c>
      <c r="M73" s="154">
        <f t="shared" si="54"/>
        <v>3.7781250000000002</v>
      </c>
      <c r="N73" s="154">
        <f t="shared" si="54"/>
        <v>3.7781250000000002</v>
      </c>
      <c r="O73" s="154">
        <f t="shared" si="54"/>
        <v>3.7781250000000002</v>
      </c>
      <c r="P73" s="154">
        <f t="shared" si="54"/>
        <v>3.7781250000000002</v>
      </c>
      <c r="Q73" s="154">
        <f t="shared" si="54"/>
        <v>3.8802083299999999</v>
      </c>
      <c r="R73" s="154">
        <f t="shared" si="54"/>
        <v>3.8802083299999999</v>
      </c>
      <c r="S73" s="154">
        <f t="shared" si="54"/>
        <v>3.8802083299999999</v>
      </c>
      <c r="T73" s="154">
        <f t="shared" si="54"/>
        <v>3.8802083299999999</v>
      </c>
      <c r="U73" s="154">
        <f t="shared" si="54"/>
        <v>3.8802083299999999</v>
      </c>
      <c r="V73" s="173">
        <f t="shared" si="54"/>
        <v>3.8802083299999999</v>
      </c>
      <c r="W73" s="164"/>
    </row>
    <row r="74" spans="1:23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4"/>
      <c r="N74" s="174"/>
      <c r="O74" s="174"/>
      <c r="P74" s="174"/>
      <c r="Q74" s="174"/>
      <c r="R74" s="174"/>
      <c r="S74" s="174"/>
      <c r="T74" s="174"/>
      <c r="U74" s="174"/>
      <c r="V74" s="174"/>
    </row>
    <row r="75" spans="1:23">
      <c r="A75" s="161" t="s">
        <v>189</v>
      </c>
      <c r="B75" s="162">
        <v>2000</v>
      </c>
      <c r="C75" s="162">
        <v>2001</v>
      </c>
      <c r="D75" s="162">
        <v>2002</v>
      </c>
      <c r="E75" s="162">
        <v>2003</v>
      </c>
      <c r="F75" s="162">
        <v>2004</v>
      </c>
      <c r="G75" s="162">
        <v>2005</v>
      </c>
      <c r="H75" s="162">
        <v>2006</v>
      </c>
      <c r="I75" s="162">
        <v>2007</v>
      </c>
      <c r="J75" s="162">
        <v>2008</v>
      </c>
      <c r="K75" s="162">
        <v>2009</v>
      </c>
      <c r="L75" s="162">
        <v>2010</v>
      </c>
      <c r="M75" s="162">
        <v>2011</v>
      </c>
      <c r="N75" s="162">
        <v>2012</v>
      </c>
      <c r="O75" s="162">
        <v>2013</v>
      </c>
      <c r="P75" s="162">
        <v>2014</v>
      </c>
      <c r="Q75" s="162">
        <v>2015</v>
      </c>
      <c r="R75" s="162">
        <v>2016</v>
      </c>
      <c r="S75" s="162">
        <v>2017</v>
      </c>
      <c r="T75" s="162">
        <v>2018</v>
      </c>
      <c r="U75" s="162">
        <v>2019</v>
      </c>
      <c r="V75" s="162">
        <v>2020</v>
      </c>
      <c r="W75" s="164"/>
    </row>
    <row r="76" spans="1:23">
      <c r="A76" s="161" t="s">
        <v>204</v>
      </c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</row>
    <row r="77" spans="1:23">
      <c r="A77" s="165" t="s">
        <v>183</v>
      </c>
      <c r="B77" s="176">
        <v>32.812510000000003</v>
      </c>
      <c r="C77" s="176">
        <v>31.1111313</v>
      </c>
      <c r="D77" s="176">
        <v>25.538271999999999</v>
      </c>
      <c r="E77" s="176">
        <v>25.468565999999999</v>
      </c>
      <c r="F77" s="176">
        <v>25.3519358</v>
      </c>
      <c r="G77" s="176">
        <v>18.071138000000001</v>
      </c>
      <c r="H77" s="176">
        <v>22.8376345</v>
      </c>
      <c r="I77" s="176">
        <v>27.853431799999999</v>
      </c>
      <c r="J77" s="176">
        <v>27.770794500000001</v>
      </c>
      <c r="K77" s="176">
        <v>25.533512200000001</v>
      </c>
      <c r="L77" s="176">
        <v>25.366857299999999</v>
      </c>
      <c r="M77" s="176">
        <v>23.424363199999998</v>
      </c>
      <c r="N77" s="176">
        <v>22.270092000000002</v>
      </c>
      <c r="O77" s="176">
        <v>19.8617925</v>
      </c>
      <c r="P77" s="176">
        <v>22.8449594</v>
      </c>
      <c r="Q77" s="176">
        <v>25.5496014</v>
      </c>
      <c r="R77" s="176">
        <v>28.103738199999999</v>
      </c>
      <c r="S77" s="176">
        <v>27.5778973</v>
      </c>
      <c r="T77" s="176">
        <v>27.786945800000002</v>
      </c>
      <c r="U77" s="176">
        <v>22.854046199999999</v>
      </c>
      <c r="V77" s="176">
        <v>21.613823499999999</v>
      </c>
      <c r="W77" s="177"/>
    </row>
    <row r="78" spans="1:23">
      <c r="A78" s="165" t="s">
        <v>181</v>
      </c>
      <c r="B78" s="176">
        <v>30.831669999999999</v>
      </c>
      <c r="C78" s="176">
        <v>34.302720000000001</v>
      </c>
      <c r="D78" s="176">
        <v>32.314749999999997</v>
      </c>
      <c r="E78" s="176">
        <v>33.133839999999999</v>
      </c>
      <c r="F78" s="176">
        <v>32.351219999999998</v>
      </c>
      <c r="G78" s="176">
        <v>22.711670000000002</v>
      </c>
      <c r="H78" s="176">
        <v>28.9817</v>
      </c>
      <c r="I78" s="176">
        <v>36.375579999999999</v>
      </c>
      <c r="J78" s="176">
        <v>35.813789999999997</v>
      </c>
      <c r="K78" s="176">
        <v>32.299639999999997</v>
      </c>
      <c r="L78" s="176">
        <v>31.90879</v>
      </c>
      <c r="M78" s="176">
        <v>29.33089</v>
      </c>
      <c r="N78" s="176">
        <v>28.757259999999999</v>
      </c>
      <c r="O78" s="176">
        <v>25.329329999999999</v>
      </c>
      <c r="P78" s="176">
        <v>29.071960000000001</v>
      </c>
      <c r="Q78" s="176">
        <v>33.511539999999997</v>
      </c>
      <c r="R78" s="176">
        <v>37.370809999999999</v>
      </c>
      <c r="S78" s="176">
        <v>36.83032</v>
      </c>
      <c r="T78" s="176">
        <v>37.345829999999999</v>
      </c>
      <c r="U78" s="176">
        <v>29.636839999999999</v>
      </c>
      <c r="V78" s="176">
        <v>27.919720000000002</v>
      </c>
      <c r="W78" s="176"/>
    </row>
    <row r="79" spans="1:23">
      <c r="A79" s="165" t="s">
        <v>186</v>
      </c>
      <c r="B79" s="178">
        <f>B93/(45*3*8760*Tariff!C7/12)</f>
        <v>8.4333341385808516E-2</v>
      </c>
      <c r="C79" s="178">
        <f>C93/(45*7*8760*Tariff!D7/12)</f>
        <v>7.1671545171414067E-2</v>
      </c>
      <c r="D79" s="178">
        <f>D93/(45*7*8760*Tariff!E7/12)</f>
        <v>7.7850365171776487E-2</v>
      </c>
      <c r="E79" s="178">
        <f>E93/(45*7*8760*Tariff!F7/12)</f>
        <v>8.0304102584257436E-2</v>
      </c>
      <c r="F79" s="178">
        <f>F93/(45*7*8760*Tariff!G7/12)</f>
        <v>7.6373972532796985E-2</v>
      </c>
      <c r="G79" s="178">
        <f>G93/(45*7*8760*Tariff!H7/12)</f>
        <v>7.2564897130173237E-2</v>
      </c>
      <c r="H79" s="178">
        <f>H93/(45*7*8760*Tariff!I7/12)</f>
        <v>7.4859544599550631E-2</v>
      </c>
      <c r="I79" s="178">
        <f>I93/(45*7*8760*Tariff!J7/12)</f>
        <v>7.6775800985359147E-2</v>
      </c>
      <c r="J79" s="178">
        <f>J93/(45*7*8760*Tariff!K7/12)</f>
        <v>7.6182554516923962E-2</v>
      </c>
      <c r="K79" s="178">
        <f>K93/(45*7*8760*Tariff!L7/12)</f>
        <v>7.4945878077480627E-2</v>
      </c>
      <c r="L79" s="178">
        <f>L93/(45*7*8760*Tariff!M7/12)</f>
        <v>7.4352637683916784E-2</v>
      </c>
      <c r="M79" s="178">
        <f>M93/(45*7*8760*Tariff!N7/12)</f>
        <v>7.3303328418134389E-2</v>
      </c>
      <c r="N79" s="178">
        <f>N93/(45*7*8760*Tariff!O7/12)</f>
        <v>7.5416664831485097E-2</v>
      </c>
      <c r="O79" s="178">
        <f>O93/(45*7*8760*Tariff!P7/12)</f>
        <v>7.4076045758135839E-2</v>
      </c>
      <c r="P79" s="178">
        <f>P93/(45*7*8760*Tariff!Q7/12)</f>
        <v>7.4974487905704129E-2</v>
      </c>
      <c r="Q79" s="178">
        <f>Q93/(45*7*8760*Tariff!R7/12)</f>
        <v>7.2875298393853746E-2</v>
      </c>
      <c r="R79" s="178">
        <f>R93/(45*7*8760*Tariff!S7/12)</f>
        <v>7.3557264725664998E-2</v>
      </c>
      <c r="S79" s="178">
        <f>S93/(45*7*8760*Tariff!T7/12)</f>
        <v>7.3115990073204309E-2</v>
      </c>
      <c r="T79" s="178">
        <f>T93/(45*7*8760*Tariff!U7/12)</f>
        <v>7.3267097900268183E-2</v>
      </c>
      <c r="U79" s="178">
        <f>U93/(45*7*8760*Tariff!V7/12)</f>
        <v>7.0830641743132569E-2</v>
      </c>
      <c r="V79" s="178"/>
      <c r="W79" s="164"/>
    </row>
    <row r="80" spans="1:23">
      <c r="A80" s="179">
        <v>8.3949270000000006E-2</v>
      </c>
      <c r="B80" s="178"/>
      <c r="C80" s="179" t="s">
        <v>205</v>
      </c>
      <c r="D80" s="180"/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64"/>
    </row>
    <row r="81" spans="1:23">
      <c r="A81" s="165" t="s">
        <v>190</v>
      </c>
      <c r="B81" s="183">
        <v>0</v>
      </c>
      <c r="C81" s="183">
        <v>9084.8464679999997</v>
      </c>
      <c r="D81" s="183">
        <v>20329.175428999999</v>
      </c>
      <c r="E81" s="183">
        <v>19893.690769000001</v>
      </c>
      <c r="F81" s="183">
        <v>17826.435507999999</v>
      </c>
      <c r="G81" s="183">
        <v>16876.072751</v>
      </c>
      <c r="H81" s="183">
        <v>17589.758806999998</v>
      </c>
      <c r="I81" s="183">
        <v>18265.576421000002</v>
      </c>
      <c r="J81" s="183">
        <v>18166.602723</v>
      </c>
      <c r="K81" s="183">
        <v>17244.211366</v>
      </c>
      <c r="L81" s="183">
        <v>16379.052215</v>
      </c>
      <c r="M81" s="183">
        <v>16351.942652</v>
      </c>
      <c r="N81" s="183">
        <v>17073.804665</v>
      </c>
      <c r="O81" s="183">
        <v>17681.631701999999</v>
      </c>
      <c r="P81" s="183">
        <v>17543.068135000001</v>
      </c>
      <c r="Q81" s="183">
        <v>14834.849224</v>
      </c>
      <c r="R81" s="183">
        <v>14029.505370999999</v>
      </c>
      <c r="S81" s="183">
        <v>14569.772962999999</v>
      </c>
      <c r="T81" s="183">
        <v>15053.88291</v>
      </c>
      <c r="U81" s="183">
        <v>14930.166031999999</v>
      </c>
      <c r="V81" s="183">
        <v>14885.628892999999</v>
      </c>
      <c r="W81" s="164"/>
    </row>
    <row r="82" spans="1:23">
      <c r="A82" s="165" t="s">
        <v>191</v>
      </c>
      <c r="B82" s="183">
        <v>0</v>
      </c>
      <c r="C82" s="183">
        <v>468.57068199999998</v>
      </c>
      <c r="D82" s="183">
        <v>939.49632699999995</v>
      </c>
      <c r="E82" s="183">
        <v>882.15599999999995</v>
      </c>
      <c r="F82" s="183">
        <v>772.53169300000002</v>
      </c>
      <c r="G82" s="183">
        <v>772.53169300000002</v>
      </c>
      <c r="H82" s="183">
        <v>763.27971200000002</v>
      </c>
      <c r="I82" s="183">
        <v>731.97424000000001</v>
      </c>
      <c r="J82" s="183">
        <v>722.93742199999997</v>
      </c>
      <c r="K82" s="183">
        <v>709.38174900000001</v>
      </c>
      <c r="L82" s="183">
        <v>698.51585</v>
      </c>
      <c r="M82" s="183">
        <v>680.01280099999997</v>
      </c>
      <c r="N82" s="183">
        <v>680.01280099999997</v>
      </c>
      <c r="O82" s="183">
        <v>635.15138000000002</v>
      </c>
      <c r="P82" s="183">
        <v>635.15138000000002</v>
      </c>
      <c r="Q82" s="183">
        <v>456.35440899999998</v>
      </c>
      <c r="R82" s="183">
        <v>468.61842899999999</v>
      </c>
      <c r="S82" s="183">
        <v>457.96800999999999</v>
      </c>
      <c r="T82" s="183">
        <v>442.79873600000002</v>
      </c>
      <c r="U82" s="183">
        <v>427.84551599999998</v>
      </c>
      <c r="V82" s="183">
        <v>433.76191799999998</v>
      </c>
      <c r="W82" s="164"/>
    </row>
    <row r="83" spans="1:23">
      <c r="A83" s="165" t="s">
        <v>192</v>
      </c>
      <c r="B83" s="183">
        <v>0</v>
      </c>
      <c r="C83" s="183">
        <v>468.57068199999998</v>
      </c>
      <c r="D83" s="183">
        <v>939.49632699999995</v>
      </c>
      <c r="E83" s="183">
        <v>882.15599999999995</v>
      </c>
      <c r="F83" s="183">
        <v>772.53169300000002</v>
      </c>
      <c r="G83" s="183">
        <v>772.53169300000002</v>
      </c>
      <c r="H83" s="183">
        <v>763.27971200000002</v>
      </c>
      <c r="I83" s="183">
        <v>731.97424000000001</v>
      </c>
      <c r="J83" s="183">
        <v>722.93742199999997</v>
      </c>
      <c r="K83" s="183">
        <v>709.38174900000001</v>
      </c>
      <c r="L83" s="183">
        <v>698.51585</v>
      </c>
      <c r="M83" s="183">
        <v>680.01280099999997</v>
      </c>
      <c r="N83" s="183">
        <v>680.01280099999997</v>
      </c>
      <c r="O83" s="183">
        <v>635.15138000000002</v>
      </c>
      <c r="P83" s="183">
        <v>635.15138000000002</v>
      </c>
      <c r="Q83" s="183">
        <v>456.35440899999998</v>
      </c>
      <c r="R83" s="183">
        <v>468.61842899999999</v>
      </c>
      <c r="S83" s="183">
        <v>457.96800999999999</v>
      </c>
      <c r="T83" s="183">
        <v>442.79873600000002</v>
      </c>
      <c r="U83" s="183">
        <v>427.84551599999998</v>
      </c>
      <c r="V83" s="183">
        <v>433.76191799999998</v>
      </c>
      <c r="W83" s="164"/>
    </row>
    <row r="84" spans="1:23">
      <c r="A84" s="165" t="s">
        <v>193</v>
      </c>
      <c r="B84" s="183">
        <v>0</v>
      </c>
      <c r="C84" s="183">
        <v>6043.0107680000001</v>
      </c>
      <c r="D84" s="183">
        <v>12224.313334</v>
      </c>
      <c r="E84" s="183">
        <v>11355.714895999999</v>
      </c>
      <c r="F84" s="183">
        <v>9848.087125</v>
      </c>
      <c r="G84" s="183">
        <v>9298.7832670000007</v>
      </c>
      <c r="H84" s="183">
        <v>8744.101772</v>
      </c>
      <c r="I84" s="183">
        <v>9038.9776450000008</v>
      </c>
      <c r="J84" s="183">
        <v>9414.9707149999995</v>
      </c>
      <c r="K84" s="183">
        <v>9284.7982030000003</v>
      </c>
      <c r="L84" s="183">
        <v>9175.9283959999993</v>
      </c>
      <c r="M84" s="183">
        <v>8627.8086629999998</v>
      </c>
      <c r="N84" s="183">
        <v>8519.3672920000008</v>
      </c>
      <c r="O84" s="183">
        <v>8809.079651</v>
      </c>
      <c r="P84" s="183">
        <v>8719.1422619999994</v>
      </c>
      <c r="Q84" s="183">
        <v>7493.1617539999997</v>
      </c>
      <c r="R84" s="183">
        <v>7089.3053200000004</v>
      </c>
      <c r="S84" s="183">
        <v>6669.9593629999999</v>
      </c>
      <c r="T84" s="183">
        <v>6910.8310609999999</v>
      </c>
      <c r="U84" s="183">
        <v>7161.8136260000001</v>
      </c>
      <c r="V84" s="183">
        <v>7123.9473900000003</v>
      </c>
      <c r="W84" s="164"/>
    </row>
    <row r="85" spans="1:23">
      <c r="A85" s="165" t="s">
        <v>194</v>
      </c>
      <c r="B85" s="183">
        <v>0</v>
      </c>
      <c r="C85" s="183">
        <v>13691.067775</v>
      </c>
      <c r="D85" s="183">
        <v>17610.041746999999</v>
      </c>
      <c r="E85" s="183">
        <v>19236.028642000001</v>
      </c>
      <c r="F85" s="183">
        <v>17495.437658999999</v>
      </c>
      <c r="G85" s="183">
        <v>16193.993737999999</v>
      </c>
      <c r="H85" s="183">
        <v>17391.872368</v>
      </c>
      <c r="I85" s="183">
        <v>17752.901431999999</v>
      </c>
      <c r="J85" s="183">
        <v>18031.975112</v>
      </c>
      <c r="K85" s="183">
        <v>17127.346477999999</v>
      </c>
      <c r="L85" s="183">
        <v>16950.340083999999</v>
      </c>
      <c r="M85" s="183">
        <v>16922.601081000001</v>
      </c>
      <c r="N85" s="183">
        <v>17425.03775</v>
      </c>
      <c r="O85" s="183">
        <v>17179.877077000001</v>
      </c>
      <c r="P85" s="183">
        <v>17727.361193000001</v>
      </c>
      <c r="Q85" s="183">
        <v>17229.928863000001</v>
      </c>
      <c r="R85" s="183">
        <v>18029.917083</v>
      </c>
      <c r="S85" s="183">
        <v>17840.561738</v>
      </c>
      <c r="T85" s="183">
        <v>17419.003187999999</v>
      </c>
      <c r="U85" s="183">
        <v>16799.108765000001</v>
      </c>
      <c r="V85" s="183">
        <v>16077.378430999999</v>
      </c>
      <c r="W85" s="164"/>
    </row>
    <row r="86" spans="1:23">
      <c r="A86" s="165" t="s">
        <v>195</v>
      </c>
      <c r="B86" s="183">
        <v>12460.249599999999</v>
      </c>
      <c r="C86" s="183">
        <v>33117.530533999998</v>
      </c>
      <c r="D86" s="183">
        <v>29686.037656</v>
      </c>
      <c r="E86" s="183">
        <v>32814.102143999997</v>
      </c>
      <c r="F86" s="183">
        <v>33521.376226</v>
      </c>
      <c r="G86" s="183">
        <v>30715.351286000001</v>
      </c>
      <c r="H86" s="183">
        <v>32606.616225999998</v>
      </c>
      <c r="I86" s="183">
        <v>32613.269425999999</v>
      </c>
      <c r="J86" s="183">
        <v>32506.303930999999</v>
      </c>
      <c r="K86" s="183">
        <v>33242.374105000003</v>
      </c>
      <c r="L86" s="183">
        <v>33139.464519000001</v>
      </c>
      <c r="M86" s="183">
        <v>32336.762707000002</v>
      </c>
      <c r="N86" s="183">
        <v>31683.331679999999</v>
      </c>
      <c r="O86" s="183">
        <v>29232.816070000001</v>
      </c>
      <c r="P86" s="183">
        <v>31713.893742</v>
      </c>
      <c r="Q86" s="183">
        <v>33770.649901999997</v>
      </c>
      <c r="R86" s="183">
        <v>34484.160969999997</v>
      </c>
      <c r="S86" s="183">
        <v>34218.881301000001</v>
      </c>
      <c r="T86" s="183">
        <v>32746.428883</v>
      </c>
      <c r="U86" s="183">
        <v>29559.219125</v>
      </c>
      <c r="V86" s="183">
        <v>32016.596841999999</v>
      </c>
      <c r="W86" s="164"/>
    </row>
    <row r="87" spans="1:23">
      <c r="A87" s="165" t="s">
        <v>196</v>
      </c>
      <c r="B87" s="183">
        <v>19497.705024999999</v>
      </c>
      <c r="C87" s="183">
        <v>56264.907060999998</v>
      </c>
      <c r="D87" s="183">
        <v>53379.670561999999</v>
      </c>
      <c r="E87" s="183">
        <v>54734.658902000003</v>
      </c>
      <c r="F87" s="183">
        <v>52808.174012000003</v>
      </c>
      <c r="G87" s="183">
        <v>51117.697055999997</v>
      </c>
      <c r="H87" s="183">
        <v>52294.994310000002</v>
      </c>
      <c r="I87" s="183">
        <v>54387.258047000003</v>
      </c>
      <c r="J87" s="183">
        <v>53024.972589999998</v>
      </c>
      <c r="K87" s="183">
        <v>52300.482387999997</v>
      </c>
      <c r="L87" s="183">
        <v>52111.126366999997</v>
      </c>
      <c r="M87" s="183">
        <v>51551.293668999999</v>
      </c>
      <c r="N87" s="183">
        <v>54440.584145000001</v>
      </c>
      <c r="O87" s="183">
        <v>53573.329575000003</v>
      </c>
      <c r="P87" s="183">
        <v>53016.738848000001</v>
      </c>
      <c r="Q87" s="183">
        <v>52495.325945999997</v>
      </c>
      <c r="R87" s="183">
        <v>52937.155760000001</v>
      </c>
      <c r="S87" s="183">
        <v>52706.635363000001</v>
      </c>
      <c r="T87" s="183">
        <v>53921.354075000003</v>
      </c>
      <c r="U87" s="183">
        <v>52579.773553999999</v>
      </c>
      <c r="V87" s="183">
        <v>50873.456463000002</v>
      </c>
      <c r="W87" s="164"/>
    </row>
    <row r="88" spans="1:23">
      <c r="A88" s="165" t="s">
        <v>197</v>
      </c>
      <c r="B88" s="183">
        <v>12998.470017</v>
      </c>
      <c r="C88" s="183">
        <v>37509.938040000001</v>
      </c>
      <c r="D88" s="183">
        <v>35586.447040999999</v>
      </c>
      <c r="E88" s="183">
        <v>36489.772601999997</v>
      </c>
      <c r="F88" s="183">
        <v>35205.449341</v>
      </c>
      <c r="G88" s="183">
        <v>34078.464703999998</v>
      </c>
      <c r="H88" s="183">
        <v>34863.329539999999</v>
      </c>
      <c r="I88" s="183">
        <v>36258.172032000002</v>
      </c>
      <c r="J88" s="183">
        <v>35349.981725999998</v>
      </c>
      <c r="K88" s="183">
        <v>34866.988258999998</v>
      </c>
      <c r="L88" s="183">
        <v>34740.750911000003</v>
      </c>
      <c r="M88" s="183">
        <v>34367.529112999997</v>
      </c>
      <c r="N88" s="183">
        <v>36293.722763999998</v>
      </c>
      <c r="O88" s="183">
        <v>35715.553050000002</v>
      </c>
      <c r="P88" s="183">
        <v>35344.492566000001</v>
      </c>
      <c r="Q88" s="183">
        <v>34996.883964000001</v>
      </c>
      <c r="R88" s="183">
        <v>35291.437172999998</v>
      </c>
      <c r="S88" s="183">
        <v>35137.756908000003</v>
      </c>
      <c r="T88" s="183">
        <v>35947.569384000002</v>
      </c>
      <c r="U88" s="183">
        <v>35053.182369000002</v>
      </c>
      <c r="V88" s="183">
        <v>33915.637642000002</v>
      </c>
      <c r="W88" s="164"/>
    </row>
    <row r="89" spans="1:23">
      <c r="A89" s="165" t="s">
        <v>198</v>
      </c>
      <c r="B89" s="183">
        <v>6632.1312630000002</v>
      </c>
      <c r="C89" s="183">
        <v>16733.527279999998</v>
      </c>
      <c r="D89" s="183">
        <v>21523.384357999999</v>
      </c>
      <c r="E89" s="183">
        <v>23510.701674</v>
      </c>
      <c r="F89" s="183">
        <v>21383.312694</v>
      </c>
      <c r="G89" s="183">
        <v>19792.659014000001</v>
      </c>
      <c r="H89" s="183">
        <v>21256.732895000001</v>
      </c>
      <c r="I89" s="183">
        <v>21697.990639</v>
      </c>
      <c r="J89" s="183">
        <v>22039.080693</v>
      </c>
      <c r="K89" s="183">
        <v>20933.423472999999</v>
      </c>
      <c r="L89" s="183">
        <v>20717.082324999999</v>
      </c>
      <c r="M89" s="183">
        <v>20683.179099000001</v>
      </c>
      <c r="N89" s="183">
        <v>21297.268360999999</v>
      </c>
      <c r="O89" s="183">
        <v>20997.627539000001</v>
      </c>
      <c r="P89" s="183">
        <v>21666.774792</v>
      </c>
      <c r="Q89" s="183">
        <v>21058.801942999999</v>
      </c>
      <c r="R89" s="183">
        <v>22036.565322999999</v>
      </c>
      <c r="S89" s="183">
        <v>21805.131013999999</v>
      </c>
      <c r="T89" s="183">
        <v>21289.892786</v>
      </c>
      <c r="U89" s="183">
        <v>20532.244047</v>
      </c>
      <c r="V89" s="183">
        <v>19650.129193000001</v>
      </c>
      <c r="W89" s="164"/>
    </row>
    <row r="90" spans="1:23">
      <c r="A90" s="165" t="s">
        <v>199</v>
      </c>
      <c r="B90" s="183">
        <v>1286.0334439999999</v>
      </c>
      <c r="C90" s="183">
        <v>6675.7690220000004</v>
      </c>
      <c r="D90" s="183">
        <v>5389.1129060000003</v>
      </c>
      <c r="E90" s="183">
        <v>4884.3469500000001</v>
      </c>
      <c r="F90" s="183">
        <v>3781.8669060000002</v>
      </c>
      <c r="G90" s="183">
        <v>3714.0921069999999</v>
      </c>
      <c r="H90" s="183">
        <v>3843.6188560000001</v>
      </c>
      <c r="I90" s="183">
        <v>3968.8404909999999</v>
      </c>
      <c r="J90" s="183">
        <v>3899.5591960000002</v>
      </c>
      <c r="K90" s="183">
        <v>3696.8776769999999</v>
      </c>
      <c r="L90" s="183">
        <v>3488.1743299999998</v>
      </c>
      <c r="M90" s="183">
        <v>3438.4713849999998</v>
      </c>
      <c r="N90" s="183">
        <v>3756.0483589999999</v>
      </c>
      <c r="O90" s="183">
        <v>3731.3042030000001</v>
      </c>
      <c r="P90" s="183">
        <v>3696.6645309999999</v>
      </c>
      <c r="Q90" s="183">
        <v>3048.3872719999999</v>
      </c>
      <c r="R90" s="183">
        <v>2887.2317240000002</v>
      </c>
      <c r="S90" s="183">
        <v>2986.8503780000001</v>
      </c>
      <c r="T90" s="183">
        <v>3107.7715669999998</v>
      </c>
      <c r="U90" s="183">
        <v>3087.9756560000001</v>
      </c>
      <c r="V90" s="183">
        <v>2934.7824930000002</v>
      </c>
      <c r="W90" s="164"/>
    </row>
    <row r="91" spans="1:23">
      <c r="A91" s="165" t="s">
        <v>200</v>
      </c>
      <c r="B91" s="183">
        <v>2651.3831030000001</v>
      </c>
      <c r="C91" s="183">
        <v>8856.3617169999998</v>
      </c>
      <c r="D91" s="183">
        <v>8606.5609839999997</v>
      </c>
      <c r="E91" s="183">
        <v>8453.9060460000001</v>
      </c>
      <c r="F91" s="183">
        <v>8665.568475</v>
      </c>
      <c r="G91" s="183">
        <v>8451.6999159999996</v>
      </c>
      <c r="H91" s="183">
        <v>8224.9215850000001</v>
      </c>
      <c r="I91" s="183">
        <v>8204.105313</v>
      </c>
      <c r="J91" s="183">
        <v>8169.4097019999999</v>
      </c>
      <c r="K91" s="183">
        <v>8345.1952600000004</v>
      </c>
      <c r="L91" s="183">
        <v>8534.8587889999999</v>
      </c>
      <c r="M91" s="183">
        <v>8316.7952330000007</v>
      </c>
      <c r="N91" s="183">
        <v>8127.7771590000002</v>
      </c>
      <c r="O91" s="183">
        <v>8106.959519</v>
      </c>
      <c r="P91" s="183">
        <v>8093.0815490000005</v>
      </c>
      <c r="Q91" s="183">
        <v>7625.7003510000004</v>
      </c>
      <c r="R91" s="183">
        <v>7625.7003510000004</v>
      </c>
      <c r="S91" s="183">
        <v>7452.3889799999997</v>
      </c>
      <c r="T91" s="183">
        <v>7445.44931</v>
      </c>
      <c r="U91" s="183">
        <v>7445.44931</v>
      </c>
      <c r="V91" s="183">
        <v>7597.2989230000003</v>
      </c>
      <c r="W91" s="164"/>
    </row>
    <row r="92" spans="1:23">
      <c r="A92" s="165" t="s">
        <v>201</v>
      </c>
      <c r="B92" s="184">
        <v>2651.3831030000001</v>
      </c>
      <c r="C92" s="184">
        <v>8856.3617169999998</v>
      </c>
      <c r="D92" s="184">
        <v>8606.5609839999997</v>
      </c>
      <c r="E92" s="184">
        <v>8453.9060460000001</v>
      </c>
      <c r="F92" s="184">
        <v>8665.568475</v>
      </c>
      <c r="G92" s="184">
        <v>8451.6999159999996</v>
      </c>
      <c r="H92" s="184">
        <v>8224.9215850000001</v>
      </c>
      <c r="I92" s="184">
        <v>8204.105313</v>
      </c>
      <c r="J92" s="184">
        <v>8169.4097019999999</v>
      </c>
      <c r="K92" s="184">
        <v>8345.1952600000004</v>
      </c>
      <c r="L92" s="184">
        <v>8534.8587889999999</v>
      </c>
      <c r="M92" s="184">
        <v>8316.7952330000007</v>
      </c>
      <c r="N92" s="184">
        <v>8127.7771590000002</v>
      </c>
      <c r="O92" s="184">
        <v>8106.959519</v>
      </c>
      <c r="P92" s="184">
        <v>8093.0815490000005</v>
      </c>
      <c r="Q92" s="184">
        <v>7625.7003510000004</v>
      </c>
      <c r="R92" s="184">
        <v>7625.7003510000004</v>
      </c>
      <c r="S92" s="184">
        <v>7452.3889799999997</v>
      </c>
      <c r="T92" s="184">
        <v>7445.44931</v>
      </c>
      <c r="U92" s="184">
        <v>7445.44931</v>
      </c>
      <c r="V92" s="184">
        <v>7597.2989230000003</v>
      </c>
      <c r="W92" s="164"/>
    </row>
    <row r="93" spans="1:23">
      <c r="A93" s="165" t="s">
        <v>27</v>
      </c>
      <c r="B93" s="185">
        <f t="shared" ref="B93:V93" si="55">SUM(B81:B92)</f>
        <v>58177.355555000002</v>
      </c>
      <c r="C93" s="185">
        <f t="shared" si="55"/>
        <v>197770.46174599999</v>
      </c>
      <c r="D93" s="185">
        <f t="shared" si="55"/>
        <v>214820.29765500003</v>
      </c>
      <c r="E93" s="185">
        <f t="shared" si="55"/>
        <v>221591.14067099997</v>
      </c>
      <c r="F93" s="185">
        <f t="shared" si="55"/>
        <v>210746.33980700001</v>
      </c>
      <c r="G93" s="185">
        <f t="shared" si="55"/>
        <v>200235.57714100005</v>
      </c>
      <c r="H93" s="185">
        <f t="shared" si="55"/>
        <v>206567.427368</v>
      </c>
      <c r="I93" s="185">
        <f t="shared" si="55"/>
        <v>211855.14523900003</v>
      </c>
      <c r="J93" s="185">
        <f t="shared" si="55"/>
        <v>210218.140934</v>
      </c>
      <c r="K93" s="185">
        <f t="shared" si="55"/>
        <v>206805.65596700003</v>
      </c>
      <c r="L93" s="185">
        <f t="shared" si="55"/>
        <v>205168.66842499998</v>
      </c>
      <c r="M93" s="185">
        <f t="shared" si="55"/>
        <v>202273.20443700004</v>
      </c>
      <c r="N93" s="185">
        <f t="shared" si="55"/>
        <v>208104.74493599997</v>
      </c>
      <c r="O93" s="185">
        <f t="shared" si="55"/>
        <v>204405.44066500003</v>
      </c>
      <c r="P93" s="185">
        <f t="shared" si="55"/>
        <v>206884.60192699998</v>
      </c>
      <c r="Q93" s="185">
        <f t="shared" si="55"/>
        <v>201092.09838800001</v>
      </c>
      <c r="R93" s="185">
        <f t="shared" si="55"/>
        <v>202973.91628400001</v>
      </c>
      <c r="S93" s="185">
        <f t="shared" si="55"/>
        <v>201756.26300799998</v>
      </c>
      <c r="T93" s="185">
        <f t="shared" si="55"/>
        <v>202173.22994600001</v>
      </c>
      <c r="U93" s="185">
        <f t="shared" si="55"/>
        <v>195450.07282600002</v>
      </c>
      <c r="V93" s="185">
        <f t="shared" si="55"/>
        <v>193539.67902899999</v>
      </c>
      <c r="W93" s="164"/>
    </row>
    <row r="94" spans="1:23">
      <c r="A94" s="165"/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4"/>
    </row>
    <row r="95" spans="1:23">
      <c r="A95" s="168" t="s">
        <v>202</v>
      </c>
      <c r="B95" s="159"/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64"/>
    </row>
    <row r="96" spans="1:23">
      <c r="A96" s="165" t="str">
        <f t="shared" ref="A96:A107" si="56">A81</f>
        <v>January</v>
      </c>
      <c r="B96" s="156">
        <f t="shared" ref="B96:V96" si="57">B81/B$93</f>
        <v>0</v>
      </c>
      <c r="C96" s="156">
        <f t="shared" si="57"/>
        <v>4.5936316211203594E-2</v>
      </c>
      <c r="D96" s="156">
        <f t="shared" si="57"/>
        <v>9.4633401270342338E-2</v>
      </c>
      <c r="E96" s="156">
        <f t="shared" si="57"/>
        <v>8.9776561954417175E-2</v>
      </c>
      <c r="F96" s="156">
        <f t="shared" si="57"/>
        <v>8.4587165425151961E-2</v>
      </c>
      <c r="G96" s="156">
        <f t="shared" si="57"/>
        <v>8.4281090263576691E-2</v>
      </c>
      <c r="H96" s="156">
        <f t="shared" si="57"/>
        <v>8.5152625615382393E-2</v>
      </c>
      <c r="I96" s="156">
        <f t="shared" si="57"/>
        <v>8.6217289650407439E-2</v>
      </c>
      <c r="J96" s="156">
        <f t="shared" si="57"/>
        <v>8.641786404487127E-2</v>
      </c>
      <c r="K96" s="156">
        <f t="shared" si="57"/>
        <v>8.3383654500975818E-2</v>
      </c>
      <c r="L96" s="156">
        <f t="shared" si="57"/>
        <v>7.983213197578172E-2</v>
      </c>
      <c r="M96" s="156">
        <f t="shared" si="57"/>
        <v>8.0840874091619844E-2</v>
      </c>
      <c r="N96" s="156">
        <f t="shared" si="57"/>
        <v>8.2044283373984755E-2</v>
      </c>
      <c r="O96" s="156">
        <f t="shared" si="57"/>
        <v>8.6502744958625713E-2</v>
      </c>
      <c r="P96" s="156">
        <f t="shared" si="57"/>
        <v>8.4796393601057563E-2</v>
      </c>
      <c r="Q96" s="156">
        <f t="shared" si="57"/>
        <v>7.3771417887224439E-2</v>
      </c>
      <c r="R96" s="156">
        <f t="shared" si="57"/>
        <v>6.9119745176370304E-2</v>
      </c>
      <c r="S96" s="156">
        <f t="shared" si="57"/>
        <v>7.2214724568041205E-2</v>
      </c>
      <c r="T96" s="156">
        <f t="shared" si="57"/>
        <v>7.446031759012238E-2</v>
      </c>
      <c r="U96" s="156">
        <f t="shared" si="57"/>
        <v>7.6388643995500688E-2</v>
      </c>
      <c r="V96" s="156">
        <f t="shared" si="57"/>
        <v>7.6912543038626907E-2</v>
      </c>
      <c r="W96" s="164"/>
    </row>
    <row r="97" spans="1:23">
      <c r="A97" s="165" t="str">
        <f t="shared" si="56"/>
        <v>February</v>
      </c>
      <c r="B97" s="156">
        <f t="shared" ref="B97:V97" si="58">B82/B$93</f>
        <v>0</v>
      </c>
      <c r="C97" s="156">
        <f t="shared" si="58"/>
        <v>2.3692652475160491E-3</v>
      </c>
      <c r="D97" s="156">
        <f t="shared" si="58"/>
        <v>4.3734057593981402E-3</v>
      </c>
      <c r="E97" s="156">
        <f t="shared" si="58"/>
        <v>3.9810075318387908E-3</v>
      </c>
      <c r="F97" s="156">
        <f t="shared" si="58"/>
        <v>3.6656944728315518E-3</v>
      </c>
      <c r="G97" s="156">
        <f t="shared" si="58"/>
        <v>3.8581140476150536E-3</v>
      </c>
      <c r="H97" s="156">
        <f t="shared" si="58"/>
        <v>3.6950632620321921E-3</v>
      </c>
      <c r="I97" s="156">
        <f t="shared" si="58"/>
        <v>3.4550694493364243E-3</v>
      </c>
      <c r="J97" s="156">
        <f t="shared" si="58"/>
        <v>3.4389868485563912E-3</v>
      </c>
      <c r="K97" s="156">
        <f t="shared" si="58"/>
        <v>3.4301854351275383E-3</v>
      </c>
      <c r="L97" s="156">
        <f t="shared" si="58"/>
        <v>3.4045931835607959E-3</v>
      </c>
      <c r="M97" s="156">
        <f t="shared" si="58"/>
        <v>3.3618531079918526E-3</v>
      </c>
      <c r="N97" s="156">
        <f t="shared" si="58"/>
        <v>3.2676467862812518E-3</v>
      </c>
      <c r="O97" s="156">
        <f t="shared" si="58"/>
        <v>3.1073115174118544E-3</v>
      </c>
      <c r="P97" s="156">
        <f t="shared" si="58"/>
        <v>3.0700756561095619E-3</v>
      </c>
      <c r="Q97" s="156">
        <f t="shared" si="58"/>
        <v>2.2693801131831669E-3</v>
      </c>
      <c r="R97" s="156">
        <f t="shared" si="58"/>
        <v>2.3087618230921438E-3</v>
      </c>
      <c r="S97" s="156">
        <f t="shared" si="58"/>
        <v>2.2699072790708895E-3</v>
      </c>
      <c r="T97" s="156">
        <f t="shared" si="58"/>
        <v>2.1901946964900869E-3</v>
      </c>
      <c r="U97" s="156">
        <f t="shared" si="58"/>
        <v>2.1890271505853602E-3</v>
      </c>
      <c r="V97" s="156">
        <f t="shared" si="58"/>
        <v>2.2412040785445607E-3</v>
      </c>
      <c r="W97" s="164"/>
    </row>
    <row r="98" spans="1:23">
      <c r="A98" s="165" t="str">
        <f t="shared" si="56"/>
        <v>March</v>
      </c>
      <c r="B98" s="156">
        <f t="shared" ref="B98:V98" si="59">B83/B$93</f>
        <v>0</v>
      </c>
      <c r="C98" s="156">
        <f t="shared" si="59"/>
        <v>2.3692652475160491E-3</v>
      </c>
      <c r="D98" s="156">
        <f t="shared" si="59"/>
        <v>4.3734057593981402E-3</v>
      </c>
      <c r="E98" s="156">
        <f t="shared" si="59"/>
        <v>3.9810075318387908E-3</v>
      </c>
      <c r="F98" s="156">
        <f t="shared" si="59"/>
        <v>3.6656944728315518E-3</v>
      </c>
      <c r="G98" s="156">
        <f t="shared" si="59"/>
        <v>3.8581140476150536E-3</v>
      </c>
      <c r="H98" s="156">
        <f t="shared" si="59"/>
        <v>3.6950632620321921E-3</v>
      </c>
      <c r="I98" s="156">
        <f t="shared" si="59"/>
        <v>3.4550694493364243E-3</v>
      </c>
      <c r="J98" s="156">
        <f t="shared" si="59"/>
        <v>3.4389868485563912E-3</v>
      </c>
      <c r="K98" s="156">
        <f t="shared" si="59"/>
        <v>3.4301854351275383E-3</v>
      </c>
      <c r="L98" s="156">
        <f t="shared" si="59"/>
        <v>3.4045931835607959E-3</v>
      </c>
      <c r="M98" s="156">
        <f t="shared" si="59"/>
        <v>3.3618531079918526E-3</v>
      </c>
      <c r="N98" s="156">
        <f t="shared" si="59"/>
        <v>3.2676467862812518E-3</v>
      </c>
      <c r="O98" s="156">
        <f t="shared" si="59"/>
        <v>3.1073115174118544E-3</v>
      </c>
      <c r="P98" s="156">
        <f t="shared" si="59"/>
        <v>3.0700756561095619E-3</v>
      </c>
      <c r="Q98" s="156">
        <f t="shared" si="59"/>
        <v>2.2693801131831669E-3</v>
      </c>
      <c r="R98" s="156">
        <f t="shared" si="59"/>
        <v>2.3087618230921438E-3</v>
      </c>
      <c r="S98" s="156">
        <f t="shared" si="59"/>
        <v>2.2699072790708895E-3</v>
      </c>
      <c r="T98" s="156">
        <f t="shared" si="59"/>
        <v>2.1901946964900869E-3</v>
      </c>
      <c r="U98" s="156">
        <f t="shared" si="59"/>
        <v>2.1890271505853602E-3</v>
      </c>
      <c r="V98" s="156">
        <f t="shared" si="59"/>
        <v>2.2412040785445607E-3</v>
      </c>
      <c r="W98" s="164"/>
    </row>
    <row r="99" spans="1:23">
      <c r="A99" s="165" t="str">
        <f t="shared" si="56"/>
        <v>April</v>
      </c>
      <c r="B99" s="156">
        <f t="shared" ref="B99:V99" si="60">B84/B$93</f>
        <v>0</v>
      </c>
      <c r="C99" s="156">
        <f t="shared" si="60"/>
        <v>3.0555679117345354E-2</v>
      </c>
      <c r="D99" s="156">
        <f t="shared" si="60"/>
        <v>5.6904833795697309E-2</v>
      </c>
      <c r="E99" s="156">
        <f t="shared" si="60"/>
        <v>5.1246249564011304E-2</v>
      </c>
      <c r="F99" s="156">
        <f t="shared" si="60"/>
        <v>4.6729576105657672E-2</v>
      </c>
      <c r="G99" s="156">
        <f t="shared" si="60"/>
        <v>4.6439216246032387E-2</v>
      </c>
      <c r="H99" s="156">
        <f t="shared" si="60"/>
        <v>4.2330496552209933E-2</v>
      </c>
      <c r="I99" s="156">
        <f t="shared" si="60"/>
        <v>4.2665839599047094E-2</v>
      </c>
      <c r="J99" s="156">
        <f t="shared" si="60"/>
        <v>4.4786670994088562E-2</v>
      </c>
      <c r="K99" s="156">
        <f t="shared" si="60"/>
        <v>4.4896248894090086E-2</v>
      </c>
      <c r="L99" s="156">
        <f t="shared" si="60"/>
        <v>4.472382877190767E-2</v>
      </c>
      <c r="M99" s="156">
        <f t="shared" si="60"/>
        <v>4.2654234341193795E-2</v>
      </c>
      <c r="N99" s="156">
        <f t="shared" si="60"/>
        <v>4.0937881039762099E-2</v>
      </c>
      <c r="O99" s="156">
        <f t="shared" si="60"/>
        <v>4.3096111445669376E-2</v>
      </c>
      <c r="P99" s="156">
        <f t="shared" si="60"/>
        <v>4.2144955114042669E-2</v>
      </c>
      <c r="Q99" s="156">
        <f t="shared" si="60"/>
        <v>3.7262338073285266E-2</v>
      </c>
      <c r="R99" s="156">
        <f t="shared" si="60"/>
        <v>3.4927174140349557E-2</v>
      </c>
      <c r="S99" s="156">
        <f t="shared" si="60"/>
        <v>3.3059491009384552E-2</v>
      </c>
      <c r="T99" s="156">
        <f t="shared" si="60"/>
        <v>3.4182720743225335E-2</v>
      </c>
      <c r="U99" s="156">
        <f t="shared" si="60"/>
        <v>3.6642675658534164E-2</v>
      </c>
      <c r="V99" s="156">
        <f t="shared" si="60"/>
        <v>3.6808717601172353E-2</v>
      </c>
      <c r="W99" s="164"/>
    </row>
    <row r="100" spans="1:23">
      <c r="A100" s="165" t="str">
        <f t="shared" si="56"/>
        <v>May</v>
      </c>
      <c r="B100" s="156">
        <f t="shared" ref="B100:V100" si="61">B85/B$93</f>
        <v>0</v>
      </c>
      <c r="C100" s="156">
        <f t="shared" si="61"/>
        <v>6.9227060776061056E-2</v>
      </c>
      <c r="D100" s="156">
        <f t="shared" si="61"/>
        <v>8.1975688234459151E-2</v>
      </c>
      <c r="E100" s="156">
        <f t="shared" si="61"/>
        <v>8.6808653918885911E-2</v>
      </c>
      <c r="F100" s="156">
        <f t="shared" si="61"/>
        <v>8.3016567096834026E-2</v>
      </c>
      <c r="G100" s="156">
        <f t="shared" si="61"/>
        <v>8.0874707528106562E-2</v>
      </c>
      <c r="H100" s="156">
        <f t="shared" si="61"/>
        <v>8.4194650577781402E-2</v>
      </c>
      <c r="I100" s="156">
        <f t="shared" si="61"/>
        <v>8.3797357916289589E-2</v>
      </c>
      <c r="J100" s="156">
        <f t="shared" si="61"/>
        <v>8.5777445428276866E-2</v>
      </c>
      <c r="K100" s="156">
        <f t="shared" si="61"/>
        <v>8.2818559279312018E-2</v>
      </c>
      <c r="L100" s="156">
        <f t="shared" si="61"/>
        <v>8.2616611074786239E-2</v>
      </c>
      <c r="M100" s="156">
        <f t="shared" si="61"/>
        <v>8.3662100119003699E-2</v>
      </c>
      <c r="N100" s="156">
        <f t="shared" si="61"/>
        <v>8.3732054044989956E-2</v>
      </c>
      <c r="O100" s="156">
        <f t="shared" si="61"/>
        <v>8.404804207318578E-2</v>
      </c>
      <c r="P100" s="156">
        <f t="shared" si="61"/>
        <v>8.5687194831711874E-2</v>
      </c>
      <c r="Q100" s="156">
        <f t="shared" si="61"/>
        <v>8.568177964782818E-2</v>
      </c>
      <c r="R100" s="156">
        <f t="shared" si="61"/>
        <v>8.8828739244369889E-2</v>
      </c>
      <c r="S100" s="156">
        <f t="shared" si="61"/>
        <v>8.8426309409252848E-2</v>
      </c>
      <c r="T100" s="156">
        <f t="shared" si="61"/>
        <v>8.6158801502318444E-2</v>
      </c>
      <c r="U100" s="156">
        <f t="shared" si="61"/>
        <v>8.5950895398005073E-2</v>
      </c>
      <c r="V100" s="156">
        <f t="shared" si="61"/>
        <v>8.3070192694651337E-2</v>
      </c>
      <c r="W100" s="164"/>
    </row>
    <row r="101" spans="1:23">
      <c r="A101" s="165" t="str">
        <f t="shared" si="56"/>
        <v>June</v>
      </c>
      <c r="B101" s="156">
        <f t="shared" ref="B101:V101" si="62">B86/B$93</f>
        <v>0.21417696767293359</v>
      </c>
      <c r="C101" s="156">
        <f t="shared" si="62"/>
        <v>0.16745438242710589</v>
      </c>
      <c r="D101" s="156">
        <f t="shared" si="62"/>
        <v>0.13819009646693434</v>
      </c>
      <c r="E101" s="156">
        <f t="shared" si="62"/>
        <v>0.14808399850569676</v>
      </c>
      <c r="F101" s="156">
        <f t="shared" si="62"/>
        <v>0.15906030091292991</v>
      </c>
      <c r="G101" s="156">
        <f t="shared" si="62"/>
        <v>0.15339607338795316</v>
      </c>
      <c r="H101" s="156">
        <f t="shared" si="62"/>
        <v>0.15784974737527854</v>
      </c>
      <c r="I101" s="156">
        <f t="shared" si="62"/>
        <v>0.15394136115602955</v>
      </c>
      <c r="J101" s="156">
        <f t="shared" si="62"/>
        <v>0.15463129769188505</v>
      </c>
      <c r="K101" s="156">
        <f t="shared" si="62"/>
        <v>0.16074209358328423</v>
      </c>
      <c r="L101" s="156">
        <f t="shared" si="62"/>
        <v>0.16152302772835039</v>
      </c>
      <c r="M101" s="156">
        <f t="shared" si="62"/>
        <v>0.15986676434481267</v>
      </c>
      <c r="N101" s="156">
        <f t="shared" si="62"/>
        <v>0.15224704121832405</v>
      </c>
      <c r="O101" s="156">
        <f t="shared" si="62"/>
        <v>0.14301388443916055</v>
      </c>
      <c r="P101" s="156">
        <f t="shared" si="62"/>
        <v>0.15329267353203196</v>
      </c>
      <c r="Q101" s="156">
        <f t="shared" si="62"/>
        <v>0.16793623505206423</v>
      </c>
      <c r="R101" s="156">
        <f t="shared" si="62"/>
        <v>0.16989454409378368</v>
      </c>
      <c r="S101" s="156">
        <f t="shared" si="62"/>
        <v>0.16960505111875096</v>
      </c>
      <c r="T101" s="156">
        <f t="shared" si="62"/>
        <v>0.16197213098760155</v>
      </c>
      <c r="U101" s="156">
        <f t="shared" si="62"/>
        <v>0.15123667490937789</v>
      </c>
      <c r="V101" s="156">
        <f t="shared" si="62"/>
        <v>0.16542652650158954</v>
      </c>
      <c r="W101" s="164"/>
    </row>
    <row r="102" spans="1:23">
      <c r="A102" s="165" t="str">
        <f t="shared" si="56"/>
        <v>July</v>
      </c>
      <c r="B102" s="156">
        <f t="shared" ref="B102:V102" si="63">B87/B$93</f>
        <v>0.33514251101645831</v>
      </c>
      <c r="C102" s="156">
        <f t="shared" si="63"/>
        <v>0.28449600898066357</v>
      </c>
      <c r="D102" s="156">
        <f t="shared" si="63"/>
        <v>0.24848522762838451</v>
      </c>
      <c r="E102" s="156">
        <f t="shared" si="63"/>
        <v>0.24700743331280314</v>
      </c>
      <c r="F102" s="156">
        <f t="shared" si="63"/>
        <v>0.25057694506277711</v>
      </c>
      <c r="G102" s="156">
        <f t="shared" si="63"/>
        <v>0.25528778544686098</v>
      </c>
      <c r="H102" s="156">
        <f t="shared" si="63"/>
        <v>0.25316186088156306</v>
      </c>
      <c r="I102" s="156">
        <f t="shared" si="63"/>
        <v>0.25671908032086799</v>
      </c>
      <c r="J102" s="156">
        <f t="shared" si="63"/>
        <v>0.25223785328140497</v>
      </c>
      <c r="K102" s="156">
        <f t="shared" si="63"/>
        <v>0.25289676988498605</v>
      </c>
      <c r="L102" s="156">
        <f t="shared" si="63"/>
        <v>0.25399163901114546</v>
      </c>
      <c r="M102" s="156">
        <f t="shared" si="63"/>
        <v>0.25485972703347443</v>
      </c>
      <c r="N102" s="156">
        <f t="shared" si="63"/>
        <v>0.2616018397934296</v>
      </c>
      <c r="O102" s="156">
        <f t="shared" si="63"/>
        <v>0.26209346189958466</v>
      </c>
      <c r="P102" s="156">
        <f t="shared" si="63"/>
        <v>0.25626237213491199</v>
      </c>
      <c r="Q102" s="156">
        <f t="shared" si="63"/>
        <v>0.261051161964167</v>
      </c>
      <c r="R102" s="156">
        <f t="shared" si="63"/>
        <v>0.26080767779999187</v>
      </c>
      <c r="S102" s="156">
        <f t="shared" si="63"/>
        <v>0.26123915350726978</v>
      </c>
      <c r="T102" s="156">
        <f t="shared" si="63"/>
        <v>0.26670867398914422</v>
      </c>
      <c r="U102" s="156">
        <f t="shared" si="63"/>
        <v>0.26901895094615436</v>
      </c>
      <c r="V102" s="156">
        <f t="shared" si="63"/>
        <v>0.26285801815025805</v>
      </c>
      <c r="W102" s="164"/>
    </row>
    <row r="103" spans="1:23">
      <c r="A103" s="165" t="str">
        <f t="shared" si="56"/>
        <v>August</v>
      </c>
      <c r="B103" s="156">
        <f t="shared" ref="B103:V103" si="64">B88/B$93</f>
        <v>0.22342834068336848</v>
      </c>
      <c r="C103" s="156">
        <f t="shared" si="64"/>
        <v>0.18966400598373817</v>
      </c>
      <c r="D103" s="156">
        <f t="shared" si="64"/>
        <v>0.16565681841737132</v>
      </c>
      <c r="E103" s="156">
        <f t="shared" si="64"/>
        <v>0.16467162221154394</v>
      </c>
      <c r="F103" s="156">
        <f t="shared" si="64"/>
        <v>0.16705129670693639</v>
      </c>
      <c r="G103" s="156">
        <f t="shared" si="64"/>
        <v>0.17019185696457398</v>
      </c>
      <c r="H103" s="156">
        <f t="shared" si="64"/>
        <v>0.16877457392104203</v>
      </c>
      <c r="I103" s="156">
        <f t="shared" si="64"/>
        <v>0.17114605355039214</v>
      </c>
      <c r="J103" s="156">
        <f t="shared" si="64"/>
        <v>0.16815856885109864</v>
      </c>
      <c r="K103" s="156">
        <f t="shared" si="64"/>
        <v>0.16859784659160251</v>
      </c>
      <c r="L103" s="156">
        <f t="shared" si="64"/>
        <v>0.16932775933913899</v>
      </c>
      <c r="M103" s="156">
        <f t="shared" si="64"/>
        <v>0.16990648469063088</v>
      </c>
      <c r="N103" s="156">
        <f t="shared" si="64"/>
        <v>0.17440122653215659</v>
      </c>
      <c r="O103" s="156">
        <f t="shared" si="64"/>
        <v>0.17472897459972311</v>
      </c>
      <c r="P103" s="156">
        <f t="shared" si="64"/>
        <v>0.17084158142649708</v>
      </c>
      <c r="Q103" s="156">
        <f t="shared" si="64"/>
        <v>0.17403410797611135</v>
      </c>
      <c r="R103" s="156">
        <f t="shared" si="64"/>
        <v>0.17387178519835234</v>
      </c>
      <c r="S103" s="156">
        <f t="shared" si="64"/>
        <v>0.17415943566820888</v>
      </c>
      <c r="T103" s="156">
        <f t="shared" si="64"/>
        <v>0.17780578266272698</v>
      </c>
      <c r="U103" s="156">
        <f t="shared" si="64"/>
        <v>0.1793459672957308</v>
      </c>
      <c r="V103" s="156">
        <f t="shared" si="64"/>
        <v>0.17523867876683871</v>
      </c>
      <c r="W103" s="164"/>
    </row>
    <row r="104" spans="1:23">
      <c r="A104" s="165" t="str">
        <f t="shared" si="56"/>
        <v>September</v>
      </c>
      <c r="B104" s="156">
        <f t="shared" ref="B104:V104" si="65">B89/B$93</f>
        <v>0.11399849992717669</v>
      </c>
      <c r="C104" s="156">
        <f t="shared" si="65"/>
        <v>8.461085205682109E-2</v>
      </c>
      <c r="D104" s="156">
        <f t="shared" si="65"/>
        <v>0.10019250784470289</v>
      </c>
      <c r="E104" s="156">
        <f t="shared" si="65"/>
        <v>0.10609946590286624</v>
      </c>
      <c r="F104" s="156">
        <f t="shared" si="65"/>
        <v>0.10146469311677102</v>
      </c>
      <c r="G104" s="156">
        <f t="shared" si="65"/>
        <v>9.8846864761013911E-2</v>
      </c>
      <c r="H104" s="156">
        <f t="shared" si="65"/>
        <v>0.10290457293216475</v>
      </c>
      <c r="I104" s="156">
        <f t="shared" si="65"/>
        <v>0.10241899300827392</v>
      </c>
      <c r="J104" s="156">
        <f t="shared" si="65"/>
        <v>0.10483909997053671</v>
      </c>
      <c r="K104" s="156">
        <f t="shared" si="65"/>
        <v>0.10122268356306631</v>
      </c>
      <c r="L104" s="156">
        <f t="shared" si="65"/>
        <v>0.10097585798083586</v>
      </c>
      <c r="M104" s="156">
        <f t="shared" si="65"/>
        <v>0.10225367792322675</v>
      </c>
      <c r="N104" s="156">
        <f t="shared" si="65"/>
        <v>0.10233917716556491</v>
      </c>
      <c r="O104" s="156">
        <f t="shared" si="65"/>
        <v>0.10272538475829027</v>
      </c>
      <c r="P104" s="156">
        <f t="shared" si="65"/>
        <v>0.10472879368588874</v>
      </c>
      <c r="Q104" s="156">
        <f t="shared" si="65"/>
        <v>0.10472217512180808</v>
      </c>
      <c r="R104" s="156">
        <f t="shared" si="65"/>
        <v>0.10856845907316759</v>
      </c>
      <c r="S104" s="156">
        <f t="shared" si="65"/>
        <v>0.10807660039349255</v>
      </c>
      <c r="T104" s="156">
        <f t="shared" si="65"/>
        <v>0.1053052018394645</v>
      </c>
      <c r="U104" s="156">
        <f t="shared" si="65"/>
        <v>0.10505109437988744</v>
      </c>
      <c r="V104" s="156">
        <f t="shared" si="65"/>
        <v>0.10153023551338858</v>
      </c>
      <c r="W104" s="164"/>
    </row>
    <row r="105" spans="1:23">
      <c r="A105" s="165" t="str">
        <f t="shared" si="56"/>
        <v>October</v>
      </c>
      <c r="B105" s="156">
        <f t="shared" ref="B105:V105" si="66">B90/B$93</f>
        <v>2.210539533348509E-2</v>
      </c>
      <c r="C105" s="156">
        <f t="shared" si="66"/>
        <v>3.3755136955557125E-2</v>
      </c>
      <c r="D105" s="156">
        <f t="shared" si="66"/>
        <v>2.5086609435086435E-2</v>
      </c>
      <c r="E105" s="156">
        <f t="shared" si="66"/>
        <v>2.2042158071887318E-2</v>
      </c>
      <c r="F105" s="156">
        <f t="shared" si="66"/>
        <v>1.7945113113060025E-2</v>
      </c>
      <c r="G105" s="156">
        <f t="shared" si="66"/>
        <v>1.8548612389618677E-2</v>
      </c>
      <c r="H105" s="156">
        <f t="shared" si="66"/>
        <v>1.8607090696601408E-2</v>
      </c>
      <c r="I105" s="156">
        <f t="shared" si="66"/>
        <v>1.87337460533358E-2</v>
      </c>
      <c r="J105" s="156">
        <f t="shared" si="66"/>
        <v>1.8550060326260349E-2</v>
      </c>
      <c r="K105" s="156">
        <f t="shared" si="66"/>
        <v>1.7876095601514451E-2</v>
      </c>
      <c r="L105" s="156">
        <f t="shared" si="66"/>
        <v>1.7001496167896184E-2</v>
      </c>
      <c r="M105" s="156">
        <f t="shared" si="66"/>
        <v>1.6999144274055071E-2</v>
      </c>
      <c r="N105" s="156">
        <f t="shared" si="66"/>
        <v>1.8048835744495523E-2</v>
      </c>
      <c r="O105" s="156">
        <f t="shared" si="66"/>
        <v>1.8254427039029908E-2</v>
      </c>
      <c r="P105" s="156">
        <f t="shared" si="66"/>
        <v>1.7868243922302067E-2</v>
      </c>
      <c r="Q105" s="156">
        <f t="shared" si="66"/>
        <v>1.5159159889605636E-2</v>
      </c>
      <c r="R105" s="156">
        <f t="shared" si="66"/>
        <v>1.4224644116144467E-2</v>
      </c>
      <c r="S105" s="156">
        <f t="shared" si="66"/>
        <v>1.480425109718436E-2</v>
      </c>
      <c r="T105" s="156">
        <f t="shared" si="66"/>
        <v>1.5371825279885365E-2</v>
      </c>
      <c r="U105" s="156">
        <f t="shared" si="66"/>
        <v>1.5799306755690388E-2</v>
      </c>
      <c r="V105" s="156">
        <f t="shared" si="66"/>
        <v>1.5163725122021372E-2</v>
      </c>
      <c r="W105" s="164"/>
    </row>
    <row r="106" spans="1:23">
      <c r="A106" s="165" t="str">
        <f t="shared" si="56"/>
        <v>November</v>
      </c>
      <c r="B106" s="156">
        <f t="shared" ref="B106:V106" si="67">B91/B$93</f>
        <v>4.5574142683288896E-2</v>
      </c>
      <c r="C106" s="156">
        <f t="shared" si="67"/>
        <v>4.4781013498236037E-2</v>
      </c>
      <c r="D106" s="156">
        <f t="shared" si="67"/>
        <v>4.0064002694112637E-2</v>
      </c>
      <c r="E106" s="156">
        <f t="shared" si="67"/>
        <v>3.8150920747105382E-2</v>
      </c>
      <c r="F106" s="156">
        <f t="shared" si="67"/>
        <v>4.1118476757109355E-2</v>
      </c>
      <c r="G106" s="156">
        <f t="shared" si="67"/>
        <v>4.2208782458516649E-2</v>
      </c>
      <c r="H106" s="156">
        <f t="shared" si="67"/>
        <v>3.981712746195603E-2</v>
      </c>
      <c r="I106" s="156">
        <f t="shared" si="67"/>
        <v>3.8725069923341758E-2</v>
      </c>
      <c r="J106" s="156">
        <f t="shared" si="67"/>
        <v>3.8861582857232402E-2</v>
      </c>
      <c r="K106" s="156">
        <f t="shared" si="67"/>
        <v>4.0352838615456646E-2</v>
      </c>
      <c r="L106" s="156">
        <f t="shared" si="67"/>
        <v>4.159923079151797E-2</v>
      </c>
      <c r="M106" s="156">
        <f t="shared" si="67"/>
        <v>4.1116643482999489E-2</v>
      </c>
      <c r="N106" s="156">
        <f t="shared" si="67"/>
        <v>3.9056183757365054E-2</v>
      </c>
      <c r="O106" s="156">
        <f t="shared" si="67"/>
        <v>3.9661172875953395E-2</v>
      </c>
      <c r="P106" s="156">
        <f t="shared" si="67"/>
        <v>3.9118820219668525E-2</v>
      </c>
      <c r="Q106" s="156">
        <f t="shared" si="67"/>
        <v>3.7921432080769701E-2</v>
      </c>
      <c r="R106" s="156">
        <f t="shared" si="67"/>
        <v>3.7569853755642972E-2</v>
      </c>
      <c r="S106" s="156">
        <f t="shared" si="67"/>
        <v>3.6937584335136601E-2</v>
      </c>
      <c r="T106" s="156">
        <f t="shared" si="67"/>
        <v>3.6827078006265529E-2</v>
      </c>
      <c r="U106" s="156">
        <f t="shared" si="67"/>
        <v>3.8093868179974191E-2</v>
      </c>
      <c r="V106" s="156">
        <f t="shared" si="67"/>
        <v>3.9254477227182033E-2</v>
      </c>
      <c r="W106" s="164"/>
    </row>
    <row r="107" spans="1:23">
      <c r="A107" s="165" t="str">
        <f t="shared" si="56"/>
        <v>December</v>
      </c>
      <c r="B107" s="171">
        <f t="shared" ref="B107:V107" si="68">B92/B$93</f>
        <v>4.5574142683288896E-2</v>
      </c>
      <c r="C107" s="171">
        <f t="shared" si="68"/>
        <v>4.4781013498236037E-2</v>
      </c>
      <c r="D107" s="171">
        <f t="shared" si="68"/>
        <v>4.0064002694112637E-2</v>
      </c>
      <c r="E107" s="171">
        <f t="shared" si="68"/>
        <v>3.8150920747105382E-2</v>
      </c>
      <c r="F107" s="171">
        <f t="shared" si="68"/>
        <v>4.1118476757109355E-2</v>
      </c>
      <c r="G107" s="171">
        <f t="shared" si="68"/>
        <v>4.2208782458516649E-2</v>
      </c>
      <c r="H107" s="171">
        <f t="shared" si="68"/>
        <v>3.981712746195603E-2</v>
      </c>
      <c r="I107" s="171">
        <f t="shared" si="68"/>
        <v>3.8725069923341758E-2</v>
      </c>
      <c r="J107" s="171">
        <f t="shared" si="68"/>
        <v>3.8861582857232402E-2</v>
      </c>
      <c r="K107" s="171">
        <f t="shared" si="68"/>
        <v>4.0352838615456646E-2</v>
      </c>
      <c r="L107" s="171">
        <f t="shared" si="68"/>
        <v>4.159923079151797E-2</v>
      </c>
      <c r="M107" s="171">
        <f t="shared" si="68"/>
        <v>4.1116643482999489E-2</v>
      </c>
      <c r="N107" s="171">
        <f t="shared" si="68"/>
        <v>3.9056183757365054E-2</v>
      </c>
      <c r="O107" s="171">
        <f t="shared" si="68"/>
        <v>3.9661172875953395E-2</v>
      </c>
      <c r="P107" s="171">
        <f t="shared" si="68"/>
        <v>3.9118820219668525E-2</v>
      </c>
      <c r="Q107" s="171">
        <f t="shared" si="68"/>
        <v>3.7921432080769701E-2</v>
      </c>
      <c r="R107" s="171">
        <f t="shared" si="68"/>
        <v>3.7569853755642972E-2</v>
      </c>
      <c r="S107" s="171">
        <f t="shared" si="68"/>
        <v>3.6937584335136601E-2</v>
      </c>
      <c r="T107" s="171">
        <f t="shared" si="68"/>
        <v>3.6827078006265529E-2</v>
      </c>
      <c r="U107" s="171">
        <f t="shared" si="68"/>
        <v>3.8093868179974191E-2</v>
      </c>
      <c r="V107" s="171">
        <f t="shared" si="68"/>
        <v>3.9254477227182033E-2</v>
      </c>
      <c r="W107" s="164"/>
    </row>
    <row r="108" spans="1:23">
      <c r="A108" s="164"/>
      <c r="B108" s="156">
        <f t="shared" ref="B108:V108" si="69">SUM(B96:B107)</f>
        <v>0.99999999999999989</v>
      </c>
      <c r="C108" s="156">
        <f t="shared" si="69"/>
        <v>1</v>
      </c>
      <c r="D108" s="156">
        <f t="shared" si="69"/>
        <v>0.99999999999999978</v>
      </c>
      <c r="E108" s="156">
        <f t="shared" si="69"/>
        <v>1.0000000000000002</v>
      </c>
      <c r="F108" s="156">
        <f t="shared" si="69"/>
        <v>0.99999999999999978</v>
      </c>
      <c r="G108" s="156">
        <f t="shared" si="69"/>
        <v>0.99999999999999967</v>
      </c>
      <c r="H108" s="156">
        <f t="shared" si="69"/>
        <v>0.99999999999999978</v>
      </c>
      <c r="I108" s="156">
        <f t="shared" si="69"/>
        <v>0.99999999999999989</v>
      </c>
      <c r="J108" s="156">
        <f t="shared" si="69"/>
        <v>1.0000000000000002</v>
      </c>
      <c r="K108" s="156">
        <f t="shared" si="69"/>
        <v>0.99999999999999989</v>
      </c>
      <c r="L108" s="156">
        <f t="shared" si="69"/>
        <v>1</v>
      </c>
      <c r="M108" s="156">
        <f t="shared" si="69"/>
        <v>0.99999999999999967</v>
      </c>
      <c r="N108" s="156">
        <f t="shared" si="69"/>
        <v>1.0000000000000002</v>
      </c>
      <c r="O108" s="156">
        <f t="shared" si="69"/>
        <v>0.99999999999999989</v>
      </c>
      <c r="P108" s="156">
        <f t="shared" si="69"/>
        <v>1</v>
      </c>
      <c r="Q108" s="156">
        <f t="shared" si="69"/>
        <v>0.99999999999999978</v>
      </c>
      <c r="R108" s="156">
        <f t="shared" si="69"/>
        <v>0.99999999999999978</v>
      </c>
      <c r="S108" s="156">
        <f t="shared" si="69"/>
        <v>1</v>
      </c>
      <c r="T108" s="156">
        <f t="shared" si="69"/>
        <v>0.99999999999999989</v>
      </c>
      <c r="U108" s="156">
        <f t="shared" si="69"/>
        <v>1</v>
      </c>
      <c r="V108" s="156">
        <f t="shared" si="69"/>
        <v>0.99999999999999989</v>
      </c>
      <c r="W108" s="164"/>
    </row>
    <row r="109" spans="1:23">
      <c r="A109" s="164"/>
      <c r="B109" s="159"/>
      <c r="C109" s="159"/>
      <c r="D109" s="159"/>
      <c r="E109" s="159"/>
      <c r="F109" s="159"/>
      <c r="G109" s="159"/>
      <c r="H109" s="159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64"/>
    </row>
    <row r="110" spans="1:23">
      <c r="A110" s="168" t="s">
        <v>206</v>
      </c>
      <c r="B110" s="159"/>
      <c r="C110" s="159"/>
      <c r="D110" s="159"/>
      <c r="E110" s="159"/>
      <c r="F110" s="159"/>
      <c r="G110" s="159"/>
      <c r="H110" s="159"/>
      <c r="I110" s="159"/>
      <c r="J110" s="159"/>
      <c r="K110" s="159"/>
      <c r="L110" s="159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64"/>
    </row>
    <row r="111" spans="1:23">
      <c r="A111" s="165" t="s">
        <v>190</v>
      </c>
      <c r="B111" s="176"/>
      <c r="C111" s="176">
        <v>50.276172119999998</v>
      </c>
      <c r="D111" s="176">
        <v>49.292064809999999</v>
      </c>
      <c r="E111" s="176">
        <v>48.871634270000001</v>
      </c>
      <c r="F111" s="176">
        <v>48.114296760000002</v>
      </c>
      <c r="G111" s="176">
        <v>48.06361708</v>
      </c>
      <c r="H111" s="176">
        <v>47.985188090000001</v>
      </c>
      <c r="I111" s="176">
        <v>47.92342798</v>
      </c>
      <c r="J111" s="176">
        <v>47.851334469999998</v>
      </c>
      <c r="K111" s="176">
        <v>47.800795440000002</v>
      </c>
      <c r="L111" s="176">
        <v>47.727659449999997</v>
      </c>
      <c r="M111" s="176">
        <v>47.627052849999998</v>
      </c>
      <c r="N111" s="176">
        <v>47.543011270000001</v>
      </c>
      <c r="O111" s="176">
        <v>47.51406309</v>
      </c>
      <c r="P111" s="176">
        <v>47.472470049999998</v>
      </c>
      <c r="Q111" s="176">
        <v>48.311608300000003</v>
      </c>
      <c r="R111" s="176">
        <v>48.278161849999996</v>
      </c>
      <c r="S111" s="176">
        <v>48.241320610000002</v>
      </c>
      <c r="T111" s="176">
        <v>48.23143288</v>
      </c>
      <c r="U111" s="176">
        <v>48.193177519999999</v>
      </c>
      <c r="V111" s="176">
        <v>48.112318119999998</v>
      </c>
      <c r="W111" s="164"/>
    </row>
    <row r="112" spans="1:23">
      <c r="A112" s="165" t="s">
        <v>191</v>
      </c>
      <c r="B112" s="176"/>
      <c r="C112" s="176">
        <v>41.817346350000001</v>
      </c>
      <c r="D112" s="176">
        <v>41.748309280000001</v>
      </c>
      <c r="E112" s="176">
        <v>41.724420000000002</v>
      </c>
      <c r="F112" s="176">
        <v>41.790971169999999</v>
      </c>
      <c r="G112" s="176">
        <v>41.746887319999999</v>
      </c>
      <c r="H112" s="176">
        <v>41.739237850000002</v>
      </c>
      <c r="I112" s="176">
        <v>41.750481800000003</v>
      </c>
      <c r="J112" s="176">
        <v>41.745338220000001</v>
      </c>
      <c r="K112" s="176">
        <v>41.759888549999999</v>
      </c>
      <c r="L112" s="176">
        <v>41.834905370000001</v>
      </c>
      <c r="M112" s="176">
        <v>41.87551191</v>
      </c>
      <c r="N112" s="176">
        <v>41.835226169999999</v>
      </c>
      <c r="O112" s="176">
        <v>41.857962829999998</v>
      </c>
      <c r="P112" s="176">
        <v>41.819254440000002</v>
      </c>
      <c r="Q112" s="176">
        <v>42.662712560000003</v>
      </c>
      <c r="R112" s="176">
        <v>42.681394259999998</v>
      </c>
      <c r="S112" s="176">
        <v>42.643273039999997</v>
      </c>
      <c r="T112" s="176">
        <v>42.634758580000003</v>
      </c>
      <c r="U112" s="176">
        <v>42.626866929999998</v>
      </c>
      <c r="V112" s="176">
        <v>42.619629170000003</v>
      </c>
      <c r="W112" s="164"/>
    </row>
    <row r="113" spans="1:23">
      <c r="A113" s="165" t="s">
        <v>192</v>
      </c>
      <c r="B113" s="176"/>
      <c r="C113" s="176">
        <v>41.817346350000001</v>
      </c>
      <c r="D113" s="176">
        <v>41.748309280000001</v>
      </c>
      <c r="E113" s="176">
        <v>41.724420000000002</v>
      </c>
      <c r="F113" s="176">
        <v>41.790971169999999</v>
      </c>
      <c r="G113" s="176">
        <v>41.746887319999999</v>
      </c>
      <c r="H113" s="176">
        <v>41.739237850000002</v>
      </c>
      <c r="I113" s="176">
        <v>41.750481800000003</v>
      </c>
      <c r="J113" s="176">
        <v>41.745338220000001</v>
      </c>
      <c r="K113" s="176">
        <v>41.759888549999999</v>
      </c>
      <c r="L113" s="176">
        <v>41.834905370000001</v>
      </c>
      <c r="M113" s="176">
        <v>41.87551191</v>
      </c>
      <c r="N113" s="176">
        <v>41.835226169999999</v>
      </c>
      <c r="O113" s="176">
        <v>41.857962829999998</v>
      </c>
      <c r="P113" s="176">
        <v>41.819254440000002</v>
      </c>
      <c r="Q113" s="176">
        <v>42.662712560000003</v>
      </c>
      <c r="R113" s="176">
        <v>42.681394259999998</v>
      </c>
      <c r="S113" s="176">
        <v>42.643273039999997</v>
      </c>
      <c r="T113" s="176">
        <v>42.634758580000003</v>
      </c>
      <c r="U113" s="176">
        <v>42.626866929999998</v>
      </c>
      <c r="V113" s="176">
        <v>42.619629170000003</v>
      </c>
      <c r="W113" s="164"/>
    </row>
    <row r="114" spans="1:23">
      <c r="A114" s="165" t="s">
        <v>193</v>
      </c>
      <c r="B114" s="176"/>
      <c r="C114" s="176">
        <v>45.644802769999998</v>
      </c>
      <c r="D114" s="176">
        <v>45.906999220000003</v>
      </c>
      <c r="E114" s="176">
        <v>45.99268799</v>
      </c>
      <c r="F114" s="176">
        <v>46.152457849999998</v>
      </c>
      <c r="G114" s="176">
        <v>46.158718229999998</v>
      </c>
      <c r="H114" s="176">
        <v>46.17733114</v>
      </c>
      <c r="I114" s="176">
        <v>46.215252710000001</v>
      </c>
      <c r="J114" s="176">
        <v>46.195517700000003</v>
      </c>
      <c r="K114" s="176">
        <v>46.225966669999998</v>
      </c>
      <c r="L114" s="176">
        <v>46.245486280000001</v>
      </c>
      <c r="M114" s="176">
        <v>46.286573279999999</v>
      </c>
      <c r="N114" s="176">
        <v>46.314709980000003</v>
      </c>
      <c r="O114" s="176">
        <v>46.347454259999999</v>
      </c>
      <c r="P114" s="176">
        <v>46.364830099999999</v>
      </c>
      <c r="Q114" s="176">
        <v>47.220839869999999</v>
      </c>
      <c r="R114" s="176">
        <v>47.235548139999999</v>
      </c>
      <c r="S114" s="176">
        <v>47.271625739999998</v>
      </c>
      <c r="T114" s="176">
        <v>47.3161731</v>
      </c>
      <c r="U114" s="176">
        <v>47.346890139999999</v>
      </c>
      <c r="V114" s="176">
        <v>47.344748350000003</v>
      </c>
      <c r="W114" s="164"/>
    </row>
    <row r="115" spans="1:23">
      <c r="A115" s="165" t="s">
        <v>194</v>
      </c>
      <c r="B115" s="176"/>
      <c r="C115" s="176">
        <v>58.689083459999999</v>
      </c>
      <c r="D115" s="176">
        <v>58.100821000000003</v>
      </c>
      <c r="E115" s="176">
        <v>57.461687830000002</v>
      </c>
      <c r="F115" s="176">
        <v>57.919345980000003</v>
      </c>
      <c r="G115" s="176">
        <v>53.610625630000001</v>
      </c>
      <c r="H115" s="176">
        <v>56.393782999999999</v>
      </c>
      <c r="I115" s="176">
        <v>58.915942250000001</v>
      </c>
      <c r="J115" s="176">
        <v>59.030088880000001</v>
      </c>
      <c r="K115" s="176">
        <v>58.185289750000003</v>
      </c>
      <c r="L115" s="176">
        <v>58.186107210000003</v>
      </c>
      <c r="M115" s="176">
        <v>57.018796610000003</v>
      </c>
      <c r="N115" s="176">
        <v>56.019390420000001</v>
      </c>
      <c r="O115" s="176">
        <v>54.785273279999998</v>
      </c>
      <c r="P115" s="176">
        <v>56.348211910000003</v>
      </c>
      <c r="Q115" s="176">
        <v>59.278648250000003</v>
      </c>
      <c r="R115" s="176">
        <v>60.213965199999997</v>
      </c>
      <c r="S115" s="176">
        <v>60.133431620000003</v>
      </c>
      <c r="T115" s="176">
        <v>60.237749559999997</v>
      </c>
      <c r="U115" s="176">
        <v>57.747255699999997</v>
      </c>
      <c r="V115" s="176">
        <v>57.120286929999999</v>
      </c>
      <c r="W115" s="164"/>
    </row>
    <row r="116" spans="1:23">
      <c r="A116" s="165" t="s">
        <v>195</v>
      </c>
      <c r="B116" s="176">
        <v>119.6982624</v>
      </c>
      <c r="C116" s="176">
        <v>109.2786763</v>
      </c>
      <c r="D116" s="176">
        <v>107.4110546</v>
      </c>
      <c r="E116" s="176">
        <v>105.2136455</v>
      </c>
      <c r="F116" s="176">
        <v>106.4071165</v>
      </c>
      <c r="G116" s="176">
        <v>94.655896670000004</v>
      </c>
      <c r="H116" s="176">
        <v>102.64554800000001</v>
      </c>
      <c r="I116" s="176">
        <v>109.4849347</v>
      </c>
      <c r="J116" s="176">
        <v>109.5895077</v>
      </c>
      <c r="K116" s="176">
        <v>107.21891189999999</v>
      </c>
      <c r="L116" s="176">
        <v>107.1349637</v>
      </c>
      <c r="M116" s="176">
        <v>104.3683817</v>
      </c>
      <c r="N116" s="176">
        <v>101.02728279999999</v>
      </c>
      <c r="O116" s="176">
        <v>97.5558604</v>
      </c>
      <c r="P116" s="176">
        <v>102.08996550000001</v>
      </c>
      <c r="Q116" s="176">
        <v>107.58108249999999</v>
      </c>
      <c r="R116" s="176">
        <v>110.5573703</v>
      </c>
      <c r="S116" s="176">
        <v>110.1751727</v>
      </c>
      <c r="T116" s="176">
        <v>110.4394211</v>
      </c>
      <c r="U116" s="176">
        <v>104.0923138</v>
      </c>
      <c r="V116" s="176">
        <v>102.5254025</v>
      </c>
      <c r="W116" s="164"/>
    </row>
    <row r="117" spans="1:23">
      <c r="A117" s="165" t="s">
        <v>196</v>
      </c>
      <c r="B117" s="176">
        <v>200.74960490000001</v>
      </c>
      <c r="C117" s="176">
        <v>177.48117289999999</v>
      </c>
      <c r="D117" s="176">
        <v>170.2370583</v>
      </c>
      <c r="E117" s="176">
        <v>165.2013354</v>
      </c>
      <c r="F117" s="176">
        <v>168.53742829999999</v>
      </c>
      <c r="G117" s="176">
        <v>139.3279043</v>
      </c>
      <c r="H117" s="176">
        <v>159.35017020000001</v>
      </c>
      <c r="I117" s="176">
        <v>178.5405433</v>
      </c>
      <c r="J117" s="176">
        <v>178.80340810000001</v>
      </c>
      <c r="K117" s="176">
        <v>170.34071489999999</v>
      </c>
      <c r="L117" s="176">
        <v>170.04549890000001</v>
      </c>
      <c r="M117" s="176">
        <v>163.52485100000001</v>
      </c>
      <c r="N117" s="176">
        <v>155.51577209999999</v>
      </c>
      <c r="O117" s="176">
        <v>145.99592559999999</v>
      </c>
      <c r="P117" s="176">
        <v>158.10978119999999</v>
      </c>
      <c r="Q117" s="176">
        <v>171.14359540000001</v>
      </c>
      <c r="R117" s="176">
        <v>180.9578376</v>
      </c>
      <c r="S117" s="176">
        <v>180.10846520000001</v>
      </c>
      <c r="T117" s="176">
        <v>180.73672049999999</v>
      </c>
      <c r="U117" s="176">
        <v>162.35939680000001</v>
      </c>
      <c r="V117" s="176">
        <v>157.5536275</v>
      </c>
      <c r="W117" s="164"/>
    </row>
    <row r="118" spans="1:23">
      <c r="A118" s="165" t="s">
        <v>197</v>
      </c>
      <c r="B118" s="176">
        <v>200.74960490000001</v>
      </c>
      <c r="C118" s="176">
        <v>177.48117289999999</v>
      </c>
      <c r="D118" s="176">
        <v>170.2370583</v>
      </c>
      <c r="E118" s="176">
        <v>165.2013354</v>
      </c>
      <c r="F118" s="176">
        <v>168.53742829999999</v>
      </c>
      <c r="G118" s="176">
        <v>139.3279043</v>
      </c>
      <c r="H118" s="176">
        <v>159.35017020000001</v>
      </c>
      <c r="I118" s="176">
        <v>178.5405433</v>
      </c>
      <c r="J118" s="176">
        <v>178.80340810000001</v>
      </c>
      <c r="K118" s="176">
        <v>170.34071489999999</v>
      </c>
      <c r="L118" s="176">
        <v>170.04549890000001</v>
      </c>
      <c r="M118" s="176">
        <v>163.52485100000001</v>
      </c>
      <c r="N118" s="176">
        <v>155.51577209999999</v>
      </c>
      <c r="O118" s="176">
        <v>145.99592559999999</v>
      </c>
      <c r="P118" s="176">
        <v>158.10978119999999</v>
      </c>
      <c r="Q118" s="176">
        <v>171.14359540000001</v>
      </c>
      <c r="R118" s="176">
        <v>180.9578376</v>
      </c>
      <c r="S118" s="176">
        <v>180.10846520000001</v>
      </c>
      <c r="T118" s="176">
        <v>180.73672049999999</v>
      </c>
      <c r="U118" s="176">
        <v>162.35939680000001</v>
      </c>
      <c r="V118" s="176">
        <v>157.5536275</v>
      </c>
      <c r="W118" s="164"/>
    </row>
    <row r="119" spans="1:23">
      <c r="A119" s="165" t="s">
        <v>198</v>
      </c>
      <c r="B119" s="176">
        <v>65.474885459999996</v>
      </c>
      <c r="C119" s="176">
        <v>58.689083459999999</v>
      </c>
      <c r="D119" s="176">
        <v>58.100821000000003</v>
      </c>
      <c r="E119" s="176">
        <v>57.461687830000002</v>
      </c>
      <c r="F119" s="176">
        <v>57.919345980000003</v>
      </c>
      <c r="G119" s="176">
        <v>53.610625630000001</v>
      </c>
      <c r="H119" s="176">
        <v>56.393782999999999</v>
      </c>
      <c r="I119" s="176">
        <v>58.915942250000001</v>
      </c>
      <c r="J119" s="176">
        <v>59.030088880000001</v>
      </c>
      <c r="K119" s="176">
        <v>58.185289750000003</v>
      </c>
      <c r="L119" s="176">
        <v>58.186107210000003</v>
      </c>
      <c r="M119" s="176">
        <v>57.018796610000003</v>
      </c>
      <c r="N119" s="176">
        <v>56.019390420000001</v>
      </c>
      <c r="O119" s="176">
        <v>54.785273279999998</v>
      </c>
      <c r="P119" s="176">
        <v>56.348211910000003</v>
      </c>
      <c r="Q119" s="176">
        <v>59.278648250000003</v>
      </c>
      <c r="R119" s="176">
        <v>60.213965199999997</v>
      </c>
      <c r="S119" s="176">
        <v>60.133431620000003</v>
      </c>
      <c r="T119" s="176">
        <v>60.237749559999997</v>
      </c>
      <c r="U119" s="176">
        <v>57.747255699999997</v>
      </c>
      <c r="V119" s="176">
        <v>57.120286929999999</v>
      </c>
      <c r="W119" s="164"/>
    </row>
    <row r="120" spans="1:23">
      <c r="A120" s="165" t="s">
        <v>199</v>
      </c>
      <c r="B120" s="176">
        <v>52.66540105</v>
      </c>
      <c r="C120" s="176">
        <v>45.789530360000001</v>
      </c>
      <c r="D120" s="176">
        <v>46.577470480000002</v>
      </c>
      <c r="E120" s="176">
        <v>47.031459339999998</v>
      </c>
      <c r="F120" s="176">
        <v>47.742775229999999</v>
      </c>
      <c r="G120" s="176">
        <v>47.844415580000003</v>
      </c>
      <c r="H120" s="176">
        <v>47.893237370000001</v>
      </c>
      <c r="I120" s="176">
        <v>47.945772689999998</v>
      </c>
      <c r="J120" s="176">
        <v>48.051463550000001</v>
      </c>
      <c r="K120" s="176">
        <v>48.074641470000003</v>
      </c>
      <c r="L120" s="176">
        <v>48.125682779999998</v>
      </c>
      <c r="M120" s="176">
        <v>48.206387999999997</v>
      </c>
      <c r="N120" s="176">
        <v>48.172355099999997</v>
      </c>
      <c r="O120" s="176">
        <v>48.179096860000001</v>
      </c>
      <c r="P120" s="176">
        <v>48.214159109999997</v>
      </c>
      <c r="Q120" s="176">
        <v>49.610740900000003</v>
      </c>
      <c r="R120" s="176">
        <v>49.635343859999999</v>
      </c>
      <c r="S120" s="176">
        <v>49.71153984</v>
      </c>
      <c r="T120" s="176">
        <v>49.706975929999999</v>
      </c>
      <c r="U120" s="176">
        <v>49.720502250000003</v>
      </c>
      <c r="V120" s="176">
        <v>49.735560960000001</v>
      </c>
      <c r="W120" s="164"/>
    </row>
    <row r="121" spans="1:23">
      <c r="A121" s="165" t="s">
        <v>200</v>
      </c>
      <c r="B121" s="176">
        <v>53.728532940000001</v>
      </c>
      <c r="C121" s="176">
        <v>49.629084890000001</v>
      </c>
      <c r="D121" s="176">
        <v>49.842813739999997</v>
      </c>
      <c r="E121" s="176">
        <v>50.00419986</v>
      </c>
      <c r="F121" s="176">
        <v>50.15598731</v>
      </c>
      <c r="G121" s="176">
        <v>50.177827559999997</v>
      </c>
      <c r="H121" s="176">
        <v>50.220165530000003</v>
      </c>
      <c r="I121" s="176">
        <v>50.242813720000001</v>
      </c>
      <c r="J121" s="176">
        <v>50.286237190000001</v>
      </c>
      <c r="K121" s="176">
        <v>50.299502140000001</v>
      </c>
      <c r="L121" s="176">
        <v>50.292528799999999</v>
      </c>
      <c r="M121" s="176">
        <v>50.32686254</v>
      </c>
      <c r="N121" s="176">
        <v>50.320336650000002</v>
      </c>
      <c r="O121" s="176">
        <v>50.344943149999999</v>
      </c>
      <c r="P121" s="176">
        <v>50.359455420000003</v>
      </c>
      <c r="Q121" s="176">
        <v>51.339711940000001</v>
      </c>
      <c r="R121" s="176">
        <v>51.334918649999999</v>
      </c>
      <c r="S121" s="176">
        <v>51.330231499999996</v>
      </c>
      <c r="T121" s="176">
        <v>51.336928190000002</v>
      </c>
      <c r="U121" s="176">
        <v>51.332499489999996</v>
      </c>
      <c r="V121" s="176">
        <v>51.362057149999998</v>
      </c>
      <c r="W121" s="164"/>
    </row>
    <row r="122" spans="1:23">
      <c r="A122" s="165" t="s">
        <v>201</v>
      </c>
      <c r="B122" s="176">
        <v>53.728532940000001</v>
      </c>
      <c r="C122" s="176">
        <v>49.629084890000001</v>
      </c>
      <c r="D122" s="176">
        <v>49.842813739999997</v>
      </c>
      <c r="E122" s="176">
        <v>50.00419986</v>
      </c>
      <c r="F122" s="176">
        <v>50.15598731</v>
      </c>
      <c r="G122" s="176">
        <v>50.177827559999997</v>
      </c>
      <c r="H122" s="176">
        <v>50.220165530000003</v>
      </c>
      <c r="I122" s="176">
        <v>50.242813720000001</v>
      </c>
      <c r="J122" s="176">
        <v>50.286237190000001</v>
      </c>
      <c r="K122" s="176">
        <v>50.299502140000001</v>
      </c>
      <c r="L122" s="176">
        <v>50.292528799999999</v>
      </c>
      <c r="M122" s="176">
        <v>50.32686254</v>
      </c>
      <c r="N122" s="176">
        <v>50.320336650000002</v>
      </c>
      <c r="O122" s="176">
        <v>50.344943149999999</v>
      </c>
      <c r="P122" s="176">
        <v>50.359455420000003</v>
      </c>
      <c r="Q122" s="176">
        <v>51.339711940000001</v>
      </c>
      <c r="R122" s="176">
        <v>51.334918649999999</v>
      </c>
      <c r="S122" s="176">
        <v>51.330231499999996</v>
      </c>
      <c r="T122" s="176">
        <v>51.336928190000002</v>
      </c>
      <c r="U122" s="176">
        <v>51.332499489999996</v>
      </c>
      <c r="V122" s="176">
        <v>51.362057149999998</v>
      </c>
      <c r="W122" s="164"/>
    </row>
    <row r="123" spans="1:23">
      <c r="A123" s="164"/>
      <c r="B123" s="160"/>
      <c r="W123" s="164"/>
    </row>
    <row r="124" spans="1:23">
      <c r="A124" s="168" t="s">
        <v>203</v>
      </c>
      <c r="B124" s="160"/>
      <c r="W124" s="164"/>
    </row>
    <row r="125" spans="1:23">
      <c r="A125" s="165" t="str">
        <f t="shared" ref="A125:A136" si="70">A111</f>
        <v>January</v>
      </c>
      <c r="B125" s="176"/>
      <c r="C125" s="176">
        <v>3.8354166699999999</v>
      </c>
      <c r="D125" s="176">
        <v>3.8354166699999999</v>
      </c>
      <c r="E125" s="176">
        <v>3.8354166699999999</v>
      </c>
      <c r="F125" s="176">
        <v>3.8354166699999999</v>
      </c>
      <c r="G125" s="176">
        <v>3.8354166699999999</v>
      </c>
      <c r="H125" s="176">
        <v>3.8354166699999999</v>
      </c>
      <c r="I125" s="176">
        <v>3.8354166699999999</v>
      </c>
      <c r="J125" s="176">
        <v>3.8354166699999999</v>
      </c>
      <c r="K125" s="176">
        <v>3.8354166699999999</v>
      </c>
      <c r="L125" s="176">
        <v>3.8354166699999999</v>
      </c>
      <c r="M125" s="176">
        <v>3.8354166699999999</v>
      </c>
      <c r="N125" s="176">
        <v>3.8354166699999999</v>
      </c>
      <c r="O125" s="176">
        <v>3.8354166699999999</v>
      </c>
      <c r="P125" s="176">
        <v>3.8354166699999999</v>
      </c>
      <c r="Q125" s="176">
        <v>3.9375</v>
      </c>
      <c r="R125" s="176">
        <v>3.9375</v>
      </c>
      <c r="S125" s="176">
        <v>3.9375</v>
      </c>
      <c r="T125" s="176">
        <v>3.9375</v>
      </c>
      <c r="U125" s="176">
        <v>3.9375</v>
      </c>
      <c r="V125" s="176">
        <v>3.9375</v>
      </c>
      <c r="W125" s="164"/>
    </row>
    <row r="126" spans="1:23">
      <c r="A126" s="165" t="str">
        <f t="shared" si="70"/>
        <v>February</v>
      </c>
      <c r="B126" s="176"/>
      <c r="C126" s="176">
        <v>3.8354166699999999</v>
      </c>
      <c r="D126" s="176">
        <v>3.8354166699999999</v>
      </c>
      <c r="E126" s="176">
        <v>3.8354166699999999</v>
      </c>
      <c r="F126" s="176">
        <v>3.8354166699999999</v>
      </c>
      <c r="G126" s="176">
        <v>3.8354166699999999</v>
      </c>
      <c r="H126" s="176">
        <v>3.8354166699999999</v>
      </c>
      <c r="I126" s="176">
        <v>3.8354166699999999</v>
      </c>
      <c r="J126" s="176">
        <v>3.8354166699999999</v>
      </c>
      <c r="K126" s="176">
        <v>3.8354166699999999</v>
      </c>
      <c r="L126" s="176">
        <v>3.8354166699999999</v>
      </c>
      <c r="M126" s="176">
        <v>3.8354166699999999</v>
      </c>
      <c r="N126" s="176">
        <v>3.8354166699999999</v>
      </c>
      <c r="O126" s="176">
        <v>3.8354166699999999</v>
      </c>
      <c r="P126" s="176">
        <v>3.8354166699999999</v>
      </c>
      <c r="Q126" s="176">
        <v>3.9375</v>
      </c>
      <c r="R126" s="176">
        <v>3.9375</v>
      </c>
      <c r="S126" s="176">
        <v>3.9375</v>
      </c>
      <c r="T126" s="176">
        <v>3.9375</v>
      </c>
      <c r="U126" s="176">
        <v>3.9375</v>
      </c>
      <c r="V126" s="176">
        <v>3.9375</v>
      </c>
      <c r="W126" s="164"/>
    </row>
    <row r="127" spans="1:23">
      <c r="A127" s="165" t="str">
        <f t="shared" si="70"/>
        <v>March</v>
      </c>
      <c r="B127" s="176"/>
      <c r="C127" s="176">
        <v>3.8354166699999999</v>
      </c>
      <c r="D127" s="176">
        <v>3.8354166699999999</v>
      </c>
      <c r="E127" s="176">
        <v>3.8354166699999999</v>
      </c>
      <c r="F127" s="176">
        <v>3.8354166699999999</v>
      </c>
      <c r="G127" s="176">
        <v>3.8354166699999999</v>
      </c>
      <c r="H127" s="176">
        <v>3.8354166699999999</v>
      </c>
      <c r="I127" s="176">
        <v>3.8354166699999999</v>
      </c>
      <c r="J127" s="176">
        <v>3.8354166699999999</v>
      </c>
      <c r="K127" s="176">
        <v>3.8354166699999999</v>
      </c>
      <c r="L127" s="176">
        <v>3.8354166699999999</v>
      </c>
      <c r="M127" s="176">
        <v>3.8354166699999999</v>
      </c>
      <c r="N127" s="176">
        <v>3.8354166699999999</v>
      </c>
      <c r="O127" s="176">
        <v>3.8354166699999999</v>
      </c>
      <c r="P127" s="176">
        <v>3.8354166699999999</v>
      </c>
      <c r="Q127" s="176">
        <v>3.9375</v>
      </c>
      <c r="R127" s="176">
        <v>3.9375</v>
      </c>
      <c r="S127" s="176">
        <v>3.9375</v>
      </c>
      <c r="T127" s="176">
        <v>3.9375</v>
      </c>
      <c r="U127" s="176">
        <v>3.9375</v>
      </c>
      <c r="V127" s="176">
        <v>3.9375</v>
      </c>
      <c r="W127" s="164"/>
    </row>
    <row r="128" spans="1:23">
      <c r="A128" s="165" t="str">
        <f t="shared" si="70"/>
        <v>April</v>
      </c>
      <c r="B128" s="176"/>
      <c r="C128" s="176">
        <v>3.98020833</v>
      </c>
      <c r="D128" s="176">
        <v>3.98020833</v>
      </c>
      <c r="E128" s="176">
        <v>3.98020833</v>
      </c>
      <c r="F128" s="176">
        <v>3.98020833</v>
      </c>
      <c r="G128" s="176">
        <v>3.98020833</v>
      </c>
      <c r="H128" s="176">
        <v>3.98020833</v>
      </c>
      <c r="I128" s="176">
        <v>3.98020833</v>
      </c>
      <c r="J128" s="176">
        <v>3.98020833</v>
      </c>
      <c r="K128" s="176">
        <v>3.98020833</v>
      </c>
      <c r="L128" s="176">
        <v>3.98020833</v>
      </c>
      <c r="M128" s="176">
        <v>3.98020833</v>
      </c>
      <c r="N128" s="176">
        <v>3.98020833</v>
      </c>
      <c r="O128" s="176">
        <v>3.98020833</v>
      </c>
      <c r="P128" s="176">
        <v>3.98020833</v>
      </c>
      <c r="Q128" s="176">
        <v>4.08229167</v>
      </c>
      <c r="R128" s="176">
        <v>4.08229167</v>
      </c>
      <c r="S128" s="176">
        <v>4.08229167</v>
      </c>
      <c r="T128" s="176">
        <v>4.08229167</v>
      </c>
      <c r="U128" s="176">
        <v>4.08229167</v>
      </c>
      <c r="V128" s="176">
        <v>4.08229167</v>
      </c>
      <c r="W128" s="164"/>
    </row>
    <row r="129" spans="1:256">
      <c r="A129" s="165" t="str">
        <f t="shared" si="70"/>
        <v>May</v>
      </c>
      <c r="B129" s="176"/>
      <c r="C129" s="176">
        <v>3.8177083299999999</v>
      </c>
      <c r="D129" s="176">
        <v>3.8177083299999999</v>
      </c>
      <c r="E129" s="176">
        <v>3.8177083299999999</v>
      </c>
      <c r="F129" s="176">
        <v>3.8177083299999999</v>
      </c>
      <c r="G129" s="176">
        <v>3.8177083299999999</v>
      </c>
      <c r="H129" s="176">
        <v>3.8177083299999999</v>
      </c>
      <c r="I129" s="176">
        <v>3.8177083299999999</v>
      </c>
      <c r="J129" s="176">
        <v>3.8177083299999999</v>
      </c>
      <c r="K129" s="176">
        <v>3.8177083299999999</v>
      </c>
      <c r="L129" s="176">
        <v>3.8177083299999999</v>
      </c>
      <c r="M129" s="176">
        <v>3.8177083299999999</v>
      </c>
      <c r="N129" s="176">
        <v>3.8177083299999999</v>
      </c>
      <c r="O129" s="176">
        <v>3.8177083299999999</v>
      </c>
      <c r="P129" s="176">
        <v>3.8177083299999999</v>
      </c>
      <c r="Q129" s="176">
        <v>3.91979167</v>
      </c>
      <c r="R129" s="176">
        <v>3.91979167</v>
      </c>
      <c r="S129" s="176">
        <v>3.91979167</v>
      </c>
      <c r="T129" s="176">
        <v>3.91979167</v>
      </c>
      <c r="U129" s="176">
        <v>3.91979167</v>
      </c>
      <c r="V129" s="176">
        <v>3.91979167</v>
      </c>
      <c r="W129" s="164"/>
    </row>
    <row r="130" spans="1:256">
      <c r="A130" s="165" t="str">
        <f t="shared" si="70"/>
        <v>June</v>
      </c>
      <c r="B130" s="176">
        <v>4.2322916700000004</v>
      </c>
      <c r="C130" s="176">
        <v>3.8093750000000002</v>
      </c>
      <c r="D130" s="176">
        <v>3.8093750000000002</v>
      </c>
      <c r="E130" s="176">
        <v>3.8093750000000002</v>
      </c>
      <c r="F130" s="176">
        <v>3.8093750000000002</v>
      </c>
      <c r="G130" s="176">
        <v>3.8093750000000002</v>
      </c>
      <c r="H130" s="176">
        <v>3.8093750000000002</v>
      </c>
      <c r="I130" s="176">
        <v>3.8093750000000002</v>
      </c>
      <c r="J130" s="176">
        <v>3.8093750000000002</v>
      </c>
      <c r="K130" s="176">
        <v>3.8093750000000002</v>
      </c>
      <c r="L130" s="176">
        <v>3.8093750000000002</v>
      </c>
      <c r="M130" s="176">
        <v>3.8093750000000002</v>
      </c>
      <c r="N130" s="176">
        <v>3.8093750000000002</v>
      </c>
      <c r="O130" s="176">
        <v>3.8093750000000002</v>
      </c>
      <c r="P130" s="176">
        <v>3.8093750000000002</v>
      </c>
      <c r="Q130" s="176">
        <v>3.9125000000000001</v>
      </c>
      <c r="R130" s="176">
        <v>3.9125000000000001</v>
      </c>
      <c r="S130" s="176">
        <v>3.9125000000000001</v>
      </c>
      <c r="T130" s="176">
        <v>3.9125000000000001</v>
      </c>
      <c r="U130" s="176">
        <v>3.9125000000000001</v>
      </c>
      <c r="V130" s="176">
        <v>3.9125000000000001</v>
      </c>
      <c r="W130" s="164"/>
    </row>
    <row r="131" spans="1:256">
      <c r="A131" s="165" t="str">
        <f t="shared" si="70"/>
        <v>July</v>
      </c>
      <c r="B131" s="176">
        <v>4.1906249999999998</v>
      </c>
      <c r="C131" s="176">
        <v>3.7718750000000001</v>
      </c>
      <c r="D131" s="176">
        <v>3.7718750000000001</v>
      </c>
      <c r="E131" s="176">
        <v>3.7718750000000001</v>
      </c>
      <c r="F131" s="176">
        <v>3.7718750000000001</v>
      </c>
      <c r="G131" s="176">
        <v>3.7718750000000001</v>
      </c>
      <c r="H131" s="176">
        <v>3.7718750000000001</v>
      </c>
      <c r="I131" s="176">
        <v>3.7718750000000001</v>
      </c>
      <c r="J131" s="176">
        <v>3.7718750000000001</v>
      </c>
      <c r="K131" s="176">
        <v>3.7718750000000001</v>
      </c>
      <c r="L131" s="176">
        <v>3.7718750000000001</v>
      </c>
      <c r="M131" s="176">
        <v>3.7718750000000001</v>
      </c>
      <c r="N131" s="176">
        <v>3.7718750000000001</v>
      </c>
      <c r="O131" s="176">
        <v>3.7718750000000001</v>
      </c>
      <c r="P131" s="176">
        <v>3.7718750000000001</v>
      </c>
      <c r="Q131" s="176">
        <v>3.8739583299999998</v>
      </c>
      <c r="R131" s="176">
        <v>3.8739583299999998</v>
      </c>
      <c r="S131" s="176">
        <v>3.8739583299999998</v>
      </c>
      <c r="T131" s="176">
        <v>3.8739583299999998</v>
      </c>
      <c r="U131" s="176">
        <v>3.8739583299999998</v>
      </c>
      <c r="V131" s="176">
        <v>3.8739583299999998</v>
      </c>
      <c r="W131" s="164"/>
    </row>
    <row r="132" spans="1:256">
      <c r="A132" s="165" t="str">
        <f t="shared" si="70"/>
        <v>August</v>
      </c>
      <c r="B132" s="176">
        <v>4.1906249999999998</v>
      </c>
      <c r="C132" s="176">
        <v>3.7718750000000001</v>
      </c>
      <c r="D132" s="176">
        <v>3.7718750000000001</v>
      </c>
      <c r="E132" s="176">
        <v>3.7718750000000001</v>
      </c>
      <c r="F132" s="176">
        <v>3.7718750000000001</v>
      </c>
      <c r="G132" s="176">
        <v>3.7718750000000001</v>
      </c>
      <c r="H132" s="176">
        <v>3.7718750000000001</v>
      </c>
      <c r="I132" s="176">
        <v>3.7718750000000001</v>
      </c>
      <c r="J132" s="176">
        <v>3.7718750000000001</v>
      </c>
      <c r="K132" s="176">
        <v>3.7718750000000001</v>
      </c>
      <c r="L132" s="176">
        <v>3.7718750000000001</v>
      </c>
      <c r="M132" s="176">
        <v>3.7718750000000001</v>
      </c>
      <c r="N132" s="176">
        <v>3.7718750000000001</v>
      </c>
      <c r="O132" s="176">
        <v>3.7718750000000001</v>
      </c>
      <c r="P132" s="176">
        <v>3.7718750000000001</v>
      </c>
      <c r="Q132" s="176">
        <v>3.8739583299999998</v>
      </c>
      <c r="R132" s="176">
        <v>3.8739583299999998</v>
      </c>
      <c r="S132" s="176">
        <v>3.8739583299999998</v>
      </c>
      <c r="T132" s="176">
        <v>3.8739583299999998</v>
      </c>
      <c r="U132" s="176">
        <v>3.8739583299999998</v>
      </c>
      <c r="V132" s="176">
        <v>3.8739583299999998</v>
      </c>
      <c r="W132" s="164"/>
    </row>
    <row r="133" spans="1:256">
      <c r="A133" s="165" t="str">
        <f t="shared" si="70"/>
        <v>September</v>
      </c>
      <c r="B133" s="176">
        <v>4.2416666699999999</v>
      </c>
      <c r="C133" s="176">
        <v>3.8177083299999999</v>
      </c>
      <c r="D133" s="176">
        <v>3.8177083299999999</v>
      </c>
      <c r="E133" s="176">
        <v>3.8177083299999999</v>
      </c>
      <c r="F133" s="176">
        <v>3.8177083299999999</v>
      </c>
      <c r="G133" s="176">
        <v>3.8177083299999999</v>
      </c>
      <c r="H133" s="176">
        <v>3.8177083299999999</v>
      </c>
      <c r="I133" s="176">
        <v>3.8177083299999999</v>
      </c>
      <c r="J133" s="176">
        <v>3.8177083299999999</v>
      </c>
      <c r="K133" s="176">
        <v>3.8177083299999999</v>
      </c>
      <c r="L133" s="176">
        <v>3.8177083299999999</v>
      </c>
      <c r="M133" s="176">
        <v>3.8177083299999999</v>
      </c>
      <c r="N133" s="176">
        <v>3.8177083299999999</v>
      </c>
      <c r="O133" s="176">
        <v>3.8177083299999999</v>
      </c>
      <c r="P133" s="176">
        <v>3.8177083299999999</v>
      </c>
      <c r="Q133" s="176">
        <v>3.91979167</v>
      </c>
      <c r="R133" s="176">
        <v>3.91979167</v>
      </c>
      <c r="S133" s="176">
        <v>3.91979167</v>
      </c>
      <c r="T133" s="176">
        <v>3.91979167</v>
      </c>
      <c r="U133" s="176">
        <v>3.91979167</v>
      </c>
      <c r="V133" s="176">
        <v>3.91979167</v>
      </c>
      <c r="W133" s="164"/>
    </row>
    <row r="134" spans="1:256">
      <c r="A134" s="165" t="str">
        <f t="shared" si="70"/>
        <v>October</v>
      </c>
      <c r="B134" s="176">
        <v>4.1968750000000004</v>
      </c>
      <c r="C134" s="176">
        <v>3.7781250000000002</v>
      </c>
      <c r="D134" s="176">
        <v>3.7781250000000002</v>
      </c>
      <c r="E134" s="176">
        <v>3.7781250000000002</v>
      </c>
      <c r="F134" s="176">
        <v>3.7781250000000002</v>
      </c>
      <c r="G134" s="176">
        <v>3.7781250000000002</v>
      </c>
      <c r="H134" s="176">
        <v>3.7781250000000002</v>
      </c>
      <c r="I134" s="176">
        <v>3.7781250000000002</v>
      </c>
      <c r="J134" s="176">
        <v>3.7781250000000002</v>
      </c>
      <c r="K134" s="176">
        <v>3.7781250000000002</v>
      </c>
      <c r="L134" s="176">
        <v>3.7781250000000002</v>
      </c>
      <c r="M134" s="176">
        <v>3.7781250000000002</v>
      </c>
      <c r="N134" s="176">
        <v>3.7781250000000002</v>
      </c>
      <c r="O134" s="176">
        <v>3.7781250000000002</v>
      </c>
      <c r="P134" s="176">
        <v>3.7781250000000002</v>
      </c>
      <c r="Q134" s="176">
        <v>3.8802083299999999</v>
      </c>
      <c r="R134" s="176">
        <v>3.8802083299999999</v>
      </c>
      <c r="S134" s="176">
        <v>3.8802083299999999</v>
      </c>
      <c r="T134" s="176">
        <v>3.8802083299999999</v>
      </c>
      <c r="U134" s="176">
        <v>3.8802083299999999</v>
      </c>
      <c r="V134" s="176">
        <v>3.8802083299999999</v>
      </c>
      <c r="W134" s="164"/>
    </row>
    <row r="135" spans="1:256">
      <c r="A135" s="165" t="str">
        <f t="shared" si="70"/>
        <v>November</v>
      </c>
      <c r="B135" s="176">
        <v>4.1968750000000004</v>
      </c>
      <c r="C135" s="176">
        <v>3.7781250000000002</v>
      </c>
      <c r="D135" s="176">
        <v>3.7781250000000002</v>
      </c>
      <c r="E135" s="176">
        <v>3.7781250000000002</v>
      </c>
      <c r="F135" s="176">
        <v>3.7781250000000002</v>
      </c>
      <c r="G135" s="176">
        <v>3.7781250000000002</v>
      </c>
      <c r="H135" s="176">
        <v>3.7781250000000002</v>
      </c>
      <c r="I135" s="176">
        <v>3.7781250000000002</v>
      </c>
      <c r="J135" s="176">
        <v>3.7781250000000002</v>
      </c>
      <c r="K135" s="176">
        <v>3.7781250000000002</v>
      </c>
      <c r="L135" s="176">
        <v>3.7781250000000002</v>
      </c>
      <c r="M135" s="176">
        <v>3.7781250000000002</v>
      </c>
      <c r="N135" s="176">
        <v>3.7781250000000002</v>
      </c>
      <c r="O135" s="176">
        <v>3.7781250000000002</v>
      </c>
      <c r="P135" s="176">
        <v>3.7781250000000002</v>
      </c>
      <c r="Q135" s="176">
        <v>3.8802083299999999</v>
      </c>
      <c r="R135" s="176">
        <v>3.8802083299999999</v>
      </c>
      <c r="S135" s="176">
        <v>3.8802083299999999</v>
      </c>
      <c r="T135" s="176">
        <v>3.8802083299999999</v>
      </c>
      <c r="U135" s="176">
        <v>3.8802083299999999</v>
      </c>
      <c r="V135" s="176">
        <v>3.8802083299999999</v>
      </c>
      <c r="W135" s="164"/>
    </row>
    <row r="136" spans="1:256">
      <c r="A136" s="165" t="str">
        <f t="shared" si="70"/>
        <v>December</v>
      </c>
      <c r="B136" s="176">
        <v>4.1968750000000004</v>
      </c>
      <c r="C136" s="176">
        <v>3.7781250000000002</v>
      </c>
      <c r="D136" s="176">
        <v>3.7781250000000002</v>
      </c>
      <c r="E136" s="176">
        <v>3.7781250000000002</v>
      </c>
      <c r="F136" s="176">
        <v>3.7781250000000002</v>
      </c>
      <c r="G136" s="176">
        <v>3.7781250000000002</v>
      </c>
      <c r="H136" s="176">
        <v>3.7781250000000002</v>
      </c>
      <c r="I136" s="176">
        <v>3.7781250000000002</v>
      </c>
      <c r="J136" s="176">
        <v>3.7781250000000002</v>
      </c>
      <c r="K136" s="176">
        <v>3.7781250000000002</v>
      </c>
      <c r="L136" s="176">
        <v>3.7781250000000002</v>
      </c>
      <c r="M136" s="176">
        <v>3.7781250000000002</v>
      </c>
      <c r="N136" s="176">
        <v>3.7781250000000002</v>
      </c>
      <c r="O136" s="176">
        <v>3.7781250000000002</v>
      </c>
      <c r="P136" s="176">
        <v>3.7781250000000002</v>
      </c>
      <c r="Q136" s="176">
        <v>3.8802083299999999</v>
      </c>
      <c r="R136" s="176">
        <v>3.8802083299999999</v>
      </c>
      <c r="S136" s="176">
        <v>3.8802083299999999</v>
      </c>
      <c r="T136" s="176">
        <v>3.8802083299999999</v>
      </c>
      <c r="U136" s="176">
        <v>3.8802083299999999</v>
      </c>
      <c r="V136" s="176">
        <v>3.8802083299999999</v>
      </c>
      <c r="W136" s="164"/>
    </row>
    <row r="137" spans="1:256">
      <c r="A137" s="174"/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</row>
    <row r="138" spans="1:256">
      <c r="A138" s="161" t="str">
        <f t="shared" ref="A138:V138" si="71">A75</f>
        <v>Production</v>
      </c>
      <c r="B138" s="181">
        <f t="shared" si="71"/>
        <v>2000</v>
      </c>
      <c r="C138" s="181">
        <f t="shared" si="71"/>
        <v>2001</v>
      </c>
      <c r="D138" s="181">
        <f t="shared" si="71"/>
        <v>2002</v>
      </c>
      <c r="E138" s="181">
        <f t="shared" si="71"/>
        <v>2003</v>
      </c>
      <c r="F138" s="181">
        <f t="shared" si="71"/>
        <v>2004</v>
      </c>
      <c r="G138" s="181">
        <f t="shared" si="71"/>
        <v>2005</v>
      </c>
      <c r="H138" s="181">
        <f t="shared" si="71"/>
        <v>2006</v>
      </c>
      <c r="I138" s="181">
        <f t="shared" si="71"/>
        <v>2007</v>
      </c>
      <c r="J138" s="181">
        <f t="shared" si="71"/>
        <v>2008</v>
      </c>
      <c r="K138" s="181">
        <f t="shared" si="71"/>
        <v>2009</v>
      </c>
      <c r="L138" s="181">
        <f t="shared" si="71"/>
        <v>2010</v>
      </c>
      <c r="M138" s="181">
        <f t="shared" si="71"/>
        <v>2011</v>
      </c>
      <c r="N138" s="181">
        <f t="shared" si="71"/>
        <v>2012</v>
      </c>
      <c r="O138" s="181">
        <f t="shared" si="71"/>
        <v>2013</v>
      </c>
      <c r="P138" s="181">
        <f t="shared" si="71"/>
        <v>2014</v>
      </c>
      <c r="Q138" s="181">
        <f t="shared" si="71"/>
        <v>2015</v>
      </c>
      <c r="R138" s="181">
        <f t="shared" si="71"/>
        <v>2016</v>
      </c>
      <c r="S138" s="181">
        <f t="shared" si="71"/>
        <v>2017</v>
      </c>
      <c r="T138" s="181">
        <f t="shared" si="71"/>
        <v>2018</v>
      </c>
      <c r="U138" s="181">
        <f t="shared" si="71"/>
        <v>2019</v>
      </c>
      <c r="V138" s="181">
        <f t="shared" si="71"/>
        <v>2020</v>
      </c>
      <c r="W138" s="164"/>
    </row>
    <row r="139" spans="1:256">
      <c r="A139" s="161" t="s">
        <v>207</v>
      </c>
      <c r="B139" s="175"/>
      <c r="C139" s="175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82"/>
      <c r="V139" s="182"/>
      <c r="W139" s="164"/>
    </row>
    <row r="140" spans="1:256">
      <c r="A140" s="165" t="str">
        <f>A77</f>
        <v>Capacity</v>
      </c>
      <c r="B140" s="176">
        <v>32.812510000000003</v>
      </c>
      <c r="C140" s="176">
        <v>31.111129999999999</v>
      </c>
      <c r="D140" s="176">
        <v>25.538270000000001</v>
      </c>
      <c r="E140" s="176">
        <v>25.46857</v>
      </c>
      <c r="F140" s="176">
        <v>25.351939999999999</v>
      </c>
      <c r="G140" s="176">
        <v>12.154159999999999</v>
      </c>
      <c r="H140" s="176">
        <v>18.060839999999999</v>
      </c>
      <c r="I140" s="176">
        <v>27.914159999999999</v>
      </c>
      <c r="J140" s="176">
        <v>27.796990000000001</v>
      </c>
      <c r="K140" s="176">
        <v>25.556239999999999</v>
      </c>
      <c r="L140" s="176">
        <v>25.416550000000001</v>
      </c>
      <c r="M140" s="176">
        <v>23.419550000000001</v>
      </c>
      <c r="N140" s="176">
        <v>22.265709999999999</v>
      </c>
      <c r="O140" s="176">
        <v>19.858149999999998</v>
      </c>
      <c r="P140" s="176">
        <v>22.840589999999999</v>
      </c>
      <c r="Q140" s="176">
        <v>25.544560000000001</v>
      </c>
      <c r="R140" s="176">
        <v>28.09806</v>
      </c>
      <c r="S140" s="176">
        <v>27.572479999999999</v>
      </c>
      <c r="T140" s="176">
        <v>27.781569999999999</v>
      </c>
      <c r="U140" s="176">
        <v>22.889769999999999</v>
      </c>
      <c r="V140" s="176">
        <v>21.64611</v>
      </c>
      <c r="W140" s="177"/>
      <c r="X140" s="154"/>
      <c r="Y140" s="154"/>
      <c r="Z140" s="154"/>
      <c r="AA140" s="154"/>
      <c r="AB140" s="154"/>
      <c r="AC140" s="154"/>
      <c r="AD140" s="154"/>
      <c r="AE140" s="154"/>
      <c r="AF140" s="154"/>
      <c r="AG140" s="154"/>
      <c r="AH140" s="154"/>
      <c r="AI140" s="154"/>
      <c r="AJ140" s="154"/>
      <c r="AK140" s="154"/>
      <c r="AL140" s="154"/>
      <c r="AM140" s="154"/>
      <c r="AN140" s="154"/>
      <c r="AO140" s="154"/>
      <c r="AP140" s="154"/>
      <c r="AQ140" s="154"/>
      <c r="AR140" s="154"/>
      <c r="AS140" s="154"/>
      <c r="AT140" s="154"/>
      <c r="AU140" s="154"/>
      <c r="AV140" s="154"/>
      <c r="AW140" s="154"/>
      <c r="AX140" s="154"/>
      <c r="AY140" s="154"/>
      <c r="AZ140" s="154"/>
      <c r="BA140" s="154"/>
      <c r="BB140" s="154"/>
      <c r="BC140" s="154"/>
      <c r="BD140" s="154"/>
      <c r="BE140" s="154"/>
      <c r="BF140" s="154"/>
      <c r="BG140" s="154"/>
      <c r="BH140" s="154"/>
      <c r="BI140" s="154"/>
      <c r="BJ140" s="154"/>
      <c r="BK140" s="154"/>
      <c r="BL140" s="154"/>
      <c r="BM140" s="154"/>
      <c r="BN140" s="154"/>
      <c r="BO140" s="154"/>
      <c r="BP140" s="154"/>
      <c r="BQ140" s="154"/>
      <c r="BR140" s="154"/>
      <c r="BS140" s="154"/>
      <c r="BT140" s="154"/>
      <c r="BU140" s="154"/>
      <c r="BV140" s="154"/>
      <c r="BW140" s="154"/>
      <c r="BX140" s="154"/>
      <c r="BY140" s="154"/>
      <c r="BZ140" s="154"/>
      <c r="CA140" s="154"/>
      <c r="CB140" s="154"/>
      <c r="CC140" s="154"/>
      <c r="CD140" s="154"/>
      <c r="CE140" s="154"/>
      <c r="CF140" s="154"/>
      <c r="CG140" s="154"/>
      <c r="CH140" s="154"/>
      <c r="CI140" s="154"/>
      <c r="CJ140" s="154"/>
      <c r="CK140" s="154"/>
      <c r="CL140" s="154"/>
      <c r="CM140" s="154"/>
      <c r="CN140" s="154"/>
      <c r="CO140" s="154"/>
      <c r="CP140" s="154"/>
      <c r="CQ140" s="154"/>
      <c r="CR140" s="154"/>
      <c r="CS140" s="154"/>
      <c r="CT140" s="154"/>
      <c r="CU140" s="154"/>
      <c r="CV140" s="154"/>
      <c r="CW140" s="154"/>
      <c r="CX140" s="154"/>
      <c r="CY140" s="154"/>
      <c r="CZ140" s="154"/>
      <c r="DA140" s="154"/>
      <c r="DB140" s="154"/>
      <c r="DC140" s="154"/>
      <c r="DD140" s="154"/>
      <c r="DE140" s="154"/>
      <c r="DF140" s="154"/>
      <c r="DG140" s="154"/>
      <c r="DH140" s="154"/>
      <c r="DI140" s="154"/>
      <c r="DJ140" s="154"/>
      <c r="DK140" s="154"/>
      <c r="DL140" s="154"/>
      <c r="DM140" s="154"/>
      <c r="DN140" s="154"/>
      <c r="DO140" s="154"/>
      <c r="DP140" s="154"/>
      <c r="DQ140" s="154"/>
      <c r="DR140" s="154"/>
      <c r="DS140" s="154"/>
      <c r="DT140" s="154"/>
      <c r="DU140" s="154"/>
      <c r="DV140" s="154"/>
      <c r="DW140" s="154"/>
      <c r="DX140" s="154"/>
      <c r="DY140" s="154"/>
      <c r="DZ140" s="154"/>
      <c r="EA140" s="154"/>
      <c r="EB140" s="154"/>
      <c r="EC140" s="154"/>
      <c r="ED140" s="154"/>
      <c r="EE140" s="154"/>
      <c r="EF140" s="154"/>
      <c r="EG140" s="154"/>
      <c r="EH140" s="154"/>
      <c r="EI140" s="154"/>
      <c r="EJ140" s="154"/>
      <c r="EK140" s="154"/>
      <c r="EL140" s="154"/>
      <c r="EM140" s="154"/>
      <c r="EN140" s="154"/>
      <c r="EO140" s="154"/>
      <c r="EP140" s="154"/>
      <c r="EQ140" s="154"/>
      <c r="ER140" s="154"/>
      <c r="ES140" s="154"/>
      <c r="ET140" s="154"/>
      <c r="EU140" s="154"/>
      <c r="EV140" s="154"/>
      <c r="EW140" s="154"/>
      <c r="EX140" s="154"/>
      <c r="EY140" s="154"/>
      <c r="EZ140" s="154"/>
      <c r="FA140" s="154"/>
      <c r="FB140" s="154"/>
      <c r="FC140" s="154"/>
      <c r="FD140" s="154"/>
      <c r="FE140" s="154"/>
      <c r="FF140" s="154"/>
      <c r="FG140" s="154"/>
      <c r="FH140" s="154"/>
      <c r="FI140" s="154"/>
      <c r="FJ140" s="154"/>
      <c r="FK140" s="154"/>
      <c r="FL140" s="154"/>
      <c r="FM140" s="154"/>
      <c r="FN140" s="154"/>
      <c r="FO140" s="154"/>
      <c r="FP140" s="154"/>
      <c r="FQ140" s="154"/>
      <c r="FR140" s="154"/>
      <c r="FS140" s="154"/>
      <c r="FT140" s="154"/>
      <c r="FU140" s="154"/>
      <c r="FV140" s="154"/>
      <c r="FW140" s="154"/>
      <c r="FX140" s="154"/>
      <c r="FY140" s="154"/>
      <c r="FZ140" s="154"/>
      <c r="GA140" s="154"/>
      <c r="GB140" s="154"/>
      <c r="GC140" s="154"/>
      <c r="GD140" s="154"/>
      <c r="GE140" s="154"/>
      <c r="GF140" s="154"/>
      <c r="GG140" s="154"/>
      <c r="GH140" s="154"/>
      <c r="GI140" s="154"/>
      <c r="GJ140" s="154"/>
      <c r="GK140" s="154"/>
      <c r="GL140" s="154"/>
      <c r="GM140" s="154"/>
      <c r="GN140" s="154"/>
      <c r="GO140" s="154"/>
      <c r="GP140" s="154"/>
      <c r="GQ140" s="154"/>
      <c r="GR140" s="154"/>
      <c r="GS140" s="154"/>
      <c r="GT140" s="154"/>
      <c r="GU140" s="154"/>
      <c r="GV140" s="154"/>
      <c r="GW140" s="154"/>
      <c r="GX140" s="154"/>
      <c r="GY140" s="154"/>
      <c r="GZ140" s="154"/>
      <c r="HA140" s="154"/>
      <c r="HB140" s="154"/>
      <c r="HC140" s="154"/>
      <c r="HD140" s="154"/>
      <c r="HE140" s="154"/>
      <c r="HF140" s="154"/>
      <c r="HG140" s="154"/>
      <c r="HH140" s="154"/>
      <c r="HI140" s="154"/>
      <c r="HJ140" s="154"/>
      <c r="HK140" s="154"/>
      <c r="HL140" s="154"/>
      <c r="HM140" s="154"/>
      <c r="HN140" s="154"/>
      <c r="HO140" s="154"/>
      <c r="HP140" s="154"/>
      <c r="HQ140" s="154"/>
      <c r="HR140" s="154"/>
      <c r="HS140" s="154"/>
      <c r="HT140" s="154"/>
      <c r="HU140" s="154"/>
      <c r="HV140" s="154"/>
      <c r="HW140" s="154"/>
      <c r="HX140" s="154"/>
      <c r="HY140" s="154"/>
      <c r="HZ140" s="154"/>
      <c r="IA140" s="154"/>
      <c r="IB140" s="154"/>
      <c r="IC140" s="154"/>
      <c r="ID140" s="154"/>
      <c r="IE140" s="154"/>
      <c r="IF140" s="154"/>
      <c r="IG140" s="154"/>
      <c r="IH140" s="154"/>
      <c r="II140" s="154"/>
      <c r="IJ140" s="154"/>
      <c r="IK140" s="154"/>
      <c r="IL140" s="154"/>
      <c r="IM140" s="154"/>
      <c r="IN140" s="154"/>
      <c r="IO140" s="154"/>
      <c r="IP140" s="154"/>
      <c r="IQ140" s="154"/>
      <c r="IR140" s="154"/>
      <c r="IS140" s="154"/>
      <c r="IT140" s="154"/>
      <c r="IU140" s="154"/>
      <c r="IV140" s="154"/>
    </row>
    <row r="141" spans="1:256">
      <c r="A141" s="165" t="str">
        <f>A78</f>
        <v>Net Option Premium</v>
      </c>
      <c r="B141" s="176">
        <v>30.83166688</v>
      </c>
      <c r="C141" s="176">
        <v>34.302720209999997</v>
      </c>
      <c r="D141" s="176">
        <v>32.314751950000002</v>
      </c>
      <c r="E141" s="176">
        <v>33.133835230000003</v>
      </c>
      <c r="F141" s="176">
        <v>32.351221780000003</v>
      </c>
      <c r="G141" s="176">
        <v>12.62215846</v>
      </c>
      <c r="H141" s="176">
        <v>22.843062939999999</v>
      </c>
      <c r="I141" s="176">
        <v>36.375582129999998</v>
      </c>
      <c r="J141" s="176">
        <v>35.813792149999998</v>
      </c>
      <c r="K141" s="176">
        <v>32.299639030000002</v>
      </c>
      <c r="L141" s="176">
        <v>31.908793880000001</v>
      </c>
      <c r="M141" s="176">
        <v>29.33089301</v>
      </c>
      <c r="N141" s="176">
        <v>28.757261020000001</v>
      </c>
      <c r="O141" s="176">
        <v>25.329329909999998</v>
      </c>
      <c r="P141" s="176">
        <v>29.07195776</v>
      </c>
      <c r="Q141" s="176">
        <v>33.511540949999997</v>
      </c>
      <c r="R141" s="176">
        <v>37.370814080000002</v>
      </c>
      <c r="S141" s="176">
        <v>36.830318339999998</v>
      </c>
      <c r="T141" s="176">
        <v>37.34583318</v>
      </c>
      <c r="U141" s="176">
        <v>29.636839559999999</v>
      </c>
      <c r="V141" s="176">
        <v>27.919723579999999</v>
      </c>
      <c r="W141" s="177"/>
      <c r="X141" s="154"/>
      <c r="Y141" s="154"/>
      <c r="Z141" s="154"/>
      <c r="AA141" s="154"/>
      <c r="AB141" s="154"/>
      <c r="AC141" s="154"/>
      <c r="AD141" s="154"/>
      <c r="AE141" s="154"/>
      <c r="AF141" s="154"/>
      <c r="AG141" s="154"/>
      <c r="AH141" s="154"/>
      <c r="AI141" s="154"/>
      <c r="AJ141" s="154"/>
      <c r="AK141" s="154"/>
      <c r="AL141" s="154"/>
      <c r="AM141" s="154"/>
      <c r="AN141" s="154"/>
      <c r="AO141" s="154"/>
      <c r="AP141" s="154"/>
      <c r="AQ141" s="154"/>
      <c r="AR141" s="154"/>
      <c r="AS141" s="154"/>
      <c r="AT141" s="154"/>
      <c r="AU141" s="154"/>
      <c r="AV141" s="154"/>
      <c r="AW141" s="154"/>
      <c r="AX141" s="154"/>
      <c r="AY141" s="154"/>
      <c r="AZ141" s="154"/>
      <c r="BA141" s="154"/>
      <c r="BB141" s="154"/>
      <c r="BC141" s="154"/>
      <c r="BD141" s="154"/>
      <c r="BE141" s="154"/>
      <c r="BF141" s="154"/>
      <c r="BG141" s="154"/>
      <c r="BH141" s="154"/>
      <c r="BI141" s="154"/>
      <c r="BJ141" s="154"/>
      <c r="BK141" s="154"/>
      <c r="BL141" s="154"/>
      <c r="BM141" s="154"/>
      <c r="BN141" s="154"/>
      <c r="BO141" s="154"/>
      <c r="BP141" s="154"/>
      <c r="BQ141" s="154"/>
      <c r="BR141" s="154"/>
      <c r="BS141" s="154"/>
      <c r="BT141" s="154"/>
      <c r="BU141" s="154"/>
      <c r="BV141" s="154"/>
      <c r="BW141" s="154"/>
      <c r="BX141" s="154"/>
      <c r="BY141" s="154"/>
      <c r="BZ141" s="154"/>
      <c r="CA141" s="154"/>
      <c r="CB141" s="154"/>
      <c r="CC141" s="154"/>
      <c r="CD141" s="154"/>
      <c r="CE141" s="154"/>
      <c r="CF141" s="154"/>
      <c r="CG141" s="154"/>
      <c r="CH141" s="154"/>
      <c r="CI141" s="154"/>
      <c r="CJ141" s="154"/>
      <c r="CK141" s="154"/>
      <c r="CL141" s="154"/>
      <c r="CM141" s="154"/>
      <c r="CN141" s="154"/>
      <c r="CO141" s="154"/>
      <c r="CP141" s="154"/>
      <c r="CQ141" s="154"/>
      <c r="CR141" s="154"/>
      <c r="CS141" s="154"/>
      <c r="CT141" s="154"/>
      <c r="CU141" s="154"/>
      <c r="CV141" s="154"/>
      <c r="CW141" s="154"/>
      <c r="CX141" s="154"/>
      <c r="CY141" s="154"/>
      <c r="CZ141" s="154"/>
      <c r="DA141" s="154"/>
      <c r="DB141" s="154"/>
      <c r="DC141" s="154"/>
      <c r="DD141" s="154"/>
      <c r="DE141" s="154"/>
      <c r="DF141" s="154"/>
      <c r="DG141" s="154"/>
      <c r="DH141" s="154"/>
      <c r="DI141" s="154"/>
      <c r="DJ141" s="154"/>
      <c r="DK141" s="154"/>
      <c r="DL141" s="154"/>
      <c r="DM141" s="154"/>
      <c r="DN141" s="154"/>
      <c r="DO141" s="154"/>
      <c r="DP141" s="154"/>
      <c r="DQ141" s="154"/>
      <c r="DR141" s="154"/>
      <c r="DS141" s="154"/>
      <c r="DT141" s="154"/>
      <c r="DU141" s="154"/>
      <c r="DV141" s="154"/>
      <c r="DW141" s="154"/>
      <c r="DX141" s="154"/>
      <c r="DY141" s="154"/>
      <c r="DZ141" s="154"/>
      <c r="EA141" s="154"/>
      <c r="EB141" s="154"/>
      <c r="EC141" s="154"/>
      <c r="ED141" s="154"/>
      <c r="EE141" s="154"/>
      <c r="EF141" s="154"/>
      <c r="EG141" s="154"/>
      <c r="EH141" s="154"/>
      <c r="EI141" s="154"/>
      <c r="EJ141" s="154"/>
      <c r="EK141" s="154"/>
      <c r="EL141" s="154"/>
      <c r="EM141" s="154"/>
      <c r="EN141" s="154"/>
      <c r="EO141" s="154"/>
      <c r="EP141" s="154"/>
      <c r="EQ141" s="154"/>
      <c r="ER141" s="154"/>
      <c r="ES141" s="154"/>
      <c r="ET141" s="154"/>
      <c r="EU141" s="154"/>
      <c r="EV141" s="154"/>
      <c r="EW141" s="154"/>
      <c r="EX141" s="154"/>
      <c r="EY141" s="154"/>
      <c r="EZ141" s="154"/>
      <c r="FA141" s="154"/>
      <c r="FB141" s="154"/>
      <c r="FC141" s="154"/>
      <c r="FD141" s="154"/>
      <c r="FE141" s="154"/>
      <c r="FF141" s="154"/>
      <c r="FG141" s="154"/>
      <c r="FH141" s="154"/>
      <c r="FI141" s="154"/>
      <c r="FJ141" s="154"/>
      <c r="FK141" s="154"/>
      <c r="FL141" s="154"/>
      <c r="FM141" s="154"/>
      <c r="FN141" s="154"/>
      <c r="FO141" s="154"/>
      <c r="FP141" s="154"/>
      <c r="FQ141" s="154"/>
      <c r="FR141" s="154"/>
      <c r="FS141" s="154"/>
      <c r="FT141" s="154"/>
      <c r="FU141" s="154"/>
      <c r="FV141" s="154"/>
      <c r="FW141" s="154"/>
      <c r="FX141" s="154"/>
      <c r="FY141" s="154"/>
      <c r="FZ141" s="154"/>
      <c r="GA141" s="154"/>
      <c r="GB141" s="154"/>
      <c r="GC141" s="154"/>
      <c r="GD141" s="154"/>
      <c r="GE141" s="154"/>
      <c r="GF141" s="154"/>
      <c r="GG141" s="154"/>
      <c r="GH141" s="154"/>
      <c r="GI141" s="154"/>
      <c r="GJ141" s="154"/>
      <c r="GK141" s="154"/>
      <c r="GL141" s="154"/>
      <c r="GM141" s="154"/>
      <c r="GN141" s="154"/>
      <c r="GO141" s="154"/>
      <c r="GP141" s="154"/>
      <c r="GQ141" s="154"/>
      <c r="GR141" s="154"/>
      <c r="GS141" s="154"/>
      <c r="GT141" s="154"/>
      <c r="GU141" s="154"/>
      <c r="GV141" s="154"/>
      <c r="GW141" s="154"/>
      <c r="GX141" s="154"/>
      <c r="GY141" s="154"/>
      <c r="GZ141" s="154"/>
      <c r="HA141" s="154"/>
      <c r="HB141" s="154"/>
      <c r="HC141" s="154"/>
      <c r="HD141" s="154"/>
      <c r="HE141" s="154"/>
      <c r="HF141" s="154"/>
      <c r="HG141" s="154"/>
      <c r="HH141" s="154"/>
      <c r="HI141" s="154"/>
      <c r="HJ141" s="154"/>
      <c r="HK141" s="154"/>
      <c r="HL141" s="154"/>
      <c r="HM141" s="154"/>
      <c r="HN141" s="154"/>
      <c r="HO141" s="154"/>
      <c r="HP141" s="154"/>
      <c r="HQ141" s="154"/>
      <c r="HR141" s="154"/>
      <c r="HS141" s="154"/>
      <c r="HT141" s="154"/>
      <c r="HU141" s="154"/>
      <c r="HV141" s="154"/>
      <c r="HW141" s="154"/>
      <c r="HX141" s="154"/>
      <c r="HY141" s="154"/>
      <c r="HZ141" s="154"/>
      <c r="IA141" s="154"/>
      <c r="IB141" s="154"/>
      <c r="IC141" s="154"/>
      <c r="ID141" s="154"/>
      <c r="IE141" s="154"/>
      <c r="IF141" s="154"/>
      <c r="IG141" s="154"/>
      <c r="IH141" s="154"/>
      <c r="II141" s="154"/>
      <c r="IJ141" s="154"/>
      <c r="IK141" s="154"/>
      <c r="IL141" s="154"/>
      <c r="IM141" s="154"/>
      <c r="IN141" s="154"/>
      <c r="IO141" s="154"/>
      <c r="IP141" s="154"/>
      <c r="IQ141" s="154"/>
      <c r="IR141" s="154"/>
      <c r="IS141" s="154"/>
      <c r="IT141" s="154"/>
      <c r="IU141" s="154"/>
      <c r="IV141" s="154"/>
    </row>
    <row r="142" spans="1:256">
      <c r="A142" s="165" t="str">
        <f>A79</f>
        <v>Capacity Factor</v>
      </c>
      <c r="B142" s="178">
        <f>B156/(45*3*8760*Tariff!C7/12)</f>
        <v>8.4333260853808809E-2</v>
      </c>
      <c r="C142" s="178">
        <f>C156/(45*7*8760*Tariff!D7/12)</f>
        <v>7.1671559034572729E-2</v>
      </c>
      <c r="D142" s="178">
        <f>D156/(45*7*8760*Tariff!E7/12)</f>
        <v>7.7850366021598907E-2</v>
      </c>
      <c r="E142" s="178">
        <f>E156/(45*7*8760*Tariff!F7/12)</f>
        <v>8.0304124084945985E-2</v>
      </c>
      <c r="F142" s="178">
        <f>F156/(45*7*8760*Tariff!G7/12)</f>
        <v>7.6373958106834811E-2</v>
      </c>
      <c r="G142" s="178">
        <f>G156/(45*7*8760*Tariff!H7/12)</f>
        <v>6.7822715082989066E-2</v>
      </c>
      <c r="H142" s="178">
        <f>H156/(45*7*8760*Tariff!I7/12)</f>
        <v>7.2443719649199101E-2</v>
      </c>
      <c r="I142" s="178">
        <f>I156/(45*7*8760*Tariff!J7/12)</f>
        <v>7.6775857070377609E-2</v>
      </c>
      <c r="J142" s="178">
        <f>J156/(45*7*8760*Tariff!K7/12)</f>
        <v>7.6182575922301959E-2</v>
      </c>
      <c r="K142" s="178">
        <f>K156/(45*7*8760*Tariff!L7/12)</f>
        <v>7.4945894034935137E-2</v>
      </c>
      <c r="L142" s="178">
        <f>L156/(45*7*8760*Tariff!M7/12)</f>
        <v>7.4352685366384008E-2</v>
      </c>
      <c r="M142" s="178">
        <f>M156/(45*7*8760*Tariff!N7/12)</f>
        <v>7.3303326810176123E-2</v>
      </c>
      <c r="N142" s="178">
        <f>N156/(45*7*8760*Tariff!O7/12)</f>
        <v>7.5416648546785522E-2</v>
      </c>
      <c r="O142" s="178">
        <f>O156/(45*7*8760*Tariff!P7/12)</f>
        <v>7.4076103500761034E-2</v>
      </c>
      <c r="P142" s="178">
        <f>P156/(45*7*8760*Tariff!Q7/12)</f>
        <v>7.4974559686888445E-2</v>
      </c>
      <c r="Q142" s="178">
        <f>Q156/(45*7*8760*Tariff!R7/12)</f>
        <v>7.2875298978038711E-2</v>
      </c>
      <c r="R142" s="178">
        <f>R156/(45*7*8760*Tariff!S7/12)</f>
        <v>7.3557258824382132E-2</v>
      </c>
      <c r="S142" s="178">
        <f>S156/(45*7*8760*Tariff!T7/12)</f>
        <v>7.3116075958541707E-2</v>
      </c>
      <c r="T142" s="178">
        <f>T156/(45*7*8760*Tariff!U7/12)</f>
        <v>7.3267087047908963E-2</v>
      </c>
      <c r="U142" s="178">
        <f>U156/(45*7*8760*Tariff!V7/12)</f>
        <v>7.0830579111401032E-2</v>
      </c>
      <c r="V142" s="178"/>
      <c r="W142" s="165"/>
      <c r="X142" s="160"/>
      <c r="Y142" s="160"/>
      <c r="Z142" s="160"/>
      <c r="AA142" s="160"/>
      <c r="AB142" s="160"/>
      <c r="AC142" s="160"/>
      <c r="AD142" s="160"/>
      <c r="AE142" s="160"/>
      <c r="AF142" s="154"/>
      <c r="AG142" s="154"/>
      <c r="AH142" s="154"/>
      <c r="AI142" s="154"/>
      <c r="AJ142" s="154"/>
      <c r="AK142" s="154"/>
      <c r="AL142" s="154"/>
      <c r="AM142" s="154"/>
      <c r="AN142" s="154"/>
      <c r="AO142" s="154"/>
      <c r="AP142" s="154"/>
      <c r="AQ142" s="154"/>
      <c r="AR142" s="154"/>
      <c r="AS142" s="154"/>
      <c r="AT142" s="154"/>
      <c r="AU142" s="154"/>
      <c r="AV142" s="154"/>
      <c r="AW142" s="154"/>
      <c r="AX142" s="154"/>
      <c r="AY142" s="154"/>
      <c r="AZ142" s="154"/>
      <c r="BA142" s="154"/>
      <c r="BB142" s="154"/>
      <c r="BC142" s="154"/>
      <c r="BD142" s="154"/>
      <c r="BE142" s="154"/>
      <c r="BF142" s="154"/>
      <c r="BG142" s="154"/>
      <c r="BH142" s="154"/>
      <c r="BI142" s="154"/>
      <c r="BJ142" s="154"/>
      <c r="BK142" s="154"/>
      <c r="BL142" s="154"/>
      <c r="BM142" s="154"/>
      <c r="BN142" s="154"/>
      <c r="BO142" s="154"/>
      <c r="BP142" s="154"/>
      <c r="BQ142" s="154"/>
      <c r="BR142" s="154"/>
      <c r="BS142" s="154"/>
      <c r="BT142" s="154"/>
      <c r="BU142" s="154"/>
      <c r="BV142" s="154"/>
      <c r="BW142" s="154"/>
      <c r="BX142" s="154"/>
      <c r="BY142" s="154"/>
      <c r="BZ142" s="154"/>
      <c r="CA142" s="154"/>
      <c r="CB142" s="154"/>
      <c r="CC142" s="154"/>
      <c r="CD142" s="154"/>
      <c r="CE142" s="154"/>
      <c r="CF142" s="154"/>
      <c r="CG142" s="154"/>
      <c r="CH142" s="154"/>
      <c r="CI142" s="154"/>
      <c r="CJ142" s="154"/>
      <c r="CK142" s="154"/>
      <c r="CL142" s="154"/>
      <c r="CM142" s="154"/>
      <c r="CN142" s="154"/>
      <c r="CO142" s="154"/>
      <c r="CP142" s="154"/>
      <c r="CQ142" s="154"/>
      <c r="CR142" s="154"/>
      <c r="CS142" s="154"/>
      <c r="CT142" s="154"/>
      <c r="CU142" s="154"/>
      <c r="CV142" s="154"/>
      <c r="CW142" s="154"/>
      <c r="CX142" s="154"/>
      <c r="CY142" s="154"/>
      <c r="CZ142" s="154"/>
      <c r="DA142" s="154"/>
      <c r="DB142" s="154"/>
      <c r="DC142" s="154"/>
      <c r="DD142" s="154"/>
      <c r="DE142" s="154"/>
      <c r="DF142" s="154"/>
      <c r="DG142" s="154"/>
      <c r="DH142" s="154"/>
      <c r="DI142" s="154"/>
      <c r="DJ142" s="154"/>
      <c r="DK142" s="154"/>
      <c r="DL142" s="154"/>
      <c r="DM142" s="154"/>
      <c r="DN142" s="154"/>
      <c r="DO142" s="154"/>
      <c r="DP142" s="154"/>
      <c r="DQ142" s="154"/>
      <c r="DR142" s="154"/>
      <c r="DS142" s="154"/>
      <c r="DT142" s="154"/>
      <c r="DU142" s="154"/>
      <c r="DV142" s="154"/>
      <c r="DW142" s="154"/>
      <c r="DX142" s="154"/>
      <c r="DY142" s="154"/>
      <c r="DZ142" s="154"/>
      <c r="EA142" s="154"/>
      <c r="EB142" s="154"/>
      <c r="EC142" s="154"/>
      <c r="ED142" s="154"/>
      <c r="EE142" s="154"/>
      <c r="EF142" s="154"/>
      <c r="EG142" s="154"/>
      <c r="EH142" s="154"/>
      <c r="EI142" s="154"/>
      <c r="EJ142" s="154"/>
      <c r="EK142" s="154"/>
      <c r="EL142" s="154"/>
      <c r="EM142" s="154"/>
      <c r="EN142" s="154"/>
      <c r="EO142" s="154"/>
      <c r="EP142" s="154"/>
      <c r="EQ142" s="154"/>
      <c r="ER142" s="154"/>
      <c r="ES142" s="154"/>
      <c r="ET142" s="154"/>
      <c r="EU142" s="154"/>
      <c r="EV142" s="154"/>
      <c r="EW142" s="154"/>
      <c r="EX142" s="154"/>
      <c r="EY142" s="154"/>
      <c r="EZ142" s="154"/>
      <c r="FA142" s="154"/>
      <c r="FB142" s="154"/>
      <c r="FC142" s="154"/>
      <c r="FD142" s="154"/>
      <c r="FE142" s="154"/>
      <c r="FF142" s="154"/>
      <c r="FG142" s="154"/>
      <c r="FH142" s="154"/>
      <c r="FI142" s="154"/>
      <c r="FJ142" s="154"/>
      <c r="FK142" s="154"/>
      <c r="FL142" s="154"/>
      <c r="FM142" s="154"/>
      <c r="FN142" s="154"/>
      <c r="FO142" s="154"/>
      <c r="FP142" s="154"/>
      <c r="FQ142" s="154"/>
      <c r="FR142" s="154"/>
      <c r="FS142" s="154"/>
      <c r="FT142" s="154"/>
      <c r="FU142" s="154"/>
      <c r="FV142" s="154"/>
      <c r="FW142" s="154"/>
      <c r="FX142" s="154"/>
      <c r="FY142" s="154"/>
      <c r="FZ142" s="154"/>
      <c r="GA142" s="154"/>
      <c r="GB142" s="154"/>
      <c r="GC142" s="154"/>
      <c r="GD142" s="154"/>
      <c r="GE142" s="154"/>
      <c r="GF142" s="154"/>
      <c r="GG142" s="154"/>
      <c r="GH142" s="154"/>
      <c r="GI142" s="154"/>
      <c r="GJ142" s="154"/>
      <c r="GK142" s="154"/>
      <c r="GL142" s="154"/>
      <c r="GM142" s="154"/>
      <c r="GN142" s="154"/>
      <c r="GO142" s="154"/>
      <c r="GP142" s="154"/>
      <c r="GQ142" s="154"/>
      <c r="GR142" s="154"/>
      <c r="GS142" s="154"/>
      <c r="GT142" s="154"/>
      <c r="GU142" s="154"/>
      <c r="GV142" s="154"/>
      <c r="GW142" s="154"/>
      <c r="GX142" s="154"/>
      <c r="GY142" s="154"/>
      <c r="GZ142" s="154"/>
      <c r="HA142" s="154"/>
      <c r="HB142" s="154"/>
      <c r="HC142" s="154"/>
      <c r="HD142" s="154"/>
      <c r="HE142" s="154"/>
      <c r="HF142" s="154"/>
      <c r="HG142" s="154"/>
      <c r="HH142" s="154"/>
      <c r="HI142" s="154"/>
      <c r="HJ142" s="154"/>
      <c r="HK142" s="154"/>
      <c r="HL142" s="154"/>
      <c r="HM142" s="154"/>
      <c r="HN142" s="154"/>
      <c r="HO142" s="154"/>
      <c r="HP142" s="154"/>
      <c r="HQ142" s="154"/>
      <c r="HR142" s="154"/>
      <c r="HS142" s="154"/>
      <c r="HT142" s="154"/>
      <c r="HU142" s="154"/>
      <c r="HV142" s="154"/>
      <c r="HW142" s="154"/>
      <c r="HX142" s="154"/>
      <c r="HY142" s="154"/>
      <c r="HZ142" s="154"/>
      <c r="IA142" s="154"/>
      <c r="IB142" s="154"/>
      <c r="IC142" s="154"/>
      <c r="ID142" s="154"/>
      <c r="IE142" s="154"/>
      <c r="IF142" s="154"/>
      <c r="IG142" s="154"/>
      <c r="IH142" s="154"/>
      <c r="II142" s="154"/>
      <c r="IJ142" s="154"/>
      <c r="IK142" s="154"/>
      <c r="IL142" s="154"/>
      <c r="IM142" s="154"/>
      <c r="IN142" s="154"/>
      <c r="IO142" s="154"/>
      <c r="IP142" s="154"/>
      <c r="IQ142" s="154"/>
      <c r="IR142" s="154"/>
      <c r="IS142" s="154"/>
      <c r="IT142" s="154"/>
      <c r="IU142" s="154"/>
      <c r="IV142" s="154"/>
    </row>
    <row r="143" spans="1:256">
      <c r="A143" s="168"/>
      <c r="U143" s="180"/>
      <c r="V143" s="180"/>
      <c r="W143" s="164"/>
    </row>
    <row r="144" spans="1:256">
      <c r="A144" s="165" t="str">
        <f t="shared" ref="A144:A155" si="72">A81</f>
        <v>January</v>
      </c>
      <c r="B144" s="183">
        <v>0</v>
      </c>
      <c r="C144" s="183">
        <v>9084.7999999999993</v>
      </c>
      <c r="D144" s="183">
        <v>20329.2</v>
      </c>
      <c r="E144" s="183">
        <v>19893.7</v>
      </c>
      <c r="F144" s="183">
        <v>17826.400000000001</v>
      </c>
      <c r="G144" s="183">
        <v>16876.099999999999</v>
      </c>
      <c r="H144" s="183">
        <v>17589.8</v>
      </c>
      <c r="I144" s="183">
        <v>18265.599999999999</v>
      </c>
      <c r="J144" s="183">
        <v>18166.599999999999</v>
      </c>
      <c r="K144" s="183">
        <v>17244.2</v>
      </c>
      <c r="L144" s="183">
        <v>16379.1</v>
      </c>
      <c r="M144" s="183">
        <v>16351.9</v>
      </c>
      <c r="N144" s="183">
        <v>17073.8</v>
      </c>
      <c r="O144" s="183">
        <v>17681.599999999999</v>
      </c>
      <c r="P144" s="183">
        <v>17543.099999999999</v>
      </c>
      <c r="Q144" s="183">
        <v>14834.8</v>
      </c>
      <c r="R144" s="183">
        <v>14029.5</v>
      </c>
      <c r="S144" s="183">
        <v>14569.8</v>
      </c>
      <c r="T144" s="183">
        <v>15053.9</v>
      </c>
      <c r="U144" s="183">
        <v>14930.2</v>
      </c>
      <c r="V144" s="183">
        <v>14885.6</v>
      </c>
      <c r="W144" s="164"/>
    </row>
    <row r="145" spans="1:23">
      <c r="A145" s="165" t="str">
        <f t="shared" si="72"/>
        <v>February</v>
      </c>
      <c r="B145" s="183">
        <v>0</v>
      </c>
      <c r="C145" s="183">
        <v>468.6</v>
      </c>
      <c r="D145" s="183">
        <v>939.5</v>
      </c>
      <c r="E145" s="183">
        <v>882.2</v>
      </c>
      <c r="F145" s="183">
        <v>772.5</v>
      </c>
      <c r="G145" s="183">
        <v>772.5</v>
      </c>
      <c r="H145" s="183">
        <v>763.3</v>
      </c>
      <c r="I145" s="183">
        <v>732</v>
      </c>
      <c r="J145" s="183">
        <v>722.9</v>
      </c>
      <c r="K145" s="183">
        <v>709.4</v>
      </c>
      <c r="L145" s="183">
        <v>698.5</v>
      </c>
      <c r="M145" s="183">
        <v>680</v>
      </c>
      <c r="N145" s="183">
        <v>680</v>
      </c>
      <c r="O145" s="183">
        <v>635.20000000000005</v>
      </c>
      <c r="P145" s="183">
        <v>635.20000000000005</v>
      </c>
      <c r="Q145" s="183">
        <v>456.4</v>
      </c>
      <c r="R145" s="183">
        <v>468.6</v>
      </c>
      <c r="S145" s="183">
        <v>458</v>
      </c>
      <c r="T145" s="183">
        <v>442.8</v>
      </c>
      <c r="U145" s="183">
        <v>427.8</v>
      </c>
      <c r="V145" s="183">
        <v>433.8</v>
      </c>
      <c r="W145" s="164"/>
    </row>
    <row r="146" spans="1:23">
      <c r="A146" s="165" t="str">
        <f t="shared" si="72"/>
        <v>March</v>
      </c>
      <c r="B146" s="183">
        <v>0</v>
      </c>
      <c r="C146" s="183">
        <v>468.6</v>
      </c>
      <c r="D146" s="183">
        <v>939.5</v>
      </c>
      <c r="E146" s="183">
        <v>882.2</v>
      </c>
      <c r="F146" s="183">
        <v>772.5</v>
      </c>
      <c r="G146" s="183">
        <v>772.5</v>
      </c>
      <c r="H146" s="183">
        <v>763.3</v>
      </c>
      <c r="I146" s="183">
        <v>732</v>
      </c>
      <c r="J146" s="183">
        <v>722.9</v>
      </c>
      <c r="K146" s="183">
        <v>709.4</v>
      </c>
      <c r="L146" s="183">
        <v>698.5</v>
      </c>
      <c r="M146" s="183">
        <v>680</v>
      </c>
      <c r="N146" s="183">
        <v>680</v>
      </c>
      <c r="O146" s="183">
        <v>635.20000000000005</v>
      </c>
      <c r="P146" s="183">
        <v>635.20000000000005</v>
      </c>
      <c r="Q146" s="183">
        <v>456.4</v>
      </c>
      <c r="R146" s="183">
        <v>468.6</v>
      </c>
      <c r="S146" s="183">
        <v>458</v>
      </c>
      <c r="T146" s="183">
        <v>442.8</v>
      </c>
      <c r="U146" s="183">
        <v>427.8</v>
      </c>
      <c r="V146" s="183">
        <v>433.8</v>
      </c>
      <c r="W146" s="164"/>
    </row>
    <row r="147" spans="1:23">
      <c r="A147" s="165" t="str">
        <f t="shared" si="72"/>
        <v>April</v>
      </c>
      <c r="B147" s="183">
        <v>0</v>
      </c>
      <c r="C147" s="183">
        <v>6043</v>
      </c>
      <c r="D147" s="183">
        <v>12224.3</v>
      </c>
      <c r="E147" s="183">
        <v>11355.7</v>
      </c>
      <c r="F147" s="183">
        <v>9848.1</v>
      </c>
      <c r="G147" s="183">
        <v>9298.7999999999993</v>
      </c>
      <c r="H147" s="183">
        <v>8744.1</v>
      </c>
      <c r="I147" s="183">
        <v>9039</v>
      </c>
      <c r="J147" s="183">
        <v>9415</v>
      </c>
      <c r="K147" s="183">
        <v>9284.7999999999993</v>
      </c>
      <c r="L147" s="183">
        <v>9175.9</v>
      </c>
      <c r="M147" s="183">
        <v>8627.7999999999993</v>
      </c>
      <c r="N147" s="183">
        <v>8519.4</v>
      </c>
      <c r="O147" s="183">
        <v>8809.1</v>
      </c>
      <c r="P147" s="183">
        <v>8719.1</v>
      </c>
      <c r="Q147" s="183">
        <v>7493.2</v>
      </c>
      <c r="R147" s="183">
        <v>7089.3</v>
      </c>
      <c r="S147" s="183">
        <v>6670</v>
      </c>
      <c r="T147" s="183">
        <v>6910.8</v>
      </c>
      <c r="U147" s="183">
        <v>7161.8</v>
      </c>
      <c r="V147" s="183">
        <v>7123.9</v>
      </c>
      <c r="W147" s="164"/>
    </row>
    <row r="148" spans="1:23">
      <c r="A148" s="165" t="str">
        <f t="shared" si="72"/>
        <v>May</v>
      </c>
      <c r="B148" s="183">
        <v>0</v>
      </c>
      <c r="C148" s="183">
        <v>13691.1</v>
      </c>
      <c r="D148" s="183">
        <v>17610</v>
      </c>
      <c r="E148" s="183">
        <v>19236</v>
      </c>
      <c r="F148" s="183">
        <v>17495.400000000001</v>
      </c>
      <c r="G148" s="183">
        <v>14269.6</v>
      </c>
      <c r="H148" s="183">
        <v>16159</v>
      </c>
      <c r="I148" s="183">
        <v>17752.900000000001</v>
      </c>
      <c r="J148" s="183">
        <v>18032</v>
      </c>
      <c r="K148" s="183">
        <v>17127.3</v>
      </c>
      <c r="L148" s="183">
        <v>16950.3</v>
      </c>
      <c r="M148" s="183">
        <v>16922.599999999999</v>
      </c>
      <c r="N148" s="183">
        <v>17425</v>
      </c>
      <c r="O148" s="183">
        <v>17179.900000000001</v>
      </c>
      <c r="P148" s="183">
        <v>17727.400000000001</v>
      </c>
      <c r="Q148" s="183">
        <v>17229.900000000001</v>
      </c>
      <c r="R148" s="183">
        <v>18029.900000000001</v>
      </c>
      <c r="S148" s="183">
        <v>17840.599999999999</v>
      </c>
      <c r="T148" s="183">
        <v>17419</v>
      </c>
      <c r="U148" s="183">
        <v>16799.099999999999</v>
      </c>
      <c r="V148" s="183">
        <v>16077.4</v>
      </c>
      <c r="W148" s="164"/>
    </row>
    <row r="149" spans="1:23">
      <c r="A149" s="165" t="str">
        <f t="shared" si="72"/>
        <v>June</v>
      </c>
      <c r="B149" s="183">
        <v>12460.2</v>
      </c>
      <c r="C149" s="183">
        <v>33117.5</v>
      </c>
      <c r="D149" s="183">
        <v>29686</v>
      </c>
      <c r="E149" s="183">
        <v>32814.1</v>
      </c>
      <c r="F149" s="183">
        <v>33521.4</v>
      </c>
      <c r="G149" s="183">
        <v>27028.9</v>
      </c>
      <c r="H149" s="183">
        <v>30715.4</v>
      </c>
      <c r="I149" s="183">
        <v>32613.3</v>
      </c>
      <c r="J149" s="183">
        <v>32506.3</v>
      </c>
      <c r="K149" s="183">
        <v>33242.400000000001</v>
      </c>
      <c r="L149" s="183">
        <v>33139.5</v>
      </c>
      <c r="M149" s="183">
        <v>32336.799999999999</v>
      </c>
      <c r="N149" s="183">
        <v>31683.3</v>
      </c>
      <c r="O149" s="183">
        <v>29232.799999999999</v>
      </c>
      <c r="P149" s="183">
        <v>31713.9</v>
      </c>
      <c r="Q149" s="183">
        <v>33770.6</v>
      </c>
      <c r="R149" s="183">
        <v>34484.199999999997</v>
      </c>
      <c r="S149" s="183">
        <v>34218.9</v>
      </c>
      <c r="T149" s="183">
        <v>32746.400000000001</v>
      </c>
      <c r="U149" s="183">
        <v>29559.200000000001</v>
      </c>
      <c r="V149" s="183">
        <v>32016.6</v>
      </c>
      <c r="W149" s="164"/>
    </row>
    <row r="150" spans="1:23">
      <c r="A150" s="165" t="str">
        <f t="shared" si="72"/>
        <v>July</v>
      </c>
      <c r="B150" s="183">
        <v>19497.7</v>
      </c>
      <c r="C150" s="183">
        <v>56264.9</v>
      </c>
      <c r="D150" s="183">
        <v>53379.7</v>
      </c>
      <c r="E150" s="183">
        <v>54734.7</v>
      </c>
      <c r="F150" s="183">
        <v>52808.2</v>
      </c>
      <c r="G150" s="183">
        <v>48044.1</v>
      </c>
      <c r="H150" s="183">
        <v>51073.8</v>
      </c>
      <c r="I150" s="183">
        <v>54387.3</v>
      </c>
      <c r="J150" s="183">
        <v>53025</v>
      </c>
      <c r="K150" s="183">
        <v>52300.5</v>
      </c>
      <c r="L150" s="183">
        <v>52111.1</v>
      </c>
      <c r="M150" s="183">
        <v>51551.3</v>
      </c>
      <c r="N150" s="183">
        <v>54440.6</v>
      </c>
      <c r="O150" s="183">
        <v>53573.3</v>
      </c>
      <c r="P150" s="183">
        <v>53016.7</v>
      </c>
      <c r="Q150" s="183">
        <v>52495.3</v>
      </c>
      <c r="R150" s="183">
        <v>52937.2</v>
      </c>
      <c r="S150" s="183">
        <v>52706.6</v>
      </c>
      <c r="T150" s="183">
        <v>53921.4</v>
      </c>
      <c r="U150" s="183">
        <v>52579.8</v>
      </c>
      <c r="V150" s="183">
        <v>50873.5</v>
      </c>
      <c r="W150" s="164"/>
    </row>
    <row r="151" spans="1:23">
      <c r="A151" s="165" t="str">
        <f t="shared" si="72"/>
        <v>August</v>
      </c>
      <c r="B151" s="183">
        <v>12998.5</v>
      </c>
      <c r="C151" s="183">
        <v>37509.9</v>
      </c>
      <c r="D151" s="183">
        <v>35586.400000000001</v>
      </c>
      <c r="E151" s="183">
        <v>36489.800000000003</v>
      </c>
      <c r="F151" s="183">
        <v>35205.4</v>
      </c>
      <c r="G151" s="183">
        <v>32029.4</v>
      </c>
      <c r="H151" s="183">
        <v>34049.199999999997</v>
      </c>
      <c r="I151" s="183">
        <v>36258.199999999997</v>
      </c>
      <c r="J151" s="183">
        <v>35350</v>
      </c>
      <c r="K151" s="183">
        <v>34867</v>
      </c>
      <c r="L151" s="183">
        <v>34740.800000000003</v>
      </c>
      <c r="M151" s="183">
        <v>34367.5</v>
      </c>
      <c r="N151" s="183">
        <v>36293.699999999997</v>
      </c>
      <c r="O151" s="183">
        <v>35715.599999999999</v>
      </c>
      <c r="P151" s="183">
        <v>35344.5</v>
      </c>
      <c r="Q151" s="183">
        <v>34996.9</v>
      </c>
      <c r="R151" s="183">
        <v>35291.4</v>
      </c>
      <c r="S151" s="183">
        <v>35137.800000000003</v>
      </c>
      <c r="T151" s="183">
        <v>35947.599999999999</v>
      </c>
      <c r="U151" s="183">
        <v>35053.199999999997</v>
      </c>
      <c r="V151" s="183">
        <v>33915.599999999999</v>
      </c>
      <c r="W151" s="164"/>
    </row>
    <row r="152" spans="1:23">
      <c r="A152" s="165" t="str">
        <f t="shared" si="72"/>
        <v>September</v>
      </c>
      <c r="B152" s="183">
        <v>6632.1</v>
      </c>
      <c r="C152" s="183">
        <v>16733.5</v>
      </c>
      <c r="D152" s="183">
        <v>21523.4</v>
      </c>
      <c r="E152" s="183">
        <v>23510.7</v>
      </c>
      <c r="F152" s="183">
        <v>21383.3</v>
      </c>
      <c r="G152" s="183">
        <v>17440.599999999999</v>
      </c>
      <c r="H152" s="183">
        <v>19749.900000000001</v>
      </c>
      <c r="I152" s="183">
        <v>21698</v>
      </c>
      <c r="J152" s="183">
        <v>22039.1</v>
      </c>
      <c r="K152" s="183">
        <v>20933.400000000001</v>
      </c>
      <c r="L152" s="183">
        <v>20717.099999999999</v>
      </c>
      <c r="M152" s="183">
        <v>20683.2</v>
      </c>
      <c r="N152" s="183">
        <v>21297.3</v>
      </c>
      <c r="O152" s="183">
        <v>20997.599999999999</v>
      </c>
      <c r="P152" s="183">
        <v>21666.799999999999</v>
      </c>
      <c r="Q152" s="183">
        <v>21058.799999999999</v>
      </c>
      <c r="R152" s="183">
        <v>22036.6</v>
      </c>
      <c r="S152" s="183">
        <v>21805.1</v>
      </c>
      <c r="T152" s="183">
        <v>21289.9</v>
      </c>
      <c r="U152" s="183">
        <v>20532.2</v>
      </c>
      <c r="V152" s="183">
        <v>19650.099999999999</v>
      </c>
      <c r="W152" s="164"/>
    </row>
    <row r="153" spans="1:23">
      <c r="A153" s="165" t="str">
        <f t="shared" si="72"/>
        <v>October</v>
      </c>
      <c r="B153" s="183">
        <v>1286</v>
      </c>
      <c r="C153" s="183">
        <v>6675.8</v>
      </c>
      <c r="D153" s="183">
        <v>5389.1</v>
      </c>
      <c r="E153" s="183">
        <v>4884.3</v>
      </c>
      <c r="F153" s="183">
        <v>3781.9</v>
      </c>
      <c r="G153" s="183">
        <v>3714.1</v>
      </c>
      <c r="H153" s="183">
        <v>3843.6</v>
      </c>
      <c r="I153" s="183">
        <v>3968.8</v>
      </c>
      <c r="J153" s="183">
        <v>3899.6</v>
      </c>
      <c r="K153" s="183">
        <v>3696.9</v>
      </c>
      <c r="L153" s="183">
        <v>3488.2</v>
      </c>
      <c r="M153" s="183">
        <v>3438.5</v>
      </c>
      <c r="N153" s="183">
        <v>3756</v>
      </c>
      <c r="O153" s="183">
        <v>3731.3</v>
      </c>
      <c r="P153" s="183">
        <v>3696.7</v>
      </c>
      <c r="Q153" s="183">
        <v>3048.4</v>
      </c>
      <c r="R153" s="183">
        <v>2887.2</v>
      </c>
      <c r="S153" s="183">
        <v>2986.9</v>
      </c>
      <c r="T153" s="183">
        <v>3107.8</v>
      </c>
      <c r="U153" s="183">
        <v>3088</v>
      </c>
      <c r="V153" s="183">
        <v>2934.8</v>
      </c>
      <c r="W153" s="164"/>
    </row>
    <row r="154" spans="1:23">
      <c r="A154" s="165" t="str">
        <f t="shared" si="72"/>
        <v>November</v>
      </c>
      <c r="B154" s="183">
        <v>2651.4</v>
      </c>
      <c r="C154" s="183">
        <v>8856.4</v>
      </c>
      <c r="D154" s="183">
        <v>8606.6</v>
      </c>
      <c r="E154" s="183">
        <v>8453.9</v>
      </c>
      <c r="F154" s="183">
        <v>8665.6</v>
      </c>
      <c r="G154" s="183">
        <v>8451.7000000000007</v>
      </c>
      <c r="H154" s="183">
        <v>8224.9</v>
      </c>
      <c r="I154" s="183">
        <v>8204.1</v>
      </c>
      <c r="J154" s="183">
        <v>8169.4</v>
      </c>
      <c r="K154" s="183">
        <v>8345.2000000000007</v>
      </c>
      <c r="L154" s="183">
        <v>8534.9</v>
      </c>
      <c r="M154" s="183">
        <v>8316.7999999999993</v>
      </c>
      <c r="N154" s="183">
        <v>8127.8</v>
      </c>
      <c r="O154" s="183">
        <v>8107</v>
      </c>
      <c r="P154" s="183">
        <v>8093.1</v>
      </c>
      <c r="Q154" s="183">
        <v>7625.7</v>
      </c>
      <c r="R154" s="183">
        <v>7625.7</v>
      </c>
      <c r="S154" s="183">
        <v>7452.4</v>
      </c>
      <c r="T154" s="183">
        <v>7445.4</v>
      </c>
      <c r="U154" s="183">
        <v>7445.4</v>
      </c>
      <c r="V154" s="183">
        <v>7597.3</v>
      </c>
      <c r="W154" s="164"/>
    </row>
    <row r="155" spans="1:23">
      <c r="A155" s="165" t="str">
        <f t="shared" si="72"/>
        <v>December</v>
      </c>
      <c r="B155" s="184">
        <v>2651.4</v>
      </c>
      <c r="C155" s="184">
        <v>8856.4</v>
      </c>
      <c r="D155" s="184">
        <v>8606.6</v>
      </c>
      <c r="E155" s="184">
        <v>8453.9</v>
      </c>
      <c r="F155" s="184">
        <v>8665.6</v>
      </c>
      <c r="G155" s="184">
        <v>8451.7000000000007</v>
      </c>
      <c r="H155" s="184">
        <v>8224.9</v>
      </c>
      <c r="I155" s="184">
        <v>8204.1</v>
      </c>
      <c r="J155" s="184">
        <v>8169.4</v>
      </c>
      <c r="K155" s="184">
        <v>8345.2000000000007</v>
      </c>
      <c r="L155" s="184">
        <v>8534.9</v>
      </c>
      <c r="M155" s="184">
        <v>8316.7999999999993</v>
      </c>
      <c r="N155" s="184">
        <v>8127.8</v>
      </c>
      <c r="O155" s="184">
        <v>8107</v>
      </c>
      <c r="P155" s="184">
        <v>8093.1</v>
      </c>
      <c r="Q155" s="184">
        <v>7625.7</v>
      </c>
      <c r="R155" s="184">
        <v>7625.7</v>
      </c>
      <c r="S155" s="184">
        <v>7452.4</v>
      </c>
      <c r="T155" s="184">
        <v>7445.4</v>
      </c>
      <c r="U155" s="184">
        <v>7445.4</v>
      </c>
      <c r="V155" s="184">
        <v>7597.3</v>
      </c>
      <c r="W155" s="164"/>
    </row>
    <row r="156" spans="1:23">
      <c r="A156" s="164"/>
      <c r="B156" s="185">
        <f t="shared" ref="B156:V156" si="73">SUM(B144:B155)</f>
        <v>58177.3</v>
      </c>
      <c r="C156" s="185">
        <f t="shared" si="73"/>
        <v>197770.49999999997</v>
      </c>
      <c r="D156" s="185">
        <f t="shared" si="73"/>
        <v>214820.30000000002</v>
      </c>
      <c r="E156" s="185">
        <f t="shared" si="73"/>
        <v>221591.19999999995</v>
      </c>
      <c r="F156" s="185">
        <f t="shared" si="73"/>
        <v>210746.3</v>
      </c>
      <c r="G156" s="185">
        <f t="shared" si="73"/>
        <v>187150.00000000003</v>
      </c>
      <c r="H156" s="185">
        <f t="shared" si="73"/>
        <v>199901.19999999998</v>
      </c>
      <c r="I156" s="185">
        <f t="shared" si="73"/>
        <v>211855.3</v>
      </c>
      <c r="J156" s="185">
        <f t="shared" si="73"/>
        <v>210218.2</v>
      </c>
      <c r="K156" s="185">
        <f t="shared" si="73"/>
        <v>206805.7</v>
      </c>
      <c r="L156" s="185">
        <f t="shared" si="73"/>
        <v>205168.80000000002</v>
      </c>
      <c r="M156" s="185">
        <f t="shared" si="73"/>
        <v>202273.2</v>
      </c>
      <c r="N156" s="185">
        <f t="shared" si="73"/>
        <v>208104.69999999995</v>
      </c>
      <c r="O156" s="185">
        <f t="shared" si="73"/>
        <v>204405.6</v>
      </c>
      <c r="P156" s="185">
        <f t="shared" si="73"/>
        <v>206884.8</v>
      </c>
      <c r="Q156" s="185">
        <f t="shared" si="73"/>
        <v>201092.1</v>
      </c>
      <c r="R156" s="185">
        <f t="shared" si="73"/>
        <v>202973.90000000005</v>
      </c>
      <c r="S156" s="185">
        <f t="shared" si="73"/>
        <v>201756.5</v>
      </c>
      <c r="T156" s="185">
        <f t="shared" si="73"/>
        <v>202173.19999999998</v>
      </c>
      <c r="U156" s="185">
        <f t="shared" si="73"/>
        <v>195449.9</v>
      </c>
      <c r="V156" s="185">
        <f t="shared" si="73"/>
        <v>193539.69999999998</v>
      </c>
      <c r="W156" s="164"/>
    </row>
    <row r="157" spans="1:23">
      <c r="A157" s="164"/>
      <c r="W157" s="164"/>
    </row>
    <row r="158" spans="1:23">
      <c r="A158" s="168" t="str">
        <f>A95</f>
        <v>Monthly Percentage</v>
      </c>
      <c r="W158" s="164"/>
    </row>
    <row r="159" spans="1:23">
      <c r="A159" s="165" t="str">
        <f t="shared" ref="A159:A170" si="74">A144</f>
        <v>January</v>
      </c>
      <c r="B159" s="156">
        <f t="shared" ref="B159:V159" si="75">B144/B$156</f>
        <v>0</v>
      </c>
      <c r="C159" s="156">
        <f t="shared" si="75"/>
        <v>4.5936072366707881E-2</v>
      </c>
      <c r="D159" s="156">
        <f t="shared" si="75"/>
        <v>9.4633514616635384E-2</v>
      </c>
      <c r="E159" s="156">
        <f t="shared" si="75"/>
        <v>8.9776579575362225E-2</v>
      </c>
      <c r="F159" s="156">
        <f t="shared" si="75"/>
        <v>8.4587012915529253E-2</v>
      </c>
      <c r="G159" s="156">
        <f t="shared" si="75"/>
        <v>9.0174191824739486E-2</v>
      </c>
      <c r="H159" s="156">
        <f t="shared" si="75"/>
        <v>8.7992468279329994E-2</v>
      </c>
      <c r="I159" s="156">
        <f t="shared" si="75"/>
        <v>8.621733796605513E-2</v>
      </c>
      <c r="J159" s="156">
        <f t="shared" si="75"/>
        <v>8.6417826810428394E-2</v>
      </c>
      <c r="K159" s="156">
        <f t="shared" si="75"/>
        <v>8.3383581787155769E-2</v>
      </c>
      <c r="L159" s="156">
        <f t="shared" si="75"/>
        <v>7.9832313685121711E-2</v>
      </c>
      <c r="M159" s="156">
        <f t="shared" si="75"/>
        <v>8.0840665001591899E-2</v>
      </c>
      <c r="N159" s="156">
        <f t="shared" si="75"/>
        <v>8.2044278673187115E-2</v>
      </c>
      <c r="O159" s="156">
        <f t="shared" si="75"/>
        <v>8.6502522435784532E-2</v>
      </c>
      <c r="P159" s="156">
        <f t="shared" si="75"/>
        <v>8.4796466439293755E-2</v>
      </c>
      <c r="Q159" s="156">
        <f t="shared" si="75"/>
        <v>7.3771172512495514E-2</v>
      </c>
      <c r="R159" s="156">
        <f t="shared" si="75"/>
        <v>6.9119724260114215E-2</v>
      </c>
      <c r="S159" s="156">
        <f t="shared" si="75"/>
        <v>7.2214773749544617E-2</v>
      </c>
      <c r="T159" s="156">
        <f t="shared" si="75"/>
        <v>7.4460413150704452E-2</v>
      </c>
      <c r="U159" s="156">
        <f t="shared" si="75"/>
        <v>7.6388885335832865E-2</v>
      </c>
      <c r="V159" s="156">
        <f t="shared" si="75"/>
        <v>7.6912385417565496E-2</v>
      </c>
      <c r="W159" s="164"/>
    </row>
    <row r="160" spans="1:23">
      <c r="A160" s="165" t="str">
        <f t="shared" si="74"/>
        <v>February</v>
      </c>
      <c r="B160" s="156">
        <f t="shared" ref="B160:V160" si="76">B145/B$156</f>
        <v>0</v>
      </c>
      <c r="C160" s="156">
        <f t="shared" si="76"/>
        <v>2.369413031771675E-3</v>
      </c>
      <c r="D160" s="156">
        <f t="shared" si="76"/>
        <v>4.3734228096692909E-3</v>
      </c>
      <c r="E160" s="156">
        <f t="shared" si="76"/>
        <v>3.9812050298026289E-3</v>
      </c>
      <c r="F160" s="156">
        <f t="shared" si="76"/>
        <v>3.6655447806201108E-3</v>
      </c>
      <c r="G160" s="156">
        <f t="shared" si="76"/>
        <v>4.1277050494255936E-3</v>
      </c>
      <c r="H160" s="156">
        <f t="shared" si="76"/>
        <v>3.818386282823715E-3</v>
      </c>
      <c r="I160" s="156">
        <f t="shared" si="76"/>
        <v>3.4551885178232505E-3</v>
      </c>
      <c r="J160" s="156">
        <f t="shared" si="76"/>
        <v>3.4388078672541195E-3</v>
      </c>
      <c r="K160" s="156">
        <f t="shared" si="76"/>
        <v>3.4302729566931664E-3</v>
      </c>
      <c r="L160" s="156">
        <f t="shared" si="76"/>
        <v>3.404513746729522E-3</v>
      </c>
      <c r="M160" s="156">
        <f t="shared" si="76"/>
        <v>3.3617898960415912E-3</v>
      </c>
      <c r="N160" s="156">
        <f t="shared" si="76"/>
        <v>3.267585979557406E-3</v>
      </c>
      <c r="O160" s="156">
        <f t="shared" si="76"/>
        <v>3.107546955660706E-3</v>
      </c>
      <c r="P160" s="156">
        <f t="shared" si="76"/>
        <v>3.0703077268122167E-3</v>
      </c>
      <c r="Q160" s="156">
        <f t="shared" si="76"/>
        <v>2.2696068120030572E-3</v>
      </c>
      <c r="R160" s="156">
        <f t="shared" si="76"/>
        <v>2.3086712133924604E-3</v>
      </c>
      <c r="S160" s="156">
        <f t="shared" si="76"/>
        <v>2.2700631702076515E-3</v>
      </c>
      <c r="T160" s="156">
        <f t="shared" si="76"/>
        <v>2.1902012729679305E-3</v>
      </c>
      <c r="U160" s="156">
        <f t="shared" si="76"/>
        <v>2.1887962081331329E-3</v>
      </c>
      <c r="V160" s="156">
        <f t="shared" si="76"/>
        <v>2.2414006015303322E-3</v>
      </c>
      <c r="W160" s="164"/>
    </row>
    <row r="161" spans="1:23">
      <c r="A161" s="165" t="str">
        <f t="shared" si="74"/>
        <v>March</v>
      </c>
      <c r="B161" s="156">
        <f t="shared" ref="B161:V161" si="77">B146/B$156</f>
        <v>0</v>
      </c>
      <c r="C161" s="156">
        <f t="shared" si="77"/>
        <v>2.369413031771675E-3</v>
      </c>
      <c r="D161" s="156">
        <f t="shared" si="77"/>
        <v>4.3734228096692909E-3</v>
      </c>
      <c r="E161" s="156">
        <f t="shared" si="77"/>
        <v>3.9812050298026289E-3</v>
      </c>
      <c r="F161" s="156">
        <f t="shared" si="77"/>
        <v>3.6655447806201108E-3</v>
      </c>
      <c r="G161" s="156">
        <f t="shared" si="77"/>
        <v>4.1277050494255936E-3</v>
      </c>
      <c r="H161" s="156">
        <f t="shared" si="77"/>
        <v>3.818386282823715E-3</v>
      </c>
      <c r="I161" s="156">
        <f t="shared" si="77"/>
        <v>3.4551885178232505E-3</v>
      </c>
      <c r="J161" s="156">
        <f t="shared" si="77"/>
        <v>3.4388078672541195E-3</v>
      </c>
      <c r="K161" s="156">
        <f t="shared" si="77"/>
        <v>3.4302729566931664E-3</v>
      </c>
      <c r="L161" s="156">
        <f t="shared" si="77"/>
        <v>3.404513746729522E-3</v>
      </c>
      <c r="M161" s="156">
        <f t="shared" si="77"/>
        <v>3.3617898960415912E-3</v>
      </c>
      <c r="N161" s="156">
        <f t="shared" si="77"/>
        <v>3.267585979557406E-3</v>
      </c>
      <c r="O161" s="156">
        <f t="shared" si="77"/>
        <v>3.107546955660706E-3</v>
      </c>
      <c r="P161" s="156">
        <f t="shared" si="77"/>
        <v>3.0703077268122167E-3</v>
      </c>
      <c r="Q161" s="156">
        <f t="shared" si="77"/>
        <v>2.2696068120030572E-3</v>
      </c>
      <c r="R161" s="156">
        <f t="shared" si="77"/>
        <v>2.3086712133924604E-3</v>
      </c>
      <c r="S161" s="156">
        <f t="shared" si="77"/>
        <v>2.2700631702076515E-3</v>
      </c>
      <c r="T161" s="156">
        <f t="shared" si="77"/>
        <v>2.1902012729679305E-3</v>
      </c>
      <c r="U161" s="156">
        <f t="shared" si="77"/>
        <v>2.1887962081331329E-3</v>
      </c>
      <c r="V161" s="156">
        <f t="shared" si="77"/>
        <v>2.2414006015303322E-3</v>
      </c>
      <c r="W161" s="164"/>
    </row>
    <row r="162" spans="1:23">
      <c r="A162" s="165" t="str">
        <f t="shared" si="74"/>
        <v>April</v>
      </c>
      <c r="B162" s="156">
        <f t="shared" ref="B162:V162" si="78">B147/B$156</f>
        <v>0</v>
      </c>
      <c r="C162" s="156">
        <f t="shared" si="78"/>
        <v>3.0555618760128536E-2</v>
      </c>
      <c r="D162" s="156">
        <f t="shared" si="78"/>
        <v>5.6904771104034385E-2</v>
      </c>
      <c r="E162" s="156">
        <f t="shared" si="78"/>
        <v>5.1246168620414541E-2</v>
      </c>
      <c r="F162" s="156">
        <f t="shared" si="78"/>
        <v>4.6729646024627723E-2</v>
      </c>
      <c r="G162" s="156">
        <f t="shared" si="78"/>
        <v>4.9686347849318718E-2</v>
      </c>
      <c r="H162" s="156">
        <f t="shared" si="78"/>
        <v>4.3742108601649218E-2</v>
      </c>
      <c r="I162" s="156">
        <f t="shared" si="78"/>
        <v>4.2665913951645297E-2</v>
      </c>
      <c r="J162" s="156">
        <f t="shared" si="78"/>
        <v>4.4786797717799885E-2</v>
      </c>
      <c r="K162" s="156">
        <f t="shared" si="78"/>
        <v>4.4896248024111518E-2</v>
      </c>
      <c r="L162" s="156">
        <f t="shared" si="78"/>
        <v>4.4723661687352069E-2</v>
      </c>
      <c r="M162" s="156">
        <f t="shared" si="78"/>
        <v>4.2654192448628878E-2</v>
      </c>
      <c r="N162" s="156">
        <f t="shared" si="78"/>
        <v>4.0938047050354948E-2</v>
      </c>
      <c r="O162" s="156">
        <f t="shared" si="78"/>
        <v>4.3096177404141567E-2</v>
      </c>
      <c r="P162" s="156">
        <f t="shared" si="78"/>
        <v>4.2144710486222287E-2</v>
      </c>
      <c r="Q162" s="156">
        <f t="shared" si="78"/>
        <v>3.7262527966041431E-2</v>
      </c>
      <c r="R162" s="156">
        <f t="shared" si="78"/>
        <v>3.4927150732187724E-2</v>
      </c>
      <c r="S162" s="156">
        <f t="shared" si="78"/>
        <v>3.3059653592325405E-2</v>
      </c>
      <c r="T162" s="156">
        <f t="shared" si="78"/>
        <v>3.4182572170792173E-2</v>
      </c>
      <c r="U162" s="156">
        <f t="shared" si="78"/>
        <v>3.6642638343636916E-2</v>
      </c>
      <c r="V162" s="156">
        <f t="shared" si="78"/>
        <v>3.6808468753439218E-2</v>
      </c>
      <c r="W162" s="164"/>
    </row>
    <row r="163" spans="1:23">
      <c r="A163" s="165" t="str">
        <f t="shared" si="74"/>
        <v>May</v>
      </c>
      <c r="B163" s="156">
        <f t="shared" ref="B163:V163" si="79">B148/B$156</f>
        <v>0</v>
      </c>
      <c r="C163" s="156">
        <f t="shared" si="79"/>
        <v>6.9227210327121605E-2</v>
      </c>
      <c r="D163" s="156">
        <f t="shared" si="79"/>
        <v>8.1975493005083777E-2</v>
      </c>
      <c r="E163" s="156">
        <f t="shared" si="79"/>
        <v>8.6808501420634052E-2</v>
      </c>
      <c r="F163" s="156">
        <f t="shared" si="79"/>
        <v>8.3016404083962575E-2</v>
      </c>
      <c r="G163" s="156">
        <f t="shared" si="79"/>
        <v>7.6246860806839428E-2</v>
      </c>
      <c r="H163" s="156">
        <f t="shared" si="79"/>
        <v>8.083493245663359E-2</v>
      </c>
      <c r="I163" s="156">
        <f t="shared" si="79"/>
        <v>8.3797289942710906E-2</v>
      </c>
      <c r="J163" s="156">
        <f t="shared" si="79"/>
        <v>8.577753971825465E-2</v>
      </c>
      <c r="K163" s="156">
        <f t="shared" si="79"/>
        <v>8.28183169032575E-2</v>
      </c>
      <c r="L163" s="156">
        <f t="shared" si="79"/>
        <v>8.2616362721817341E-2</v>
      </c>
      <c r="M163" s="156">
        <f t="shared" si="79"/>
        <v>8.3662096609931499E-2</v>
      </c>
      <c r="N163" s="156">
        <f t="shared" si="79"/>
        <v>8.3731890726158539E-2</v>
      </c>
      <c r="O163" s="156">
        <f t="shared" si="79"/>
        <v>8.4048088702070783E-2</v>
      </c>
      <c r="P163" s="156">
        <f t="shared" si="79"/>
        <v>8.5687300371994471E-2</v>
      </c>
      <c r="Q163" s="156">
        <f t="shared" si="79"/>
        <v>8.5681635429735933E-2</v>
      </c>
      <c r="R163" s="156">
        <f t="shared" si="79"/>
        <v>8.8828662207308409E-2</v>
      </c>
      <c r="S163" s="156">
        <f t="shared" si="79"/>
        <v>8.8426395184293932E-2</v>
      </c>
      <c r="T163" s="156">
        <f t="shared" si="79"/>
        <v>8.615879849554739E-2</v>
      </c>
      <c r="U163" s="156">
        <f t="shared" si="79"/>
        <v>8.5950926554579962E-2</v>
      </c>
      <c r="V163" s="156">
        <f t="shared" si="79"/>
        <v>8.3070295138413464E-2</v>
      </c>
      <c r="W163" s="164"/>
    </row>
    <row r="164" spans="1:23">
      <c r="A164" s="165" t="str">
        <f t="shared" si="74"/>
        <v>June</v>
      </c>
      <c r="B164" s="156">
        <f t="shared" ref="B164:V164" si="80">B149/B$156</f>
        <v>0.21417631962982125</v>
      </c>
      <c r="C164" s="156">
        <f t="shared" si="80"/>
        <v>0.16745419564596339</v>
      </c>
      <c r="D164" s="156">
        <f t="shared" si="80"/>
        <v>0.13818991966774088</v>
      </c>
      <c r="E164" s="156">
        <f t="shared" si="80"/>
        <v>0.1480839491820975</v>
      </c>
      <c r="F164" s="156">
        <f t="shared" si="80"/>
        <v>0.15906044376579803</v>
      </c>
      <c r="G164" s="156">
        <f t="shared" si="80"/>
        <v>0.14442372428533259</v>
      </c>
      <c r="H164" s="156">
        <f t="shared" si="80"/>
        <v>0.15365290453484023</v>
      </c>
      <c r="I164" s="156">
        <f t="shared" si="80"/>
        <v>0.15394139301683743</v>
      </c>
      <c r="J164" s="156">
        <f t="shared" si="80"/>
        <v>0.15463123554478156</v>
      </c>
      <c r="K164" s="156">
        <f t="shared" si="80"/>
        <v>0.16074218457228209</v>
      </c>
      <c r="L164" s="156">
        <f t="shared" si="80"/>
        <v>0.16152309707908805</v>
      </c>
      <c r="M164" s="156">
        <f t="shared" si="80"/>
        <v>0.15986695222105546</v>
      </c>
      <c r="N164" s="156">
        <f t="shared" si="80"/>
        <v>0.15224692186192818</v>
      </c>
      <c r="O164" s="156">
        <f t="shared" si="80"/>
        <v>0.14301369434105524</v>
      </c>
      <c r="P164" s="156">
        <f t="shared" si="80"/>
        <v>0.1532925570172386</v>
      </c>
      <c r="Q164" s="156">
        <f t="shared" si="80"/>
        <v>0.16793598555089931</v>
      </c>
      <c r="R164" s="156">
        <f t="shared" si="80"/>
        <v>0.16989475001465701</v>
      </c>
      <c r="S164" s="156">
        <f t="shared" si="80"/>
        <v>0.16960494457427641</v>
      </c>
      <c r="T164" s="156">
        <f t="shared" si="80"/>
        <v>0.16197201211634382</v>
      </c>
      <c r="U164" s="156">
        <f t="shared" si="80"/>
        <v>0.1512367107888006</v>
      </c>
      <c r="V164" s="156">
        <f t="shared" si="80"/>
        <v>0.16542652489385901</v>
      </c>
      <c r="W164" s="164"/>
    </row>
    <row r="165" spans="1:23">
      <c r="A165" s="165" t="str">
        <f t="shared" si="74"/>
        <v>July</v>
      </c>
      <c r="B165" s="156">
        <f t="shared" ref="B165:V165" si="81">B150/B$156</f>
        <v>0.33514274467876648</v>
      </c>
      <c r="C165" s="156">
        <f t="shared" si="81"/>
        <v>0.2844959182486772</v>
      </c>
      <c r="D165" s="156">
        <f t="shared" si="81"/>
        <v>0.24848536195136117</v>
      </c>
      <c r="E165" s="156">
        <f t="shared" si="81"/>
        <v>0.24700755264649502</v>
      </c>
      <c r="F165" s="156">
        <f t="shared" si="81"/>
        <v>0.25057711570736946</v>
      </c>
      <c r="G165" s="156">
        <f t="shared" si="81"/>
        <v>0.25671440021373226</v>
      </c>
      <c r="H165" s="156">
        <f t="shared" si="81"/>
        <v>0.25549521463603025</v>
      </c>
      <c r="I165" s="156">
        <f t="shared" si="81"/>
        <v>0.25671909081339955</v>
      </c>
      <c r="J165" s="156">
        <f t="shared" si="81"/>
        <v>0.25223791279727442</v>
      </c>
      <c r="K165" s="156">
        <f t="shared" si="81"/>
        <v>0.25289680120035374</v>
      </c>
      <c r="L165" s="156">
        <f t="shared" si="81"/>
        <v>0.25399134761230752</v>
      </c>
      <c r="M165" s="156">
        <f t="shared" si="81"/>
        <v>0.25485976392324838</v>
      </c>
      <c r="N165" s="156">
        <f t="shared" si="81"/>
        <v>0.26160197246866607</v>
      </c>
      <c r="O165" s="156">
        <f t="shared" si="81"/>
        <v>0.26209311290884402</v>
      </c>
      <c r="P165" s="156">
        <f t="shared" si="81"/>
        <v>0.25626193901146921</v>
      </c>
      <c r="Q165" s="156">
        <f t="shared" si="81"/>
        <v>0.26105103084606507</v>
      </c>
      <c r="R165" s="156">
        <f t="shared" si="81"/>
        <v>0.26080791668288378</v>
      </c>
      <c r="S165" s="156">
        <f t="shared" si="81"/>
        <v>0.26123867136870432</v>
      </c>
      <c r="T165" s="156">
        <f t="shared" si="81"/>
        <v>0.26670894065088746</v>
      </c>
      <c r="U165" s="156">
        <f t="shared" si="81"/>
        <v>0.26901932413370383</v>
      </c>
      <c r="V165" s="156">
        <f t="shared" si="81"/>
        <v>0.26285821461953285</v>
      </c>
      <c r="W165" s="164"/>
    </row>
    <row r="166" spans="1:23">
      <c r="A166" s="165" t="str">
        <f t="shared" si="74"/>
        <v>August</v>
      </c>
      <c r="B166" s="156">
        <f t="shared" ref="B166:V166" si="82">B151/B$156</f>
        <v>0.22342906941367163</v>
      </c>
      <c r="C166" s="156">
        <f t="shared" si="82"/>
        <v>0.18966377695359019</v>
      </c>
      <c r="D166" s="156">
        <f t="shared" si="82"/>
        <v>0.16565659763067084</v>
      </c>
      <c r="E166" s="156">
        <f t="shared" si="82"/>
        <v>0.16467170176433005</v>
      </c>
      <c r="F166" s="156">
        <f t="shared" si="82"/>
        <v>0.16705109413546051</v>
      </c>
      <c r="G166" s="156">
        <f t="shared" si="82"/>
        <v>0.17114293347582152</v>
      </c>
      <c r="H166" s="156">
        <f t="shared" si="82"/>
        <v>0.17033014309068681</v>
      </c>
      <c r="I166" s="156">
        <f t="shared" si="82"/>
        <v>0.17114606054226633</v>
      </c>
      <c r="J166" s="156">
        <f t="shared" si="82"/>
        <v>0.16815860853151629</v>
      </c>
      <c r="K166" s="156">
        <f t="shared" si="82"/>
        <v>0.1685978674669025</v>
      </c>
      <c r="L166" s="156">
        <f t="shared" si="82"/>
        <v>0.16932789001056692</v>
      </c>
      <c r="M166" s="156">
        <f t="shared" si="82"/>
        <v>0.16990634448854322</v>
      </c>
      <c r="N166" s="156">
        <f t="shared" si="82"/>
        <v>0.17440115480332738</v>
      </c>
      <c r="O166" s="156">
        <f t="shared" si="82"/>
        <v>0.17472906808815414</v>
      </c>
      <c r="P166" s="156">
        <f t="shared" si="82"/>
        <v>0.17084145379457555</v>
      </c>
      <c r="Q166" s="156">
        <f t="shared" si="82"/>
        <v>0.17403418632556922</v>
      </c>
      <c r="R166" s="156">
        <f t="shared" si="82"/>
        <v>0.1738716160058017</v>
      </c>
      <c r="S166" s="156">
        <f t="shared" si="82"/>
        <v>0.17415944467712319</v>
      </c>
      <c r="T166" s="156">
        <f t="shared" si="82"/>
        <v>0.17780596043392499</v>
      </c>
      <c r="U166" s="156">
        <f t="shared" si="82"/>
        <v>0.17934621608913587</v>
      </c>
      <c r="V166" s="156">
        <f t="shared" si="82"/>
        <v>0.17523846528645029</v>
      </c>
      <c r="W166" s="164"/>
    </row>
    <row r="167" spans="1:23">
      <c r="A167" s="165" t="str">
        <f t="shared" si="74"/>
        <v>September</v>
      </c>
      <c r="B167" s="156">
        <f t="shared" ref="B167:V167" si="83">B152/B$156</f>
        <v>0.11399807141273315</v>
      </c>
      <c r="C167" s="156">
        <f t="shared" si="83"/>
        <v>8.4610697753203859E-2</v>
      </c>
      <c r="D167" s="156">
        <f t="shared" si="83"/>
        <v>0.10019257956533903</v>
      </c>
      <c r="E167" s="156">
        <f t="shared" si="83"/>
        <v>0.10609942994126123</v>
      </c>
      <c r="F167" s="156">
        <f t="shared" si="83"/>
        <v>0.10146465204845827</v>
      </c>
      <c r="G167" s="156">
        <f t="shared" si="83"/>
        <v>9.3190488912636898E-2</v>
      </c>
      <c r="H167" s="156">
        <f t="shared" si="83"/>
        <v>9.879830636334351E-2</v>
      </c>
      <c r="I167" s="156">
        <f t="shared" si="83"/>
        <v>0.1024189623766788</v>
      </c>
      <c r="J167" s="156">
        <f t="shared" si="83"/>
        <v>0.1048391623560662</v>
      </c>
      <c r="K167" s="156">
        <f t="shared" si="83"/>
        <v>0.10122254850809238</v>
      </c>
      <c r="L167" s="156">
        <f t="shared" si="83"/>
        <v>0.10097587937347198</v>
      </c>
      <c r="M167" s="156">
        <f t="shared" si="83"/>
        <v>0.10225378349677565</v>
      </c>
      <c r="N167" s="156">
        <f t="shared" si="83"/>
        <v>0.10233935129768816</v>
      </c>
      <c r="O167" s="156">
        <f t="shared" si="83"/>
        <v>0.10272516995620472</v>
      </c>
      <c r="P167" s="156">
        <f t="shared" si="83"/>
        <v>0.10472881526337363</v>
      </c>
      <c r="Q167" s="156">
        <f t="shared" si="83"/>
        <v>0.10472216462009198</v>
      </c>
      <c r="R167" s="156">
        <f t="shared" si="83"/>
        <v>0.10856863862792207</v>
      </c>
      <c r="S167" s="156">
        <f t="shared" si="83"/>
        <v>0.10807631972204117</v>
      </c>
      <c r="T167" s="156">
        <f t="shared" si="83"/>
        <v>0.10530525311960241</v>
      </c>
      <c r="U167" s="156">
        <f t="shared" si="83"/>
        <v>0.10505096190890863</v>
      </c>
      <c r="V167" s="156">
        <f t="shared" si="83"/>
        <v>0.10153007367480678</v>
      </c>
      <c r="W167" s="164"/>
    </row>
    <row r="168" spans="1:23">
      <c r="A168" s="165" t="str">
        <f t="shared" si="74"/>
        <v>October</v>
      </c>
      <c r="B168" s="156">
        <f t="shared" ref="B168:V168" si="84">B153/B$156</f>
        <v>2.2104841579103876E-2</v>
      </c>
      <c r="C168" s="156">
        <f t="shared" si="84"/>
        <v>3.3755287062529553E-2</v>
      </c>
      <c r="D168" s="156">
        <f t="shared" si="84"/>
        <v>2.5086549083117377E-2</v>
      </c>
      <c r="E168" s="156">
        <f t="shared" si="84"/>
        <v>2.2041940293657875E-2</v>
      </c>
      <c r="F168" s="156">
        <f t="shared" si="84"/>
        <v>1.7945273535051386E-2</v>
      </c>
      <c r="G168" s="156">
        <f t="shared" si="84"/>
        <v>1.9845578413037666E-2</v>
      </c>
      <c r="H168" s="156">
        <f t="shared" si="84"/>
        <v>1.9227498384201798E-2</v>
      </c>
      <c r="I168" s="156">
        <f t="shared" si="84"/>
        <v>1.8733541242536771E-2</v>
      </c>
      <c r="J168" s="156">
        <f t="shared" si="84"/>
        <v>1.8550249217241892E-2</v>
      </c>
      <c r="K168" s="156">
        <f t="shared" si="84"/>
        <v>1.7876199737241284E-2</v>
      </c>
      <c r="L168" s="156">
        <f t="shared" si="84"/>
        <v>1.7001610381305536E-2</v>
      </c>
      <c r="M168" s="156">
        <f t="shared" si="84"/>
        <v>1.6999286114027956E-2</v>
      </c>
      <c r="N168" s="156">
        <f t="shared" si="84"/>
        <v>1.8048607263555321E-2</v>
      </c>
      <c r="O168" s="156">
        <f t="shared" si="84"/>
        <v>1.8254392247570517E-2</v>
      </c>
      <c r="P168" s="156">
        <f t="shared" si="84"/>
        <v>1.7868398258354408E-2</v>
      </c>
      <c r="Q168" s="156">
        <f t="shared" si="84"/>
        <v>1.5159223062467397E-2</v>
      </c>
      <c r="R168" s="156">
        <f t="shared" si="84"/>
        <v>1.4224488961388627E-2</v>
      </c>
      <c r="S168" s="156">
        <f t="shared" si="84"/>
        <v>1.4804479657408807E-2</v>
      </c>
      <c r="T168" s="156">
        <f t="shared" si="84"/>
        <v>1.5371968193608254E-2</v>
      </c>
      <c r="U168" s="156">
        <f t="shared" si="84"/>
        <v>1.5799445279838977E-2</v>
      </c>
      <c r="V168" s="156">
        <f t="shared" si="84"/>
        <v>1.5163813935848824E-2</v>
      </c>
      <c r="W168" s="164"/>
    </row>
    <row r="169" spans="1:23">
      <c r="A169" s="165" t="str">
        <f t="shared" si="74"/>
        <v>November</v>
      </c>
      <c r="B169" s="156">
        <f t="shared" ref="B169:V169" si="85">B154/B$156</f>
        <v>4.5574476642951806E-2</v>
      </c>
      <c r="C169" s="156">
        <f t="shared" si="85"/>
        <v>4.4781198409267309E-2</v>
      </c>
      <c r="D169" s="156">
        <f t="shared" si="85"/>
        <v>4.0064183878339245E-2</v>
      </c>
      <c r="E169" s="156">
        <f t="shared" si="85"/>
        <v>3.8150883248071227E-2</v>
      </c>
      <c r="F169" s="156">
        <f t="shared" si="85"/>
        <v>4.1118634111251308E-2</v>
      </c>
      <c r="G169" s="156">
        <f t="shared" si="85"/>
        <v>4.5160032059845041E-2</v>
      </c>
      <c r="H169" s="156">
        <f t="shared" si="85"/>
        <v>4.1144825543818646E-2</v>
      </c>
      <c r="I169" s="156">
        <f t="shared" si="85"/>
        <v>3.8725016556111651E-2</v>
      </c>
      <c r="J169" s="156">
        <f t="shared" si="85"/>
        <v>3.8861525786064194E-2</v>
      </c>
      <c r="K169" s="156">
        <f t="shared" si="85"/>
        <v>4.0352852943608422E-2</v>
      </c>
      <c r="L169" s="156">
        <f t="shared" si="85"/>
        <v>4.1599404977754897E-2</v>
      </c>
      <c r="M169" s="156">
        <f t="shared" si="85"/>
        <v>4.1116667952056915E-2</v>
      </c>
      <c r="N169" s="156">
        <f t="shared" si="85"/>
        <v>3.9056301948009832E-2</v>
      </c>
      <c r="O169" s="156">
        <f t="shared" si="85"/>
        <v>3.9661340002426548E-2</v>
      </c>
      <c r="P169" s="156">
        <f t="shared" si="85"/>
        <v>3.911887195192687E-2</v>
      </c>
      <c r="Q169" s="156">
        <f t="shared" si="85"/>
        <v>3.7921430031314006E-2</v>
      </c>
      <c r="R169" s="156">
        <f t="shared" si="85"/>
        <v>3.7569855040475636E-2</v>
      </c>
      <c r="S169" s="156">
        <f t="shared" si="85"/>
        <v>3.6937595566933407E-2</v>
      </c>
      <c r="T169" s="156">
        <f t="shared" si="85"/>
        <v>3.6826839561326624E-2</v>
      </c>
      <c r="U169" s="156">
        <f t="shared" si="85"/>
        <v>3.8093649574648031E-2</v>
      </c>
      <c r="V169" s="156">
        <f t="shared" si="85"/>
        <v>3.9254478538511745E-2</v>
      </c>
      <c r="W169" s="164"/>
    </row>
    <row r="170" spans="1:23">
      <c r="A170" s="165" t="str">
        <f t="shared" si="74"/>
        <v>December</v>
      </c>
      <c r="B170" s="156">
        <f t="shared" ref="B170:V170" si="86">B155/B$156</f>
        <v>4.5574476642951806E-2</v>
      </c>
      <c r="C170" s="156">
        <f t="shared" si="86"/>
        <v>4.4781198409267309E-2</v>
      </c>
      <c r="D170" s="156">
        <f t="shared" si="86"/>
        <v>4.0064183878339245E-2</v>
      </c>
      <c r="E170" s="156">
        <f t="shared" si="86"/>
        <v>3.8150883248071227E-2</v>
      </c>
      <c r="F170" s="156">
        <f t="shared" si="86"/>
        <v>4.1118634111251308E-2</v>
      </c>
      <c r="G170" s="156">
        <f t="shared" si="86"/>
        <v>4.5160032059845041E-2</v>
      </c>
      <c r="H170" s="156">
        <f t="shared" si="86"/>
        <v>4.1144825543818646E-2</v>
      </c>
      <c r="I170" s="156">
        <f t="shared" si="86"/>
        <v>3.8725016556111651E-2</v>
      </c>
      <c r="J170" s="156">
        <f t="shared" si="86"/>
        <v>3.8861525786064194E-2</v>
      </c>
      <c r="K170" s="156">
        <f t="shared" si="86"/>
        <v>4.0352852943608422E-2</v>
      </c>
      <c r="L170" s="156">
        <f t="shared" si="86"/>
        <v>4.1599404977754897E-2</v>
      </c>
      <c r="M170" s="156">
        <f t="shared" si="86"/>
        <v>4.1116667952056915E-2</v>
      </c>
      <c r="N170" s="156">
        <f t="shared" si="86"/>
        <v>3.9056301948009832E-2</v>
      </c>
      <c r="O170" s="156">
        <f t="shared" si="86"/>
        <v>3.9661340002426548E-2</v>
      </c>
      <c r="P170" s="156">
        <f t="shared" si="86"/>
        <v>3.911887195192687E-2</v>
      </c>
      <c r="Q170" s="156">
        <f t="shared" si="86"/>
        <v>3.7921430031314006E-2</v>
      </c>
      <c r="R170" s="156">
        <f t="shared" si="86"/>
        <v>3.7569855040475636E-2</v>
      </c>
      <c r="S170" s="156">
        <f t="shared" si="86"/>
        <v>3.6937595566933407E-2</v>
      </c>
      <c r="T170" s="156">
        <f t="shared" si="86"/>
        <v>3.6826839561326624E-2</v>
      </c>
      <c r="U170" s="156">
        <f t="shared" si="86"/>
        <v>3.8093649574648031E-2</v>
      </c>
      <c r="V170" s="156">
        <f t="shared" si="86"/>
        <v>3.9254478538511745E-2</v>
      </c>
      <c r="W170" s="164"/>
    </row>
    <row r="171" spans="1:23">
      <c r="A171" s="165"/>
      <c r="B171" s="156">
        <f t="shared" ref="B171:V171" si="87">B156/B$156</f>
        <v>1</v>
      </c>
      <c r="C171" s="156">
        <f t="shared" si="87"/>
        <v>1</v>
      </c>
      <c r="D171" s="156">
        <f t="shared" si="87"/>
        <v>1</v>
      </c>
      <c r="E171" s="156">
        <f t="shared" si="87"/>
        <v>1</v>
      </c>
      <c r="F171" s="156">
        <f t="shared" si="87"/>
        <v>1</v>
      </c>
      <c r="G171" s="156">
        <f t="shared" si="87"/>
        <v>1</v>
      </c>
      <c r="H171" s="156">
        <f t="shared" si="87"/>
        <v>1</v>
      </c>
      <c r="I171" s="156">
        <f t="shared" si="87"/>
        <v>1</v>
      </c>
      <c r="J171" s="156">
        <f t="shared" si="87"/>
        <v>1</v>
      </c>
      <c r="K171" s="156">
        <f t="shared" si="87"/>
        <v>1</v>
      </c>
      <c r="L171" s="156">
        <f t="shared" si="87"/>
        <v>1</v>
      </c>
      <c r="M171" s="156">
        <f t="shared" si="87"/>
        <v>1</v>
      </c>
      <c r="N171" s="156">
        <f t="shared" si="87"/>
        <v>1</v>
      </c>
      <c r="O171" s="156">
        <f t="shared" si="87"/>
        <v>1</v>
      </c>
      <c r="P171" s="156">
        <f t="shared" si="87"/>
        <v>1</v>
      </c>
      <c r="Q171" s="156">
        <f t="shared" si="87"/>
        <v>1</v>
      </c>
      <c r="R171" s="156">
        <f t="shared" si="87"/>
        <v>1</v>
      </c>
      <c r="S171" s="156">
        <f t="shared" si="87"/>
        <v>1</v>
      </c>
      <c r="T171" s="156">
        <f t="shared" si="87"/>
        <v>1</v>
      </c>
      <c r="U171" s="156">
        <f t="shared" si="87"/>
        <v>1</v>
      </c>
      <c r="V171" s="156">
        <f t="shared" si="87"/>
        <v>1</v>
      </c>
      <c r="W171" s="164"/>
    </row>
    <row r="172" spans="1:23">
      <c r="A172" s="164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64"/>
    </row>
    <row r="173" spans="1:23">
      <c r="A173" s="168" t="str">
        <f>A110</f>
        <v>Spot Rates</v>
      </c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64"/>
    </row>
    <row r="174" spans="1:23">
      <c r="A174" s="165" t="str">
        <f t="shared" ref="A174:A185" si="88">A159</f>
        <v>January</v>
      </c>
      <c r="B174" s="176"/>
      <c r="C174" s="176">
        <v>50.276172119999998</v>
      </c>
      <c r="D174" s="176">
        <v>49.292064809999999</v>
      </c>
      <c r="E174" s="176">
        <v>48.871634270000001</v>
      </c>
      <c r="F174" s="176">
        <v>48.114296760000002</v>
      </c>
      <c r="G174" s="176">
        <v>48.06361708</v>
      </c>
      <c r="H174" s="176">
        <v>47.985188090000001</v>
      </c>
      <c r="I174" s="176">
        <v>47.92342798</v>
      </c>
      <c r="J174" s="176">
        <v>47.851334469999998</v>
      </c>
      <c r="K174" s="176">
        <v>47.800795440000002</v>
      </c>
      <c r="L174" s="176">
        <v>47.727659449999997</v>
      </c>
      <c r="M174" s="176">
        <v>47.627052849999998</v>
      </c>
      <c r="N174" s="176">
        <v>47.543011270000001</v>
      </c>
      <c r="O174" s="176">
        <v>47.51406309</v>
      </c>
      <c r="P174" s="176">
        <v>47.472470049999998</v>
      </c>
      <c r="Q174" s="176">
        <v>48.311608300000003</v>
      </c>
      <c r="R174" s="176">
        <v>48.278161849999996</v>
      </c>
      <c r="S174" s="176">
        <v>48.241320610000002</v>
      </c>
      <c r="T174" s="176">
        <v>48.23143288</v>
      </c>
      <c r="U174" s="176">
        <v>48.193177519999999</v>
      </c>
      <c r="V174" s="176">
        <v>48.112318119999998</v>
      </c>
      <c r="W174" s="164"/>
    </row>
    <row r="175" spans="1:23">
      <c r="A175" s="165" t="str">
        <f t="shared" si="88"/>
        <v>February</v>
      </c>
      <c r="B175" s="176"/>
      <c r="C175" s="176">
        <v>41.817346350000001</v>
      </c>
      <c r="D175" s="176">
        <v>41.748309280000001</v>
      </c>
      <c r="E175" s="176">
        <v>41.724420000000002</v>
      </c>
      <c r="F175" s="176">
        <v>41.790971169999999</v>
      </c>
      <c r="G175" s="176">
        <v>41.746887319999999</v>
      </c>
      <c r="H175" s="176">
        <v>41.739237850000002</v>
      </c>
      <c r="I175" s="176">
        <v>41.750481800000003</v>
      </c>
      <c r="J175" s="176">
        <v>41.745338220000001</v>
      </c>
      <c r="K175" s="176">
        <v>41.759888549999999</v>
      </c>
      <c r="L175" s="176">
        <v>41.834905370000001</v>
      </c>
      <c r="M175" s="176">
        <v>41.87551191</v>
      </c>
      <c r="N175" s="176">
        <v>41.835226169999999</v>
      </c>
      <c r="O175" s="176">
        <v>41.857962829999998</v>
      </c>
      <c r="P175" s="176">
        <v>41.819254440000002</v>
      </c>
      <c r="Q175" s="176">
        <v>42.662712560000003</v>
      </c>
      <c r="R175" s="176">
        <v>42.681394259999998</v>
      </c>
      <c r="S175" s="176">
        <v>42.643273039999997</v>
      </c>
      <c r="T175" s="176">
        <v>42.634758580000003</v>
      </c>
      <c r="U175" s="176">
        <v>42.626866929999998</v>
      </c>
      <c r="V175" s="176">
        <v>42.619629170000003</v>
      </c>
      <c r="W175" s="164"/>
    </row>
    <row r="176" spans="1:23">
      <c r="A176" s="165" t="str">
        <f t="shared" si="88"/>
        <v>March</v>
      </c>
      <c r="B176" s="176"/>
      <c r="C176" s="176">
        <v>41.817346350000001</v>
      </c>
      <c r="D176" s="176">
        <v>41.748309280000001</v>
      </c>
      <c r="E176" s="176">
        <v>41.724420000000002</v>
      </c>
      <c r="F176" s="176">
        <v>41.790971169999999</v>
      </c>
      <c r="G176" s="176">
        <v>41.746887319999999</v>
      </c>
      <c r="H176" s="176">
        <v>41.739237850000002</v>
      </c>
      <c r="I176" s="176">
        <v>41.750481800000003</v>
      </c>
      <c r="J176" s="176">
        <v>41.745338220000001</v>
      </c>
      <c r="K176" s="176">
        <v>41.759888549999999</v>
      </c>
      <c r="L176" s="176">
        <v>41.834905370000001</v>
      </c>
      <c r="M176" s="176">
        <v>41.87551191</v>
      </c>
      <c r="N176" s="176">
        <v>41.835226169999999</v>
      </c>
      <c r="O176" s="176">
        <v>41.857962829999998</v>
      </c>
      <c r="P176" s="176">
        <v>41.819254440000002</v>
      </c>
      <c r="Q176" s="176">
        <v>42.662712560000003</v>
      </c>
      <c r="R176" s="176">
        <v>42.681394259999998</v>
      </c>
      <c r="S176" s="176">
        <v>42.643273039999997</v>
      </c>
      <c r="T176" s="176">
        <v>42.634758580000003</v>
      </c>
      <c r="U176" s="176">
        <v>42.626866929999998</v>
      </c>
      <c r="V176" s="176">
        <v>42.619629170000003</v>
      </c>
      <c r="W176" s="164"/>
    </row>
    <row r="177" spans="1:23">
      <c r="A177" s="165" t="str">
        <f t="shared" si="88"/>
        <v>April</v>
      </c>
      <c r="B177" s="176"/>
      <c r="C177" s="176">
        <v>45.644802769999998</v>
      </c>
      <c r="D177" s="176">
        <v>45.906999220000003</v>
      </c>
      <c r="E177" s="176">
        <v>45.99268799</v>
      </c>
      <c r="F177" s="176">
        <v>46.152457849999998</v>
      </c>
      <c r="G177" s="176">
        <v>46.158718229999998</v>
      </c>
      <c r="H177" s="176">
        <v>46.17733114</v>
      </c>
      <c r="I177" s="176">
        <v>46.215252710000001</v>
      </c>
      <c r="J177" s="176">
        <v>46.195517700000003</v>
      </c>
      <c r="K177" s="176">
        <v>46.225966669999998</v>
      </c>
      <c r="L177" s="176">
        <v>46.245486280000001</v>
      </c>
      <c r="M177" s="176">
        <v>46.286573279999999</v>
      </c>
      <c r="N177" s="176">
        <v>46.314709980000003</v>
      </c>
      <c r="O177" s="176">
        <v>46.347454259999999</v>
      </c>
      <c r="P177" s="176">
        <v>46.364830099999999</v>
      </c>
      <c r="Q177" s="176">
        <v>47.220839869999999</v>
      </c>
      <c r="R177" s="176">
        <v>47.235548139999999</v>
      </c>
      <c r="S177" s="176">
        <v>47.271625739999998</v>
      </c>
      <c r="T177" s="176">
        <v>47.3161731</v>
      </c>
      <c r="U177" s="176">
        <v>47.346890139999999</v>
      </c>
      <c r="V177" s="176">
        <v>47.344748350000003</v>
      </c>
      <c r="W177" s="164"/>
    </row>
    <row r="178" spans="1:23">
      <c r="A178" s="165" t="str">
        <f t="shared" si="88"/>
        <v>May</v>
      </c>
      <c r="B178" s="176"/>
      <c r="C178" s="176">
        <v>58.689083459999999</v>
      </c>
      <c r="D178" s="176">
        <v>58.100821000000003</v>
      </c>
      <c r="E178" s="176">
        <v>57.461687830000002</v>
      </c>
      <c r="F178" s="176">
        <v>57.919345980000003</v>
      </c>
      <c r="G178" s="176">
        <v>48.632180329999997</v>
      </c>
      <c r="H178" s="176">
        <v>53.624253199999998</v>
      </c>
      <c r="I178" s="176">
        <v>58.915942250000001</v>
      </c>
      <c r="J178" s="176">
        <v>59.030088880000001</v>
      </c>
      <c r="K178" s="176">
        <v>58.185289750000003</v>
      </c>
      <c r="L178" s="176">
        <v>58.186107210000003</v>
      </c>
      <c r="M178" s="176">
        <v>57.018796610000003</v>
      </c>
      <c r="N178" s="176">
        <v>56.019390420000001</v>
      </c>
      <c r="O178" s="176">
        <v>54.785273279999998</v>
      </c>
      <c r="P178" s="176">
        <v>56.348211910000003</v>
      </c>
      <c r="Q178" s="176">
        <v>59.278648250000003</v>
      </c>
      <c r="R178" s="176">
        <v>60.213965199999997</v>
      </c>
      <c r="S178" s="176">
        <v>60.133431620000003</v>
      </c>
      <c r="T178" s="176">
        <v>60.237749559999997</v>
      </c>
      <c r="U178" s="176">
        <v>57.747255699999997</v>
      </c>
      <c r="V178" s="176">
        <v>57.120286929999999</v>
      </c>
      <c r="W178" s="164"/>
    </row>
    <row r="179" spans="1:23">
      <c r="A179" s="165" t="str">
        <f t="shared" si="88"/>
        <v>June</v>
      </c>
      <c r="B179" s="176">
        <v>119.6982624</v>
      </c>
      <c r="C179" s="176">
        <v>109.2786763</v>
      </c>
      <c r="D179" s="176">
        <v>107.4110546</v>
      </c>
      <c r="E179" s="176">
        <v>105.2136455</v>
      </c>
      <c r="F179" s="176">
        <v>106.4071165</v>
      </c>
      <c r="G179" s="176">
        <v>68.223871369999998</v>
      </c>
      <c r="H179" s="176">
        <v>94.685686709999999</v>
      </c>
      <c r="I179" s="176">
        <v>109.4849347</v>
      </c>
      <c r="J179" s="176">
        <v>109.5895077</v>
      </c>
      <c r="K179" s="176">
        <v>107.21891189999999</v>
      </c>
      <c r="L179" s="176">
        <v>107.1349637</v>
      </c>
      <c r="M179" s="176">
        <v>104.3683817</v>
      </c>
      <c r="N179" s="176">
        <v>101.02728279999999</v>
      </c>
      <c r="O179" s="176">
        <v>97.5558604</v>
      </c>
      <c r="P179" s="176">
        <v>102.08996550000001</v>
      </c>
      <c r="Q179" s="176">
        <v>107.58108249999999</v>
      </c>
      <c r="R179" s="176">
        <v>110.5573703</v>
      </c>
      <c r="S179" s="176">
        <v>110.1751727</v>
      </c>
      <c r="T179" s="176">
        <v>110.4394211</v>
      </c>
      <c r="U179" s="176">
        <v>104.0923138</v>
      </c>
      <c r="V179" s="176">
        <v>102.5254025</v>
      </c>
      <c r="W179" s="164"/>
    </row>
    <row r="180" spans="1:23">
      <c r="A180" s="165" t="str">
        <f t="shared" si="88"/>
        <v>July</v>
      </c>
      <c r="B180" s="176">
        <v>200.74960490000001</v>
      </c>
      <c r="C180" s="176">
        <v>177.48117289999999</v>
      </c>
      <c r="D180" s="176">
        <v>170.2370583</v>
      </c>
      <c r="E180" s="176">
        <v>165.2013354</v>
      </c>
      <c r="F180" s="176">
        <v>168.53742829999999</v>
      </c>
      <c r="G180" s="176">
        <v>83.778960670000004</v>
      </c>
      <c r="H180" s="176">
        <v>139.4135134</v>
      </c>
      <c r="I180" s="176">
        <v>178.5405433</v>
      </c>
      <c r="J180" s="176">
        <v>178.80340810000001</v>
      </c>
      <c r="K180" s="176">
        <v>170.34071489999999</v>
      </c>
      <c r="L180" s="176">
        <v>170.04549890000001</v>
      </c>
      <c r="M180" s="176">
        <v>163.52485100000001</v>
      </c>
      <c r="N180" s="176">
        <v>155.51577209999999</v>
      </c>
      <c r="O180" s="176">
        <v>145.99592559999999</v>
      </c>
      <c r="P180" s="176">
        <v>158.10978119999999</v>
      </c>
      <c r="Q180" s="176">
        <v>171.14359540000001</v>
      </c>
      <c r="R180" s="176">
        <v>180.9578376</v>
      </c>
      <c r="S180" s="176">
        <v>180.10846520000001</v>
      </c>
      <c r="T180" s="176">
        <v>180.73672049999999</v>
      </c>
      <c r="U180" s="176">
        <v>162.35939680000001</v>
      </c>
      <c r="V180" s="176">
        <v>157.5536275</v>
      </c>
      <c r="W180" s="164"/>
    </row>
    <row r="181" spans="1:23">
      <c r="A181" s="165" t="str">
        <f t="shared" si="88"/>
        <v>August</v>
      </c>
      <c r="B181" s="176">
        <v>200.74960490000001</v>
      </c>
      <c r="C181" s="176">
        <v>177.48117289999999</v>
      </c>
      <c r="D181" s="176">
        <v>170.2370583</v>
      </c>
      <c r="E181" s="176">
        <v>165.2013354</v>
      </c>
      <c r="F181" s="176">
        <v>168.53742829999999</v>
      </c>
      <c r="G181" s="176">
        <v>83.778960670000004</v>
      </c>
      <c r="H181" s="176">
        <v>139.4135134</v>
      </c>
      <c r="I181" s="176">
        <v>178.5405433</v>
      </c>
      <c r="J181" s="176">
        <v>178.80340810000001</v>
      </c>
      <c r="K181" s="176">
        <v>170.34071489999999</v>
      </c>
      <c r="L181" s="176">
        <v>170.04549890000001</v>
      </c>
      <c r="M181" s="176">
        <v>163.52485100000001</v>
      </c>
      <c r="N181" s="176">
        <v>155.51577209999999</v>
      </c>
      <c r="O181" s="176">
        <v>145.99592559999999</v>
      </c>
      <c r="P181" s="176">
        <v>158.10978119999999</v>
      </c>
      <c r="Q181" s="176">
        <v>171.14359540000001</v>
      </c>
      <c r="R181" s="176">
        <v>180.9578376</v>
      </c>
      <c r="S181" s="176">
        <v>180.10846520000001</v>
      </c>
      <c r="T181" s="176">
        <v>180.73672049999999</v>
      </c>
      <c r="U181" s="176">
        <v>162.35939680000001</v>
      </c>
      <c r="V181" s="176">
        <v>157.5536275</v>
      </c>
      <c r="W181" s="164"/>
    </row>
    <row r="182" spans="1:23">
      <c r="A182" s="165" t="str">
        <f t="shared" si="88"/>
        <v>September</v>
      </c>
      <c r="B182" s="176">
        <v>65.474885459999996</v>
      </c>
      <c r="C182" s="176">
        <v>58.689083459999999</v>
      </c>
      <c r="D182" s="176">
        <v>58.100821000000003</v>
      </c>
      <c r="E182" s="176">
        <v>57.461687830000002</v>
      </c>
      <c r="F182" s="176">
        <v>57.919345980000003</v>
      </c>
      <c r="G182" s="176">
        <v>48.632180329999997</v>
      </c>
      <c r="H182" s="176">
        <v>53.624253199999998</v>
      </c>
      <c r="I182" s="176">
        <v>58.915942250000001</v>
      </c>
      <c r="J182" s="176">
        <v>59.030088880000001</v>
      </c>
      <c r="K182" s="176">
        <v>58.185289750000003</v>
      </c>
      <c r="L182" s="176">
        <v>58.186107210000003</v>
      </c>
      <c r="M182" s="176">
        <v>57.018796610000003</v>
      </c>
      <c r="N182" s="176">
        <v>56.019390420000001</v>
      </c>
      <c r="O182" s="176">
        <v>54.785273279999998</v>
      </c>
      <c r="P182" s="176">
        <v>56.348211910000003</v>
      </c>
      <c r="Q182" s="176">
        <v>59.278648250000003</v>
      </c>
      <c r="R182" s="176">
        <v>60.213965199999997</v>
      </c>
      <c r="S182" s="176">
        <v>60.133431620000003</v>
      </c>
      <c r="T182" s="176">
        <v>60.237749559999997</v>
      </c>
      <c r="U182" s="176">
        <v>57.747255699999997</v>
      </c>
      <c r="V182" s="176">
        <v>57.120286929999999</v>
      </c>
      <c r="W182" s="164"/>
    </row>
    <row r="183" spans="1:23">
      <c r="A183" s="165" t="str">
        <f t="shared" si="88"/>
        <v>October</v>
      </c>
      <c r="B183" s="176">
        <v>52.66540105</v>
      </c>
      <c r="C183" s="176">
        <v>45.789530360000001</v>
      </c>
      <c r="D183" s="176">
        <v>46.577470480000002</v>
      </c>
      <c r="E183" s="176">
        <v>47.031459339999998</v>
      </c>
      <c r="F183" s="176">
        <v>47.742775229999999</v>
      </c>
      <c r="G183" s="176">
        <v>47.844415580000003</v>
      </c>
      <c r="H183" s="176">
        <v>47.893237370000001</v>
      </c>
      <c r="I183" s="176">
        <v>47.945772689999998</v>
      </c>
      <c r="J183" s="176">
        <v>48.051463550000001</v>
      </c>
      <c r="K183" s="176">
        <v>48.074641470000003</v>
      </c>
      <c r="L183" s="176">
        <v>48.125682779999998</v>
      </c>
      <c r="M183" s="176">
        <v>48.206387999999997</v>
      </c>
      <c r="N183" s="176">
        <v>48.172355099999997</v>
      </c>
      <c r="O183" s="176">
        <v>48.179096860000001</v>
      </c>
      <c r="P183" s="176">
        <v>48.214159109999997</v>
      </c>
      <c r="Q183" s="176">
        <v>49.610740900000003</v>
      </c>
      <c r="R183" s="176">
        <v>49.635343859999999</v>
      </c>
      <c r="S183" s="176">
        <v>49.71153984</v>
      </c>
      <c r="T183" s="176">
        <v>49.706975929999999</v>
      </c>
      <c r="U183" s="176">
        <v>49.720502250000003</v>
      </c>
      <c r="V183" s="176">
        <v>49.735560960000001</v>
      </c>
      <c r="W183" s="164"/>
    </row>
    <row r="184" spans="1:23">
      <c r="A184" s="165" t="str">
        <f t="shared" si="88"/>
        <v>November</v>
      </c>
      <c r="B184" s="176">
        <v>53.728532940000001</v>
      </c>
      <c r="C184" s="176">
        <v>49.629084890000001</v>
      </c>
      <c r="D184" s="176">
        <v>49.842813739999997</v>
      </c>
      <c r="E184" s="176">
        <v>50.00419986</v>
      </c>
      <c r="F184" s="176">
        <v>50.15598731</v>
      </c>
      <c r="G184" s="176">
        <v>50.177827559999997</v>
      </c>
      <c r="H184" s="176">
        <v>50.220165530000003</v>
      </c>
      <c r="I184" s="176">
        <v>50.242813720000001</v>
      </c>
      <c r="J184" s="176">
        <v>50.286237190000001</v>
      </c>
      <c r="K184" s="176">
        <v>50.299502140000001</v>
      </c>
      <c r="L184" s="176">
        <v>50.292528799999999</v>
      </c>
      <c r="M184" s="176">
        <v>50.32686254</v>
      </c>
      <c r="N184" s="176">
        <v>50.320336650000002</v>
      </c>
      <c r="O184" s="176">
        <v>50.344943149999999</v>
      </c>
      <c r="P184" s="176">
        <v>50.359455420000003</v>
      </c>
      <c r="Q184" s="176">
        <v>51.339711940000001</v>
      </c>
      <c r="R184" s="176">
        <v>51.334918649999999</v>
      </c>
      <c r="S184" s="176">
        <v>51.330231499999996</v>
      </c>
      <c r="T184" s="176">
        <v>51.336928190000002</v>
      </c>
      <c r="U184" s="176">
        <v>51.332499489999996</v>
      </c>
      <c r="V184" s="176">
        <v>51.362057149999998</v>
      </c>
      <c r="W184" s="164"/>
    </row>
    <row r="185" spans="1:23">
      <c r="A185" s="165" t="str">
        <f t="shared" si="88"/>
        <v>December</v>
      </c>
      <c r="B185" s="176">
        <v>53.728532940000001</v>
      </c>
      <c r="C185" s="176">
        <v>49.629084890000001</v>
      </c>
      <c r="D185" s="176">
        <v>49.842813739999997</v>
      </c>
      <c r="E185" s="176">
        <v>50.00419986</v>
      </c>
      <c r="F185" s="176">
        <v>50.15598731</v>
      </c>
      <c r="G185" s="176">
        <v>50.177827559999997</v>
      </c>
      <c r="H185" s="176">
        <v>50.220165530000003</v>
      </c>
      <c r="I185" s="176">
        <v>50.242813720000001</v>
      </c>
      <c r="J185" s="176">
        <v>50.286237190000001</v>
      </c>
      <c r="K185" s="176">
        <v>50.299502140000001</v>
      </c>
      <c r="L185" s="176">
        <v>50.292528799999999</v>
      </c>
      <c r="M185" s="176">
        <v>50.32686254</v>
      </c>
      <c r="N185" s="176">
        <v>50.320336650000002</v>
      </c>
      <c r="O185" s="176">
        <v>50.344943149999999</v>
      </c>
      <c r="P185" s="176">
        <v>50.359455420000003</v>
      </c>
      <c r="Q185" s="176">
        <v>51.339711940000001</v>
      </c>
      <c r="R185" s="176">
        <v>51.334918649999999</v>
      </c>
      <c r="S185" s="176">
        <v>51.330231499999996</v>
      </c>
      <c r="T185" s="176">
        <v>51.336928190000002</v>
      </c>
      <c r="U185" s="176">
        <v>51.332499489999996</v>
      </c>
      <c r="V185" s="176">
        <v>51.362057149999998</v>
      </c>
      <c r="W185" s="164"/>
    </row>
    <row r="186" spans="1:23">
      <c r="A186" s="165"/>
      <c r="W186" s="164"/>
    </row>
    <row r="187" spans="1:23">
      <c r="A187" s="168" t="s">
        <v>203</v>
      </c>
      <c r="W187" s="164"/>
    </row>
    <row r="188" spans="1:23">
      <c r="A188" s="165" t="str">
        <f t="shared" ref="A188:A199" si="89">A174</f>
        <v>January</v>
      </c>
      <c r="B188" s="176"/>
      <c r="C188" s="176">
        <v>3.8354166699999999</v>
      </c>
      <c r="D188" s="176">
        <v>3.8354166699999999</v>
      </c>
      <c r="E188" s="176">
        <v>3.8354166699999999</v>
      </c>
      <c r="F188" s="176">
        <v>3.8354166699999999</v>
      </c>
      <c r="G188" s="176">
        <v>3.8354166699999999</v>
      </c>
      <c r="H188" s="176">
        <v>3.8354166699999999</v>
      </c>
      <c r="I188" s="176">
        <v>3.8354166699999999</v>
      </c>
      <c r="J188" s="176">
        <v>3.8354166699999999</v>
      </c>
      <c r="K188" s="176">
        <v>3.8354166699999999</v>
      </c>
      <c r="L188" s="176">
        <v>3.8354166699999999</v>
      </c>
      <c r="M188" s="176">
        <v>3.8354166699999999</v>
      </c>
      <c r="N188" s="176">
        <v>3.8354166699999999</v>
      </c>
      <c r="O188" s="176">
        <v>3.8354166699999999</v>
      </c>
      <c r="P188" s="176">
        <v>3.8354166699999999</v>
      </c>
      <c r="Q188" s="176">
        <v>3.9375</v>
      </c>
      <c r="R188" s="176">
        <v>3.9375</v>
      </c>
      <c r="S188" s="176">
        <v>3.9375</v>
      </c>
      <c r="T188" s="176">
        <v>3.9375</v>
      </c>
      <c r="U188" s="176">
        <v>3.9375</v>
      </c>
      <c r="V188" s="176">
        <v>3.9375</v>
      </c>
      <c r="W188" s="164"/>
    </row>
    <row r="189" spans="1:23">
      <c r="A189" s="165" t="str">
        <f t="shared" si="89"/>
        <v>February</v>
      </c>
      <c r="B189" s="176"/>
      <c r="C189" s="176">
        <v>3.8354166699999999</v>
      </c>
      <c r="D189" s="176">
        <v>3.8354166699999999</v>
      </c>
      <c r="E189" s="176">
        <v>3.8354166699999999</v>
      </c>
      <c r="F189" s="176">
        <v>3.8354166699999999</v>
      </c>
      <c r="G189" s="176">
        <v>3.8354166699999999</v>
      </c>
      <c r="H189" s="176">
        <v>3.8354166699999999</v>
      </c>
      <c r="I189" s="176">
        <v>3.8354166699999999</v>
      </c>
      <c r="J189" s="176">
        <v>3.8354166699999999</v>
      </c>
      <c r="K189" s="176">
        <v>3.8354166699999999</v>
      </c>
      <c r="L189" s="176">
        <v>3.8354166699999999</v>
      </c>
      <c r="M189" s="176">
        <v>3.8354166699999999</v>
      </c>
      <c r="N189" s="176">
        <v>3.8354166699999999</v>
      </c>
      <c r="O189" s="176">
        <v>3.8354166699999999</v>
      </c>
      <c r="P189" s="176">
        <v>3.8354166699999999</v>
      </c>
      <c r="Q189" s="176">
        <v>3.9375</v>
      </c>
      <c r="R189" s="176">
        <v>3.9375</v>
      </c>
      <c r="S189" s="176">
        <v>3.9375</v>
      </c>
      <c r="T189" s="176">
        <v>3.9375</v>
      </c>
      <c r="U189" s="176">
        <v>3.9375</v>
      </c>
      <c r="V189" s="176">
        <v>3.9375</v>
      </c>
      <c r="W189" s="164"/>
    </row>
    <row r="190" spans="1:23">
      <c r="A190" s="165" t="str">
        <f t="shared" si="89"/>
        <v>March</v>
      </c>
      <c r="B190" s="176"/>
      <c r="C190" s="176">
        <v>3.8354166699999999</v>
      </c>
      <c r="D190" s="176">
        <v>3.8354166699999999</v>
      </c>
      <c r="E190" s="176">
        <v>3.8354166699999999</v>
      </c>
      <c r="F190" s="176">
        <v>3.8354166699999999</v>
      </c>
      <c r="G190" s="176">
        <v>3.8354166699999999</v>
      </c>
      <c r="H190" s="176">
        <v>3.8354166699999999</v>
      </c>
      <c r="I190" s="176">
        <v>3.8354166699999999</v>
      </c>
      <c r="J190" s="176">
        <v>3.8354166699999999</v>
      </c>
      <c r="K190" s="176">
        <v>3.8354166699999999</v>
      </c>
      <c r="L190" s="176">
        <v>3.8354166699999999</v>
      </c>
      <c r="M190" s="176">
        <v>3.8354166699999999</v>
      </c>
      <c r="N190" s="176">
        <v>3.8354166699999999</v>
      </c>
      <c r="O190" s="176">
        <v>3.8354166699999999</v>
      </c>
      <c r="P190" s="176">
        <v>3.8354166699999999</v>
      </c>
      <c r="Q190" s="176">
        <v>3.9375</v>
      </c>
      <c r="R190" s="176">
        <v>3.9375</v>
      </c>
      <c r="S190" s="176">
        <v>3.9375</v>
      </c>
      <c r="T190" s="176">
        <v>3.9375</v>
      </c>
      <c r="U190" s="176">
        <v>3.9375</v>
      </c>
      <c r="V190" s="176">
        <v>3.9375</v>
      </c>
      <c r="W190" s="164"/>
    </row>
    <row r="191" spans="1:23">
      <c r="A191" s="165" t="str">
        <f t="shared" si="89"/>
        <v>April</v>
      </c>
      <c r="B191" s="176"/>
      <c r="C191" s="176">
        <v>3.98020833</v>
      </c>
      <c r="D191" s="176">
        <v>3.98020833</v>
      </c>
      <c r="E191" s="176">
        <v>3.98020833</v>
      </c>
      <c r="F191" s="176">
        <v>3.98020833</v>
      </c>
      <c r="G191" s="176">
        <v>3.98020833</v>
      </c>
      <c r="H191" s="176">
        <v>3.98020833</v>
      </c>
      <c r="I191" s="176">
        <v>3.98020833</v>
      </c>
      <c r="J191" s="176">
        <v>3.98020833</v>
      </c>
      <c r="K191" s="176">
        <v>3.98020833</v>
      </c>
      <c r="L191" s="176">
        <v>3.98020833</v>
      </c>
      <c r="M191" s="176">
        <v>3.98020833</v>
      </c>
      <c r="N191" s="176">
        <v>3.98020833</v>
      </c>
      <c r="O191" s="176">
        <v>3.98020833</v>
      </c>
      <c r="P191" s="176">
        <v>3.98020833</v>
      </c>
      <c r="Q191" s="176">
        <v>4.08229167</v>
      </c>
      <c r="R191" s="176">
        <v>4.08229167</v>
      </c>
      <c r="S191" s="176">
        <v>4.08229167</v>
      </c>
      <c r="T191" s="176">
        <v>4.08229167</v>
      </c>
      <c r="U191" s="176">
        <v>4.08229167</v>
      </c>
      <c r="V191" s="176">
        <v>4.08229167</v>
      </c>
      <c r="W191" s="164"/>
    </row>
    <row r="192" spans="1:23">
      <c r="A192" s="165" t="str">
        <f t="shared" si="89"/>
        <v>May</v>
      </c>
      <c r="B192" s="176"/>
      <c r="C192" s="176">
        <v>3.8177083299999999</v>
      </c>
      <c r="D192" s="176">
        <v>3.8177083299999999</v>
      </c>
      <c r="E192" s="176">
        <v>3.8177083299999999</v>
      </c>
      <c r="F192" s="176">
        <v>3.8177083299999999</v>
      </c>
      <c r="G192" s="176">
        <v>3.8177083299999999</v>
      </c>
      <c r="H192" s="176">
        <v>3.8177083299999999</v>
      </c>
      <c r="I192" s="176">
        <v>3.8177083299999999</v>
      </c>
      <c r="J192" s="176">
        <v>3.8177083299999999</v>
      </c>
      <c r="K192" s="176">
        <v>3.8177083299999999</v>
      </c>
      <c r="L192" s="176">
        <v>3.8177083299999999</v>
      </c>
      <c r="M192" s="176">
        <v>3.8177083299999999</v>
      </c>
      <c r="N192" s="176">
        <v>3.8177083299999999</v>
      </c>
      <c r="O192" s="176">
        <v>3.8177083299999999</v>
      </c>
      <c r="P192" s="176">
        <v>3.8177083299999999</v>
      </c>
      <c r="Q192" s="176">
        <v>3.91979167</v>
      </c>
      <c r="R192" s="176">
        <v>3.91979167</v>
      </c>
      <c r="S192" s="176">
        <v>3.91979167</v>
      </c>
      <c r="T192" s="176">
        <v>3.91979167</v>
      </c>
      <c r="U192" s="176">
        <v>3.91979167</v>
      </c>
      <c r="V192" s="176">
        <v>3.91979167</v>
      </c>
      <c r="W192" s="164"/>
    </row>
    <row r="193" spans="1:31">
      <c r="A193" s="165" t="str">
        <f t="shared" si="89"/>
        <v>June</v>
      </c>
      <c r="B193" s="176">
        <v>4.2322916700000004</v>
      </c>
      <c r="C193" s="176">
        <v>3.8093750000000002</v>
      </c>
      <c r="D193" s="176">
        <v>3.8093750000000002</v>
      </c>
      <c r="E193" s="176">
        <v>3.8093750000000002</v>
      </c>
      <c r="F193" s="176">
        <v>3.8093750000000002</v>
      </c>
      <c r="G193" s="176">
        <v>3.8093750000000002</v>
      </c>
      <c r="H193" s="176">
        <v>3.8093750000000002</v>
      </c>
      <c r="I193" s="176">
        <v>3.8093750000000002</v>
      </c>
      <c r="J193" s="176">
        <v>3.8093750000000002</v>
      </c>
      <c r="K193" s="176">
        <v>3.8093750000000002</v>
      </c>
      <c r="L193" s="176">
        <v>3.8093750000000002</v>
      </c>
      <c r="M193" s="176">
        <v>3.8093750000000002</v>
      </c>
      <c r="N193" s="176">
        <v>3.8093750000000002</v>
      </c>
      <c r="O193" s="176">
        <v>3.8093750000000002</v>
      </c>
      <c r="P193" s="176">
        <v>3.8093750000000002</v>
      </c>
      <c r="Q193" s="176">
        <v>3.9125000000000001</v>
      </c>
      <c r="R193" s="176">
        <v>3.9125000000000001</v>
      </c>
      <c r="S193" s="176">
        <v>3.9125000000000001</v>
      </c>
      <c r="T193" s="176">
        <v>3.9125000000000001</v>
      </c>
      <c r="U193" s="176">
        <v>3.9125000000000001</v>
      </c>
      <c r="V193" s="176">
        <v>3.9125000000000001</v>
      </c>
      <c r="W193" s="164"/>
    </row>
    <row r="194" spans="1:31">
      <c r="A194" s="165" t="str">
        <f t="shared" si="89"/>
        <v>July</v>
      </c>
      <c r="B194" s="176">
        <v>4.1906249999999998</v>
      </c>
      <c r="C194" s="176">
        <v>3.7718750000000001</v>
      </c>
      <c r="D194" s="176">
        <v>3.7718750000000001</v>
      </c>
      <c r="E194" s="176">
        <v>3.7718750000000001</v>
      </c>
      <c r="F194" s="176">
        <v>3.7718750000000001</v>
      </c>
      <c r="G194" s="176">
        <v>3.7718750000000001</v>
      </c>
      <c r="H194" s="176">
        <v>3.7718750000000001</v>
      </c>
      <c r="I194" s="176">
        <v>3.7718750000000001</v>
      </c>
      <c r="J194" s="176">
        <v>3.7718750000000001</v>
      </c>
      <c r="K194" s="176">
        <v>3.7718750000000001</v>
      </c>
      <c r="L194" s="176">
        <v>3.7718750000000001</v>
      </c>
      <c r="M194" s="176">
        <v>3.7718750000000001</v>
      </c>
      <c r="N194" s="176">
        <v>3.7718750000000001</v>
      </c>
      <c r="O194" s="176">
        <v>3.7718750000000001</v>
      </c>
      <c r="P194" s="176">
        <v>3.7718750000000001</v>
      </c>
      <c r="Q194" s="176">
        <v>3.8739583299999998</v>
      </c>
      <c r="R194" s="176">
        <v>3.8739583299999998</v>
      </c>
      <c r="S194" s="176">
        <v>3.8739583299999998</v>
      </c>
      <c r="T194" s="176">
        <v>3.8739583299999998</v>
      </c>
      <c r="U194" s="176">
        <v>3.8739583299999998</v>
      </c>
      <c r="V194" s="176">
        <v>3.8739583299999998</v>
      </c>
      <c r="W194" s="164"/>
    </row>
    <row r="195" spans="1:31">
      <c r="A195" s="165" t="str">
        <f t="shared" si="89"/>
        <v>August</v>
      </c>
      <c r="B195" s="176">
        <v>4.1906249999999998</v>
      </c>
      <c r="C195" s="176">
        <v>3.7718750000000001</v>
      </c>
      <c r="D195" s="176">
        <v>3.7718750000000001</v>
      </c>
      <c r="E195" s="176">
        <v>3.7718750000000001</v>
      </c>
      <c r="F195" s="176">
        <v>3.7718750000000001</v>
      </c>
      <c r="G195" s="176">
        <v>3.7718750000000001</v>
      </c>
      <c r="H195" s="176">
        <v>3.7718750000000001</v>
      </c>
      <c r="I195" s="176">
        <v>3.7718750000000001</v>
      </c>
      <c r="J195" s="176">
        <v>3.7718750000000001</v>
      </c>
      <c r="K195" s="176">
        <v>3.7718750000000001</v>
      </c>
      <c r="L195" s="176">
        <v>3.7718750000000001</v>
      </c>
      <c r="M195" s="176">
        <v>3.7718750000000001</v>
      </c>
      <c r="N195" s="176">
        <v>3.7718750000000001</v>
      </c>
      <c r="O195" s="176">
        <v>3.7718750000000001</v>
      </c>
      <c r="P195" s="176">
        <v>3.7718750000000001</v>
      </c>
      <c r="Q195" s="176">
        <v>3.8739583299999998</v>
      </c>
      <c r="R195" s="176">
        <v>3.8739583299999998</v>
      </c>
      <c r="S195" s="176">
        <v>3.8739583299999998</v>
      </c>
      <c r="T195" s="176">
        <v>3.8739583299999998</v>
      </c>
      <c r="U195" s="176">
        <v>3.8739583299999998</v>
      </c>
      <c r="V195" s="176">
        <v>3.8739583299999998</v>
      </c>
      <c r="W195" s="164"/>
    </row>
    <row r="196" spans="1:31">
      <c r="A196" s="165" t="str">
        <f t="shared" si="89"/>
        <v>September</v>
      </c>
      <c r="B196" s="176">
        <v>4.2416666699999999</v>
      </c>
      <c r="C196" s="176">
        <v>3.8177083299999999</v>
      </c>
      <c r="D196" s="176">
        <v>3.8177083299999999</v>
      </c>
      <c r="E196" s="176">
        <v>3.8177083299999999</v>
      </c>
      <c r="F196" s="176">
        <v>3.8177083299999999</v>
      </c>
      <c r="G196" s="176">
        <v>3.8177083299999999</v>
      </c>
      <c r="H196" s="176">
        <v>3.8177083299999999</v>
      </c>
      <c r="I196" s="176">
        <v>3.8177083299999999</v>
      </c>
      <c r="J196" s="176">
        <v>3.8177083299999999</v>
      </c>
      <c r="K196" s="176">
        <v>3.8177083299999999</v>
      </c>
      <c r="L196" s="176">
        <v>3.8177083299999999</v>
      </c>
      <c r="M196" s="176">
        <v>3.8177083299999999</v>
      </c>
      <c r="N196" s="176">
        <v>3.8177083299999999</v>
      </c>
      <c r="O196" s="176">
        <v>3.8177083299999999</v>
      </c>
      <c r="P196" s="176">
        <v>3.8177083299999999</v>
      </c>
      <c r="Q196" s="176">
        <v>3.91979167</v>
      </c>
      <c r="R196" s="176">
        <v>3.91979167</v>
      </c>
      <c r="S196" s="176">
        <v>3.91979167</v>
      </c>
      <c r="T196" s="176">
        <v>3.91979167</v>
      </c>
      <c r="U196" s="176">
        <v>3.91979167</v>
      </c>
      <c r="V196" s="176">
        <v>3.91979167</v>
      </c>
      <c r="W196" s="164"/>
    </row>
    <row r="197" spans="1:31">
      <c r="A197" s="165" t="str">
        <f t="shared" si="89"/>
        <v>October</v>
      </c>
      <c r="B197" s="176">
        <v>4.1968750000000004</v>
      </c>
      <c r="C197" s="176">
        <v>3.7781250000000002</v>
      </c>
      <c r="D197" s="176">
        <v>3.7781250000000002</v>
      </c>
      <c r="E197" s="176">
        <v>3.7781250000000002</v>
      </c>
      <c r="F197" s="176">
        <v>3.7781250000000002</v>
      </c>
      <c r="G197" s="176">
        <v>3.7781250000000002</v>
      </c>
      <c r="H197" s="176">
        <v>3.7781250000000002</v>
      </c>
      <c r="I197" s="176">
        <v>3.7781250000000002</v>
      </c>
      <c r="J197" s="176">
        <v>3.7781250000000002</v>
      </c>
      <c r="K197" s="176">
        <v>3.7781250000000002</v>
      </c>
      <c r="L197" s="176">
        <v>3.7781250000000002</v>
      </c>
      <c r="M197" s="176">
        <v>3.7781250000000002</v>
      </c>
      <c r="N197" s="176">
        <v>3.7781250000000002</v>
      </c>
      <c r="O197" s="176">
        <v>3.7781250000000002</v>
      </c>
      <c r="P197" s="176">
        <v>3.7781250000000002</v>
      </c>
      <c r="Q197" s="176">
        <v>3.8802083299999999</v>
      </c>
      <c r="R197" s="176">
        <v>3.8802083299999999</v>
      </c>
      <c r="S197" s="176">
        <v>3.8802083299999999</v>
      </c>
      <c r="T197" s="176">
        <v>3.8802083299999999</v>
      </c>
      <c r="U197" s="176">
        <v>3.8802083299999999</v>
      </c>
      <c r="V197" s="176">
        <v>3.8802083299999999</v>
      </c>
      <c r="W197" s="164"/>
    </row>
    <row r="198" spans="1:31">
      <c r="A198" s="165" t="str">
        <f t="shared" si="89"/>
        <v>November</v>
      </c>
      <c r="B198" s="176">
        <v>4.1968750000000004</v>
      </c>
      <c r="C198" s="176">
        <v>3.7781250000000002</v>
      </c>
      <c r="D198" s="176">
        <v>3.7781250000000002</v>
      </c>
      <c r="E198" s="176">
        <v>3.7781250000000002</v>
      </c>
      <c r="F198" s="176">
        <v>3.7781250000000002</v>
      </c>
      <c r="G198" s="176">
        <v>3.7781250000000002</v>
      </c>
      <c r="H198" s="176">
        <v>3.7781250000000002</v>
      </c>
      <c r="I198" s="176">
        <v>3.7781250000000002</v>
      </c>
      <c r="J198" s="176">
        <v>3.7781250000000002</v>
      </c>
      <c r="K198" s="176">
        <v>3.7781250000000002</v>
      </c>
      <c r="L198" s="176">
        <v>3.7781250000000002</v>
      </c>
      <c r="M198" s="176">
        <v>3.7781250000000002</v>
      </c>
      <c r="N198" s="176">
        <v>3.7781250000000002</v>
      </c>
      <c r="O198" s="176">
        <v>3.7781250000000002</v>
      </c>
      <c r="P198" s="176">
        <v>3.7781250000000002</v>
      </c>
      <c r="Q198" s="176">
        <v>3.8802083299999999</v>
      </c>
      <c r="R198" s="176">
        <v>3.8802083299999999</v>
      </c>
      <c r="S198" s="176">
        <v>3.8802083299999999</v>
      </c>
      <c r="T198" s="176">
        <v>3.8802083299999999</v>
      </c>
      <c r="U198" s="176">
        <v>3.8802083299999999</v>
      </c>
      <c r="V198" s="176">
        <v>3.8802083299999999</v>
      </c>
      <c r="W198" s="164"/>
    </row>
    <row r="199" spans="1:31">
      <c r="A199" s="165" t="str">
        <f t="shared" si="89"/>
        <v>December</v>
      </c>
      <c r="B199" s="176">
        <v>4.1968750000000004</v>
      </c>
      <c r="C199" s="176">
        <v>3.7781250000000002</v>
      </c>
      <c r="D199" s="176">
        <v>3.7781250000000002</v>
      </c>
      <c r="E199" s="176">
        <v>3.7781250000000002</v>
      </c>
      <c r="F199" s="176">
        <v>3.7781250000000002</v>
      </c>
      <c r="G199" s="176">
        <v>3.7781250000000002</v>
      </c>
      <c r="H199" s="176">
        <v>3.7781250000000002</v>
      </c>
      <c r="I199" s="176">
        <v>3.7781250000000002</v>
      </c>
      <c r="J199" s="176">
        <v>3.7781250000000002</v>
      </c>
      <c r="K199" s="176">
        <v>3.7781250000000002</v>
      </c>
      <c r="L199" s="176">
        <v>3.7781250000000002</v>
      </c>
      <c r="M199" s="176">
        <v>3.7781250000000002</v>
      </c>
      <c r="N199" s="176">
        <v>3.7781250000000002</v>
      </c>
      <c r="O199" s="176">
        <v>3.7781250000000002</v>
      </c>
      <c r="P199" s="176">
        <v>3.7781250000000002</v>
      </c>
      <c r="Q199" s="176">
        <v>3.8802083299999999</v>
      </c>
      <c r="R199" s="176">
        <v>3.8802083299999999</v>
      </c>
      <c r="S199" s="176">
        <v>3.8802083299999999</v>
      </c>
      <c r="T199" s="176">
        <v>3.8802083299999999</v>
      </c>
      <c r="U199" s="176">
        <v>3.8802083299999999</v>
      </c>
      <c r="V199" s="176">
        <v>3.8802083299999999</v>
      </c>
      <c r="W199" s="164"/>
    </row>
    <row r="200" spans="1:31">
      <c r="A200" s="186"/>
      <c r="B200" s="174"/>
      <c r="C200" s="174"/>
      <c r="D200" s="174"/>
      <c r="E200" s="174"/>
      <c r="F200" s="174"/>
      <c r="G200" s="174"/>
      <c r="H200" s="174"/>
      <c r="I200" s="174"/>
      <c r="J200" s="174"/>
      <c r="K200" s="174"/>
      <c r="L200" s="174"/>
      <c r="M200" s="174"/>
      <c r="N200" s="174"/>
      <c r="O200" s="174"/>
      <c r="P200" s="174"/>
      <c r="Q200" s="174"/>
      <c r="R200" s="174"/>
      <c r="S200" s="174"/>
      <c r="T200" s="174"/>
      <c r="U200" s="174"/>
      <c r="V200" s="174"/>
    </row>
    <row r="201" spans="1:31">
      <c r="B201" s="176"/>
      <c r="C201" s="176"/>
      <c r="D201" s="176"/>
      <c r="E201" s="176"/>
      <c r="F201" s="176"/>
      <c r="G201" s="176"/>
      <c r="H201" s="176"/>
      <c r="I201" s="176"/>
      <c r="J201" s="176"/>
      <c r="K201" s="176"/>
      <c r="L201" s="176"/>
      <c r="M201" s="176"/>
      <c r="N201" s="176"/>
      <c r="O201" s="176"/>
      <c r="P201" s="176"/>
      <c r="Q201" s="176"/>
      <c r="R201" s="176"/>
      <c r="S201" s="176"/>
      <c r="T201" s="176"/>
      <c r="U201" s="176"/>
      <c r="V201" s="176"/>
      <c r="W201" s="176"/>
      <c r="X201" s="157"/>
    </row>
    <row r="202" spans="1:31"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X202" s="156"/>
      <c r="Y202" s="156"/>
      <c r="Z202" s="156"/>
      <c r="AA202" s="156"/>
      <c r="AB202" s="156"/>
      <c r="AC202" s="156"/>
      <c r="AD202" s="156"/>
      <c r="AE202" s="156"/>
    </row>
    <row r="203" spans="1:31">
      <c r="B203" s="157"/>
    </row>
    <row r="204" spans="1:31">
      <c r="B204" s="157"/>
    </row>
    <row r="205" spans="1:31">
      <c r="B205" s="157"/>
    </row>
    <row r="206" spans="1:31">
      <c r="B206" s="157"/>
    </row>
    <row r="207" spans="1:31">
      <c r="B207" s="157"/>
    </row>
    <row r="208" spans="1:31">
      <c r="B208" s="157"/>
    </row>
    <row r="209" spans="2:22">
      <c r="B209" s="157"/>
    </row>
    <row r="210" spans="2:22">
      <c r="B210" s="157"/>
    </row>
    <row r="211" spans="2:22">
      <c r="B211" s="157"/>
    </row>
    <row r="212" spans="2:22">
      <c r="B212" s="157"/>
    </row>
    <row r="213" spans="2:22">
      <c r="B213" s="157"/>
    </row>
    <row r="214" spans="2:22">
      <c r="B214" s="157"/>
    </row>
    <row r="215" spans="2:22">
      <c r="B215" s="157"/>
    </row>
    <row r="216" spans="2:22">
      <c r="B216" s="157"/>
    </row>
    <row r="217" spans="2:22">
      <c r="B217" s="157"/>
    </row>
    <row r="218" spans="2:22">
      <c r="B218" s="157"/>
    </row>
    <row r="219" spans="2:22">
      <c r="B219" s="157"/>
    </row>
    <row r="220" spans="2:22">
      <c r="B220" s="157"/>
    </row>
    <row r="221" spans="2:22">
      <c r="B221" s="157"/>
    </row>
    <row r="222" spans="2:22"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</row>
    <row r="228" spans="2:22">
      <c r="B228" s="176"/>
      <c r="C228" s="176"/>
      <c r="D228" s="176"/>
      <c r="E228" s="176"/>
      <c r="F228" s="176"/>
      <c r="G228" s="176"/>
      <c r="H228" s="176"/>
      <c r="I228" s="176"/>
      <c r="J228" s="176"/>
      <c r="K228" s="176"/>
      <c r="L228" s="176"/>
      <c r="M228" s="176"/>
      <c r="N228" s="176"/>
      <c r="O228" s="176"/>
      <c r="P228" s="176"/>
      <c r="Q228" s="176"/>
      <c r="R228" s="176"/>
      <c r="S228" s="176"/>
      <c r="T228" s="176"/>
      <c r="U228" s="176"/>
      <c r="V228" s="176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5" manualBreakCount="5">
    <brk id="46" max="21" man="1"/>
    <brk id="73" max="21" man="1"/>
    <brk id="109" max="21" man="1"/>
    <brk id="137" max="21" man="1"/>
    <brk id="171" max="2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V123"/>
  <sheetViews>
    <sheetView showOutlineSymbols="0" zoomScaleNormal="75" workbookViewId="0">
      <selection activeCell="C18" sqref="C18"/>
    </sheetView>
  </sheetViews>
  <sheetFormatPr defaultColWidth="8.81640625" defaultRowHeight="15"/>
  <cols>
    <col min="1" max="1" width="23.81640625" style="191" customWidth="1"/>
    <col min="2" max="2" width="5.81640625" style="191" customWidth="1"/>
    <col min="3" max="22" width="10.08984375" style="580" customWidth="1"/>
    <col min="23" max="23" width="4.08984375" style="580" customWidth="1"/>
    <col min="24" max="51" width="10.81640625" style="580" customWidth="1"/>
    <col min="52" max="252" width="10.81640625" style="191" customWidth="1"/>
    <col min="253" max="16384" width="8.81640625" style="191"/>
  </cols>
  <sheetData>
    <row r="1" spans="1:41" ht="22.2">
      <c r="A1" s="188" t="s">
        <v>0</v>
      </c>
      <c r="B1" s="189"/>
      <c r="C1" s="579"/>
      <c r="D1" s="579"/>
      <c r="E1" s="579"/>
      <c r="F1" s="579"/>
      <c r="G1" s="579"/>
      <c r="H1" s="579"/>
      <c r="I1" s="579"/>
      <c r="J1" s="579"/>
      <c r="K1" s="579"/>
      <c r="L1" s="579"/>
      <c r="M1" s="579"/>
      <c r="N1" s="579"/>
      <c r="O1" s="579"/>
      <c r="P1" s="579"/>
      <c r="Q1" s="579"/>
      <c r="R1" s="190"/>
      <c r="S1" s="579"/>
      <c r="T1" s="579"/>
      <c r="U1" s="579"/>
      <c r="V1" s="579"/>
      <c r="W1" s="579"/>
      <c r="X1" s="579"/>
      <c r="Y1" s="579"/>
      <c r="Z1" s="579"/>
      <c r="AA1" s="579"/>
      <c r="AB1" s="579"/>
      <c r="AC1" s="579"/>
      <c r="AD1" s="579"/>
      <c r="AE1" s="579"/>
      <c r="AF1" s="579"/>
      <c r="AG1" s="579"/>
      <c r="AH1" s="579"/>
      <c r="AI1" s="579"/>
      <c r="AJ1" s="579"/>
      <c r="AK1" s="579"/>
      <c r="AL1" s="579"/>
      <c r="AM1" s="579"/>
      <c r="AN1" s="579"/>
      <c r="AO1" s="579"/>
    </row>
    <row r="2" spans="1:41" ht="15.6">
      <c r="A2" s="192" t="s">
        <v>208</v>
      </c>
      <c r="B2" s="193"/>
      <c r="C2" s="581"/>
      <c r="D2" s="579"/>
      <c r="E2" s="579"/>
      <c r="F2" s="579"/>
      <c r="G2" s="579"/>
      <c r="H2" s="579"/>
      <c r="I2" s="579"/>
      <c r="J2" s="579"/>
      <c r="K2" s="579"/>
      <c r="L2" s="579"/>
      <c r="M2" s="579"/>
      <c r="N2" s="579"/>
      <c r="O2" s="579"/>
      <c r="P2" s="579"/>
      <c r="Q2" s="579"/>
      <c r="R2" s="582"/>
      <c r="S2" s="579"/>
      <c r="T2" s="579"/>
      <c r="U2" s="579"/>
      <c r="V2" s="579"/>
      <c r="W2" s="579"/>
      <c r="X2" s="579"/>
      <c r="Y2" s="579"/>
      <c r="Z2" s="579"/>
      <c r="AA2" s="579"/>
      <c r="AB2" s="579"/>
      <c r="AC2" s="579"/>
      <c r="AD2" s="579"/>
      <c r="AE2" s="579"/>
      <c r="AF2" s="579"/>
      <c r="AG2" s="579"/>
      <c r="AH2" s="579"/>
      <c r="AI2" s="579"/>
      <c r="AJ2" s="579"/>
      <c r="AK2" s="579"/>
      <c r="AL2" s="579"/>
      <c r="AM2" s="579"/>
      <c r="AN2" s="579"/>
      <c r="AO2" s="579"/>
    </row>
    <row r="3" spans="1:41" ht="12.75" customHeight="1">
      <c r="A3" s="195"/>
      <c r="B3" s="195"/>
      <c r="C3" s="583"/>
      <c r="D3" s="583"/>
      <c r="E3" s="583"/>
      <c r="F3" s="583"/>
      <c r="G3" s="583"/>
      <c r="H3" s="583"/>
      <c r="I3" s="583"/>
      <c r="J3" s="583"/>
      <c r="K3" s="583"/>
      <c r="L3" s="583"/>
      <c r="M3" s="583"/>
      <c r="N3" s="583"/>
      <c r="O3" s="583"/>
      <c r="P3" s="583"/>
      <c r="Q3" s="583"/>
      <c r="R3" s="583"/>
      <c r="S3" s="583"/>
      <c r="T3" s="583"/>
      <c r="U3" s="583"/>
      <c r="V3" s="583"/>
      <c r="W3" s="579"/>
      <c r="X3" s="579"/>
      <c r="Y3" s="579"/>
      <c r="Z3" s="579"/>
      <c r="AA3" s="579"/>
      <c r="AB3" s="579"/>
      <c r="AC3" s="579"/>
      <c r="AD3" s="579"/>
      <c r="AE3" s="579"/>
      <c r="AF3" s="579"/>
      <c r="AG3" s="579"/>
      <c r="AH3" s="579"/>
      <c r="AI3" s="579"/>
      <c r="AJ3" s="579"/>
      <c r="AK3" s="579"/>
      <c r="AL3" s="579"/>
      <c r="AM3" s="579"/>
      <c r="AN3" s="579"/>
      <c r="AO3" s="579"/>
    </row>
    <row r="4" spans="1:41" ht="15.6">
      <c r="A4" s="189"/>
      <c r="B4" s="189"/>
      <c r="C4" s="584"/>
      <c r="D4" s="584"/>
      <c r="E4" s="584"/>
      <c r="F4" s="584"/>
      <c r="G4" s="584"/>
      <c r="H4" s="584"/>
      <c r="I4" s="584"/>
      <c r="J4" s="584"/>
      <c r="K4" s="584"/>
      <c r="L4" s="584"/>
      <c r="M4" s="584"/>
      <c r="N4" s="584"/>
      <c r="O4" s="584"/>
      <c r="P4" s="584"/>
      <c r="Q4" s="584"/>
      <c r="R4" s="584"/>
      <c r="S4" s="584"/>
      <c r="T4" s="584"/>
      <c r="U4" s="584"/>
      <c r="V4" s="584"/>
      <c r="W4" s="582"/>
      <c r="X4" s="579"/>
      <c r="Y4" s="579"/>
      <c r="Z4" s="579"/>
      <c r="AA4" s="579"/>
      <c r="AB4" s="579"/>
      <c r="AC4" s="579"/>
      <c r="AD4" s="579"/>
      <c r="AE4" s="579"/>
      <c r="AF4" s="579"/>
      <c r="AG4" s="579"/>
      <c r="AH4" s="579"/>
      <c r="AI4" s="579"/>
      <c r="AJ4" s="579"/>
      <c r="AK4" s="579"/>
      <c r="AL4" s="579"/>
      <c r="AM4" s="579"/>
      <c r="AN4" s="579"/>
      <c r="AO4" s="579"/>
    </row>
    <row r="5" spans="1:41" ht="15.6">
      <c r="A5" s="197" t="s">
        <v>209</v>
      </c>
      <c r="B5" s="189"/>
      <c r="C5" s="585">
        <f>'ASSUM 1'!D37</f>
        <v>2000</v>
      </c>
      <c r="D5" s="585">
        <f t="shared" ref="D5:V5" si="0">C5+1</f>
        <v>2001</v>
      </c>
      <c r="E5" s="585">
        <f t="shared" si="0"/>
        <v>2002</v>
      </c>
      <c r="F5" s="585">
        <f t="shared" si="0"/>
        <v>2003</v>
      </c>
      <c r="G5" s="585">
        <f t="shared" si="0"/>
        <v>2004</v>
      </c>
      <c r="H5" s="585">
        <f t="shared" si="0"/>
        <v>2005</v>
      </c>
      <c r="I5" s="585">
        <f t="shared" si="0"/>
        <v>2006</v>
      </c>
      <c r="J5" s="585">
        <f t="shared" si="0"/>
        <v>2007</v>
      </c>
      <c r="K5" s="585">
        <f t="shared" si="0"/>
        <v>2008</v>
      </c>
      <c r="L5" s="585">
        <f t="shared" si="0"/>
        <v>2009</v>
      </c>
      <c r="M5" s="585">
        <f t="shared" si="0"/>
        <v>2010</v>
      </c>
      <c r="N5" s="585">
        <f t="shared" si="0"/>
        <v>2011</v>
      </c>
      <c r="O5" s="585">
        <f t="shared" si="0"/>
        <v>2012</v>
      </c>
      <c r="P5" s="585">
        <f t="shared" si="0"/>
        <v>2013</v>
      </c>
      <c r="Q5" s="585">
        <f t="shared" si="0"/>
        <v>2014</v>
      </c>
      <c r="R5" s="585">
        <f t="shared" si="0"/>
        <v>2015</v>
      </c>
      <c r="S5" s="585">
        <f t="shared" si="0"/>
        <v>2016</v>
      </c>
      <c r="T5" s="585">
        <f t="shared" si="0"/>
        <v>2017</v>
      </c>
      <c r="U5" s="585">
        <f t="shared" si="0"/>
        <v>2018</v>
      </c>
      <c r="V5" s="585">
        <f t="shared" si="0"/>
        <v>2019</v>
      </c>
      <c r="W5" s="586"/>
      <c r="X5" s="579"/>
      <c r="Y5" s="579"/>
      <c r="Z5" s="579"/>
      <c r="AA5" s="579"/>
      <c r="AB5" s="579"/>
      <c r="AC5" s="579"/>
      <c r="AD5" s="579"/>
      <c r="AE5" s="579"/>
      <c r="AF5" s="579"/>
      <c r="AG5" s="579"/>
      <c r="AH5" s="579"/>
      <c r="AI5" s="579"/>
      <c r="AJ5" s="579"/>
      <c r="AK5" s="579"/>
      <c r="AL5" s="579"/>
      <c r="AM5" s="579"/>
      <c r="AN5" s="579"/>
      <c r="AO5" s="579"/>
    </row>
    <row r="6" spans="1:41" ht="15.6">
      <c r="A6" s="196" t="s">
        <v>50</v>
      </c>
      <c r="B6" s="196"/>
      <c r="C6" s="579">
        <f t="shared" ref="C6:V6" si="1">IF(C5&gt;0,B6+1,0)</f>
        <v>1</v>
      </c>
      <c r="D6" s="579">
        <f t="shared" si="1"/>
        <v>2</v>
      </c>
      <c r="E6" s="579">
        <f t="shared" si="1"/>
        <v>3</v>
      </c>
      <c r="F6" s="579">
        <f t="shared" si="1"/>
        <v>4</v>
      </c>
      <c r="G6" s="579">
        <f t="shared" si="1"/>
        <v>5</v>
      </c>
      <c r="H6" s="579">
        <f t="shared" si="1"/>
        <v>6</v>
      </c>
      <c r="I6" s="579">
        <f t="shared" si="1"/>
        <v>7</v>
      </c>
      <c r="J6" s="579">
        <f t="shared" si="1"/>
        <v>8</v>
      </c>
      <c r="K6" s="579">
        <f t="shared" si="1"/>
        <v>9</v>
      </c>
      <c r="L6" s="579">
        <f t="shared" si="1"/>
        <v>10</v>
      </c>
      <c r="M6" s="579">
        <f t="shared" si="1"/>
        <v>11</v>
      </c>
      <c r="N6" s="579">
        <f t="shared" si="1"/>
        <v>12</v>
      </c>
      <c r="O6" s="579">
        <f t="shared" si="1"/>
        <v>13</v>
      </c>
      <c r="P6" s="579">
        <f t="shared" si="1"/>
        <v>14</v>
      </c>
      <c r="Q6" s="579">
        <f t="shared" si="1"/>
        <v>15</v>
      </c>
      <c r="R6" s="579">
        <f t="shared" si="1"/>
        <v>16</v>
      </c>
      <c r="S6" s="579">
        <f t="shared" si="1"/>
        <v>17</v>
      </c>
      <c r="T6" s="579">
        <f t="shared" si="1"/>
        <v>18</v>
      </c>
      <c r="U6" s="579">
        <f t="shared" si="1"/>
        <v>19</v>
      </c>
      <c r="V6" s="579">
        <f t="shared" si="1"/>
        <v>20</v>
      </c>
      <c r="W6" s="579"/>
      <c r="X6" s="579"/>
      <c r="Y6" s="579"/>
      <c r="Z6" s="579"/>
      <c r="AA6" s="579"/>
      <c r="AB6" s="579"/>
      <c r="AC6" s="579"/>
      <c r="AD6" s="579"/>
      <c r="AE6" s="579"/>
      <c r="AF6" s="579"/>
      <c r="AG6" s="579"/>
      <c r="AH6" s="579"/>
      <c r="AI6" s="579"/>
      <c r="AJ6" s="579"/>
      <c r="AK6" s="579"/>
      <c r="AL6" s="579"/>
      <c r="AM6" s="579"/>
      <c r="AN6" s="579"/>
      <c r="AO6" s="579"/>
    </row>
    <row r="7" spans="1:41" ht="15.6">
      <c r="A7" s="196" t="s">
        <v>210</v>
      </c>
      <c r="B7" s="196"/>
      <c r="C7" s="579">
        <f>IF(C6=1,'ASSUM 1'!C38,IF(C6&gt;'ASSUM 1'!D36,12-'ASSUM 1'!C38,12))</f>
        <v>7</v>
      </c>
      <c r="D7" s="579">
        <f>IF(D6=1,'ASSUM 1'!C38,IF(D6&gt;'ASSUM 1'!D36,12-'ASSUM 1'!C38,12))</f>
        <v>12</v>
      </c>
      <c r="E7" s="579">
        <f>IF(E6=1,'ASSUM 1'!C38,IF(E6&gt;'ASSUM 1'!D36,12-'ASSUM 1'!C38,12))</f>
        <v>12</v>
      </c>
      <c r="F7" s="579">
        <f>IF(F6=1,'ASSUM 1'!C38,IF(F6&gt;'ASSUM 1'!D36,12-'ASSUM 1'!C38,12))</f>
        <v>12</v>
      </c>
      <c r="G7" s="579">
        <f>IF(G6=1,'ASSUM 1'!C38,IF(G6&gt;'ASSUM 1'!D36,12-'ASSUM 1'!C38,12))</f>
        <v>12</v>
      </c>
      <c r="H7" s="579">
        <f>IF(H6=1,'ASSUM 1'!C38,IF(H6&gt;'ASSUM 1'!D36,12-'ASSUM 1'!C38,12))</f>
        <v>12</v>
      </c>
      <c r="I7" s="579">
        <f>IF(I6=1,'ASSUM 1'!C38,IF(I6&gt;'ASSUM 1'!D36,12-'ASSUM 1'!C38,12))</f>
        <v>12</v>
      </c>
      <c r="J7" s="579">
        <f>IF(J6=1,'ASSUM 1'!C38,IF(J6&gt;'ASSUM 1'!D36,12-'ASSUM 1'!C38,12))</f>
        <v>12</v>
      </c>
      <c r="K7" s="579">
        <f>IF(K6=1,'ASSUM 1'!C38,IF(K6&gt;'ASSUM 1'!D36,12-'ASSUM 1'!C38,12))</f>
        <v>12</v>
      </c>
      <c r="L7" s="579">
        <f>IF(L6=1,'ASSUM 1'!C38,IF(L6&gt;'ASSUM 1'!D36,12-'ASSUM 1'!C38,12))</f>
        <v>12</v>
      </c>
      <c r="M7" s="579">
        <f>IF(M6=1,'ASSUM 1'!C38,IF(M6&gt;'ASSUM 1'!D36,12-'ASSUM 1'!C38,12))</f>
        <v>12</v>
      </c>
      <c r="N7" s="579">
        <f>IF(N6=1,'ASSUM 1'!C38,IF(N6&gt;'ASSUM 1'!D36,12-'ASSUM 1'!C38,12))</f>
        <v>12</v>
      </c>
      <c r="O7" s="579">
        <f>IF(O6=1,'ASSUM 1'!C38,IF(O6&gt;'ASSUM 1'!D36,12-'ASSUM 1'!C38,12))</f>
        <v>12</v>
      </c>
      <c r="P7" s="579">
        <f>IF(P6=1,'ASSUM 1'!C38,IF(P6&gt;'ASSUM 1'!D36,12-'ASSUM 1'!C38,12))</f>
        <v>12</v>
      </c>
      <c r="Q7" s="579">
        <f>IF(Q6=1,'ASSUM 1'!C38,IF(Q6&gt;'ASSUM 1'!D36,12-'ASSUM 1'!C38,12))</f>
        <v>12</v>
      </c>
      <c r="R7" s="579">
        <f>IF(R6=1,'ASSUM 1'!C38,IF(R6&gt;'ASSUM 1'!D36,12-'ASSUM 1'!C38,12))</f>
        <v>12</v>
      </c>
      <c r="S7" s="579">
        <f>IF(S6=1,'ASSUM 1'!C38,IF(S6&gt;'ASSUM 1'!D36,12-'ASSUM 1'!C38,12))</f>
        <v>12</v>
      </c>
      <c r="T7" s="579">
        <f>IF(T6=1,'ASSUM 1'!C38,IF(T6&gt;'ASSUM 1'!D36,12-'ASSUM 1'!C38,12))</f>
        <v>12</v>
      </c>
      <c r="U7" s="579">
        <f>IF(U6=1,'ASSUM 1'!C38,IF(U6&gt;'ASSUM 1'!D36,12-'ASSUM 1'!C38,12))</f>
        <v>12</v>
      </c>
      <c r="V7" s="579">
        <f>IF(V6=1,'ASSUM 1'!C38,IF(V6&gt;'ASSUM 1'!D36,12-'ASSUM 1'!C38,12))</f>
        <v>12</v>
      </c>
      <c r="W7" s="579"/>
      <c r="X7" s="579"/>
      <c r="Y7" s="579"/>
      <c r="Z7" s="579"/>
      <c r="AA7" s="579"/>
      <c r="AB7" s="579"/>
      <c r="AC7" s="579"/>
      <c r="AD7" s="579"/>
      <c r="AE7" s="579"/>
      <c r="AF7" s="579"/>
      <c r="AG7" s="579"/>
      <c r="AH7" s="579"/>
      <c r="AI7" s="579"/>
      <c r="AJ7" s="579"/>
      <c r="AK7" s="579"/>
      <c r="AL7" s="579"/>
      <c r="AM7" s="579"/>
      <c r="AN7" s="579"/>
      <c r="AO7" s="579"/>
    </row>
    <row r="8" spans="1:41" ht="15.6">
      <c r="A8" s="196"/>
      <c r="B8" s="196"/>
      <c r="C8" s="587"/>
      <c r="D8" s="587"/>
      <c r="E8" s="587"/>
      <c r="F8" s="587"/>
      <c r="G8" s="587"/>
      <c r="H8" s="584"/>
      <c r="I8" s="584"/>
      <c r="J8" s="584"/>
      <c r="K8" s="584"/>
      <c r="L8" s="584"/>
      <c r="M8" s="584"/>
      <c r="N8" s="584"/>
      <c r="O8" s="584"/>
      <c r="P8" s="584"/>
      <c r="Q8" s="584"/>
      <c r="R8" s="584"/>
      <c r="S8" s="584"/>
      <c r="T8" s="584"/>
      <c r="U8" s="584"/>
      <c r="V8" s="584"/>
      <c r="W8" s="584"/>
      <c r="X8" s="579"/>
      <c r="Y8" s="579"/>
      <c r="Z8" s="579"/>
      <c r="AA8" s="579"/>
      <c r="AB8" s="579"/>
      <c r="AC8" s="579"/>
      <c r="AD8" s="579"/>
      <c r="AE8" s="579"/>
      <c r="AF8" s="579"/>
      <c r="AG8" s="579"/>
      <c r="AH8" s="579"/>
      <c r="AI8" s="579"/>
      <c r="AJ8" s="579"/>
      <c r="AK8" s="579"/>
      <c r="AL8" s="579"/>
      <c r="AM8" s="579"/>
      <c r="AN8" s="579"/>
      <c r="AO8" s="579"/>
    </row>
    <row r="9" spans="1:41" ht="15.6">
      <c r="A9" s="198" t="s">
        <v>211</v>
      </c>
      <c r="B9" s="196"/>
      <c r="C9" s="588"/>
      <c r="D9" s="588"/>
      <c r="E9" s="588"/>
      <c r="F9" s="588"/>
      <c r="G9" s="588"/>
      <c r="H9" s="588"/>
      <c r="I9" s="588"/>
      <c r="J9" s="588"/>
      <c r="K9" s="588"/>
      <c r="L9" s="588"/>
      <c r="M9" s="588"/>
      <c r="N9" s="588"/>
      <c r="O9" s="588"/>
      <c r="P9" s="588"/>
      <c r="Q9" s="588"/>
      <c r="R9" s="588"/>
      <c r="S9" s="588"/>
      <c r="T9" s="588"/>
      <c r="U9" s="588"/>
      <c r="V9" s="588"/>
      <c r="W9" s="588"/>
      <c r="X9" s="579"/>
      <c r="Y9" s="579"/>
      <c r="Z9" s="579"/>
      <c r="AA9" s="579"/>
      <c r="AB9" s="579"/>
      <c r="AC9" s="579"/>
      <c r="AD9" s="579"/>
      <c r="AE9" s="579"/>
      <c r="AF9" s="579"/>
      <c r="AG9" s="579"/>
      <c r="AH9" s="579"/>
      <c r="AI9" s="579"/>
      <c r="AJ9" s="579"/>
      <c r="AK9" s="579"/>
      <c r="AL9" s="579"/>
      <c r="AM9" s="579"/>
      <c r="AN9" s="579"/>
      <c r="AO9" s="579"/>
    </row>
    <row r="10" spans="1:41" ht="15.6">
      <c r="A10" s="196" t="s">
        <v>212</v>
      </c>
      <c r="B10" s="196"/>
      <c r="C10" s="589">
        <f>('ASSUM 1'!B7*3)*(1-'ASSUM 1'!C13)^(C5-$C$5)</f>
        <v>135.85714285714286</v>
      </c>
      <c r="D10" s="590">
        <f>'ASSUM 1'!D11*(1-'ASSUM 1'!D13)^(D5-$C$5)</f>
        <v>310.65999999999997</v>
      </c>
      <c r="E10" s="590">
        <f>'ASSUM 1'!D11*(1-'ASSUM 1'!D13)^(E5-$C$5)</f>
        <v>310.65999999999997</v>
      </c>
      <c r="F10" s="590">
        <f>'ASSUM 1'!D11*(1-'ASSUM 1'!D13)^(F5-$C$5)</f>
        <v>310.65999999999997</v>
      </c>
      <c r="G10" s="590">
        <f>'ASSUM 1'!D11*(1-'ASSUM 1'!D13)^(G5-$C$5)</f>
        <v>310.65999999999997</v>
      </c>
      <c r="H10" s="590">
        <f>'ASSUM 1'!D11*(1-'ASSUM 1'!D13)^(H5-$C$5)</f>
        <v>310.65999999999997</v>
      </c>
      <c r="I10" s="590">
        <f>'ASSUM 1'!D11*(1-'ASSUM 1'!D13)^(I5-$C$5)</f>
        <v>310.65999999999997</v>
      </c>
      <c r="J10" s="590">
        <f>'ASSUM 1'!D11*(1-'ASSUM 1'!D13)^(J5-$C$5)</f>
        <v>310.65999999999997</v>
      </c>
      <c r="K10" s="590">
        <f>'ASSUM 1'!D11*(1-'ASSUM 1'!D13)^(K5-$C$5)</f>
        <v>310.65999999999997</v>
      </c>
      <c r="L10" s="590">
        <f>'ASSUM 1'!D11*(1-'ASSUM 1'!D13)^(L5-$C$5)</f>
        <v>310.65999999999997</v>
      </c>
      <c r="M10" s="590">
        <f>'ASSUM 1'!D11*(1-'ASSUM 1'!D13)^(M5-$C$5)</f>
        <v>310.65999999999997</v>
      </c>
      <c r="N10" s="590">
        <f>'ASSUM 1'!D11*(1-'ASSUM 1'!D13)^(N5-$C$5)</f>
        <v>310.65999999999997</v>
      </c>
      <c r="O10" s="590">
        <f>'ASSUM 1'!D11*(1-'ASSUM 1'!D13)^(O5-$C$5)</f>
        <v>310.65999999999997</v>
      </c>
      <c r="P10" s="590">
        <f>'ASSUM 1'!D11*(1-'ASSUM 1'!D13)^(P5-$C$5)</f>
        <v>310.65999999999997</v>
      </c>
      <c r="Q10" s="590">
        <f>'ASSUM 1'!D11*(1-'ASSUM 1'!D13)^(Q5-$C$5)</f>
        <v>310.65999999999997</v>
      </c>
      <c r="R10" s="590">
        <f>'ASSUM 1'!D11*(1-'ASSUM 1'!D13)^(R5-$C$5)</f>
        <v>310.65999999999997</v>
      </c>
      <c r="S10" s="590">
        <f>'ASSUM 1'!D11*(1-'ASSUM 1'!D13)^(S5-$C$5)</f>
        <v>310.65999999999997</v>
      </c>
      <c r="T10" s="590">
        <f>'ASSUM 1'!D11*(1-'ASSUM 1'!D13)^(T5-$C$5)</f>
        <v>310.65999999999997</v>
      </c>
      <c r="U10" s="590">
        <f>'ASSUM 1'!D11*(1-'ASSUM 1'!D13)^(U5-$C$5)</f>
        <v>310.65999999999997</v>
      </c>
      <c r="V10" s="590">
        <f>'ASSUM 1'!D11*(1-'ASSUM 1'!D13)^(V5-$C$5)</f>
        <v>310.65999999999997</v>
      </c>
      <c r="W10" s="579"/>
      <c r="X10" s="579"/>
      <c r="Y10" s="579"/>
      <c r="Z10" s="579"/>
      <c r="AA10" s="579"/>
      <c r="AB10" s="579"/>
      <c r="AC10" s="579"/>
      <c r="AD10" s="579"/>
      <c r="AE10" s="579"/>
      <c r="AF10" s="579"/>
      <c r="AG10" s="579"/>
      <c r="AH10" s="579"/>
      <c r="AI10" s="579"/>
      <c r="AJ10" s="579"/>
      <c r="AK10" s="579"/>
      <c r="AL10" s="579"/>
      <c r="AM10" s="579"/>
      <c r="AN10" s="579"/>
      <c r="AO10" s="579"/>
    </row>
    <row r="11" spans="1:41" ht="15.6">
      <c r="A11" s="196" t="s">
        <v>213</v>
      </c>
      <c r="B11" s="196"/>
      <c r="C11" s="591">
        <f>'Stratus Report'!B13</f>
        <v>8.4333341385808516E-2</v>
      </c>
      <c r="D11" s="591">
        <f>'Stratus Report'!C13</f>
        <v>7.1671545171414067E-2</v>
      </c>
      <c r="E11" s="591">
        <f>'Stratus Report'!D13</f>
        <v>7.7850365171776487E-2</v>
      </c>
      <c r="F11" s="591">
        <f>'Stratus Report'!E13</f>
        <v>8.0304102584257436E-2</v>
      </c>
      <c r="G11" s="591">
        <f>'Stratus Report'!F13</f>
        <v>7.6373972532796985E-2</v>
      </c>
      <c r="H11" s="591">
        <f>'Stratus Report'!G13</f>
        <v>7.2564897130173237E-2</v>
      </c>
      <c r="I11" s="591">
        <f>'Stratus Report'!H13</f>
        <v>7.4859544599550631E-2</v>
      </c>
      <c r="J11" s="591">
        <f>'Stratus Report'!I13</f>
        <v>7.6775800985359147E-2</v>
      </c>
      <c r="K11" s="591">
        <f>'Stratus Report'!J13</f>
        <v>7.6182554516923962E-2</v>
      </c>
      <c r="L11" s="591">
        <f>'Stratus Report'!K13</f>
        <v>7.4945878077480627E-2</v>
      </c>
      <c r="M11" s="591">
        <f>'Stratus Report'!L13</f>
        <v>7.4352637683916784E-2</v>
      </c>
      <c r="N11" s="591">
        <f>'Stratus Report'!M13</f>
        <v>7.3303328418134389E-2</v>
      </c>
      <c r="O11" s="591">
        <f>'Stratus Report'!N13</f>
        <v>7.5416664831485097E-2</v>
      </c>
      <c r="P11" s="591">
        <f>'Stratus Report'!O13</f>
        <v>7.4076045758135839E-2</v>
      </c>
      <c r="Q11" s="591">
        <f>'Stratus Report'!P13</f>
        <v>7.4974487905704129E-2</v>
      </c>
      <c r="R11" s="591">
        <f>'Stratus Report'!Q13</f>
        <v>7.2875298393853746E-2</v>
      </c>
      <c r="S11" s="591">
        <f>'Stratus Report'!R13</f>
        <v>7.3557264725664998E-2</v>
      </c>
      <c r="T11" s="591">
        <f>'Stratus Report'!S13</f>
        <v>7.3115990073204309E-2</v>
      </c>
      <c r="U11" s="591">
        <f>'Stratus Report'!T13</f>
        <v>7.3267097900268183E-2</v>
      </c>
      <c r="V11" s="591">
        <f>'Stratus Report'!U13</f>
        <v>7.0830641743132569E-2</v>
      </c>
      <c r="W11" s="579"/>
      <c r="X11" s="579"/>
      <c r="Y11" s="579"/>
      <c r="Z11" s="579"/>
      <c r="AA11" s="579"/>
      <c r="AB11" s="579"/>
      <c r="AC11" s="579"/>
      <c r="AD11" s="579"/>
      <c r="AE11" s="579"/>
      <c r="AF11" s="579"/>
      <c r="AG11" s="579"/>
      <c r="AH11" s="579"/>
      <c r="AI11" s="579"/>
      <c r="AJ11" s="579"/>
      <c r="AK11" s="579"/>
      <c r="AL11" s="579"/>
      <c r="AM11" s="579"/>
      <c r="AN11" s="579"/>
      <c r="AO11" s="579"/>
    </row>
    <row r="12" spans="1:41" ht="15.6">
      <c r="A12" s="196" t="s">
        <v>214</v>
      </c>
      <c r="B12" s="196"/>
      <c r="C12" s="592">
        <f t="shared" ref="C12:V12" si="2">8760*C11*C7/12</f>
        <v>430.9433744814815</v>
      </c>
      <c r="D12" s="592">
        <f t="shared" si="2"/>
        <v>627.84273570158723</v>
      </c>
      <c r="E12" s="592">
        <f t="shared" si="2"/>
        <v>681.96919890476204</v>
      </c>
      <c r="F12" s="592">
        <f t="shared" si="2"/>
        <v>703.4639386380951</v>
      </c>
      <c r="G12" s="592">
        <f t="shared" si="2"/>
        <v>669.03599938730156</v>
      </c>
      <c r="H12" s="592">
        <f t="shared" si="2"/>
        <v>635.66849886031753</v>
      </c>
      <c r="I12" s="592">
        <f t="shared" si="2"/>
        <v>655.76961069206357</v>
      </c>
      <c r="J12" s="592">
        <f t="shared" si="2"/>
        <v>672.55601663174616</v>
      </c>
      <c r="K12" s="592">
        <f t="shared" si="2"/>
        <v>667.35917756825393</v>
      </c>
      <c r="L12" s="592">
        <f t="shared" si="2"/>
        <v>656.52589195873031</v>
      </c>
      <c r="M12" s="592">
        <f t="shared" si="2"/>
        <v>651.32910611111106</v>
      </c>
      <c r="N12" s="592">
        <f t="shared" si="2"/>
        <v>642.13715694285725</v>
      </c>
      <c r="O12" s="592">
        <f t="shared" si="2"/>
        <v>660.64998392380949</v>
      </c>
      <c r="P12" s="592">
        <f t="shared" si="2"/>
        <v>648.90616084126998</v>
      </c>
      <c r="Q12" s="592">
        <f t="shared" si="2"/>
        <v>656.77651405396819</v>
      </c>
      <c r="R12" s="592">
        <f t="shared" si="2"/>
        <v>638.38761393015886</v>
      </c>
      <c r="S12" s="592">
        <f t="shared" si="2"/>
        <v>644.36163899682538</v>
      </c>
      <c r="T12" s="592">
        <f t="shared" si="2"/>
        <v>640.49607304126971</v>
      </c>
      <c r="U12" s="592">
        <f t="shared" si="2"/>
        <v>641.81977760634925</v>
      </c>
      <c r="V12" s="592">
        <f t="shared" si="2"/>
        <v>620.47642166984133</v>
      </c>
      <c r="W12" s="579"/>
      <c r="X12" s="579"/>
      <c r="Y12" s="579"/>
      <c r="Z12" s="579"/>
      <c r="AA12" s="579"/>
      <c r="AB12" s="579"/>
      <c r="AC12" s="579"/>
      <c r="AD12" s="579"/>
      <c r="AE12" s="579"/>
      <c r="AF12" s="579"/>
      <c r="AG12" s="579"/>
      <c r="AH12" s="579"/>
      <c r="AI12" s="579"/>
      <c r="AJ12" s="579"/>
      <c r="AK12" s="579"/>
      <c r="AL12" s="579"/>
      <c r="AM12" s="579"/>
      <c r="AN12" s="579"/>
      <c r="AO12" s="579"/>
    </row>
    <row r="13" spans="1:41" ht="15.6">
      <c r="A13" s="196" t="s">
        <v>215</v>
      </c>
      <c r="B13" s="196"/>
      <c r="C13" s="593">
        <f>C12*(C10)</f>
        <v>58546.735590269847</v>
      </c>
      <c r="D13" s="593">
        <f t="shared" ref="D13:V13" si="3">D12*(D10)</f>
        <v>195045.62427305506</v>
      </c>
      <c r="E13" s="593">
        <f t="shared" si="3"/>
        <v>211860.55133175335</v>
      </c>
      <c r="F13" s="593">
        <f t="shared" si="3"/>
        <v>218538.10717731059</v>
      </c>
      <c r="G13" s="593">
        <f t="shared" si="3"/>
        <v>207842.72356965908</v>
      </c>
      <c r="H13" s="593">
        <f t="shared" si="3"/>
        <v>197476.77585594621</v>
      </c>
      <c r="I13" s="593">
        <f t="shared" si="3"/>
        <v>203721.38725759645</v>
      </c>
      <c r="J13" s="593">
        <f t="shared" si="3"/>
        <v>208936.25212681823</v>
      </c>
      <c r="K13" s="593">
        <f t="shared" si="3"/>
        <v>207321.80210335375</v>
      </c>
      <c r="L13" s="593">
        <f t="shared" si="3"/>
        <v>203956.33359589914</v>
      </c>
      <c r="M13" s="593">
        <f t="shared" si="3"/>
        <v>202341.90010447774</v>
      </c>
      <c r="N13" s="593">
        <f t="shared" si="3"/>
        <v>199486.32917586801</v>
      </c>
      <c r="O13" s="593">
        <f t="shared" si="3"/>
        <v>205237.52400577063</v>
      </c>
      <c r="P13" s="593">
        <f t="shared" si="3"/>
        <v>201589.18792694891</v>
      </c>
      <c r="Q13" s="593">
        <f t="shared" si="3"/>
        <v>204034.19185600572</v>
      </c>
      <c r="R13" s="593">
        <f t="shared" si="3"/>
        <v>198321.49614354313</v>
      </c>
      <c r="S13" s="593">
        <f t="shared" si="3"/>
        <v>200177.38677075374</v>
      </c>
      <c r="T13" s="593">
        <f t="shared" si="3"/>
        <v>198976.51005100083</v>
      </c>
      <c r="U13" s="593">
        <f t="shared" si="3"/>
        <v>199387.73211118844</v>
      </c>
      <c r="V13" s="593">
        <f t="shared" si="3"/>
        <v>192757.20515595289</v>
      </c>
      <c r="W13" s="579"/>
      <c r="X13" s="579"/>
      <c r="Y13" s="579"/>
      <c r="Z13" s="579"/>
      <c r="AA13" s="579"/>
      <c r="AB13" s="579"/>
      <c r="AC13" s="579"/>
      <c r="AD13" s="579"/>
      <c r="AE13" s="579"/>
      <c r="AF13" s="579"/>
      <c r="AG13" s="579"/>
      <c r="AH13" s="579"/>
      <c r="AI13" s="579"/>
      <c r="AJ13" s="579"/>
      <c r="AK13" s="579"/>
      <c r="AL13" s="579"/>
      <c r="AM13" s="579"/>
      <c r="AN13" s="579"/>
      <c r="AO13" s="579"/>
    </row>
    <row r="14" spans="1:41" ht="15.6">
      <c r="A14" s="196"/>
      <c r="B14" s="196"/>
      <c r="C14" s="579"/>
      <c r="D14" s="594"/>
      <c r="E14" s="579"/>
      <c r="F14" s="579"/>
      <c r="G14" s="579"/>
      <c r="H14" s="579"/>
      <c r="I14" s="579"/>
      <c r="J14" s="579"/>
      <c r="K14" s="579"/>
      <c r="L14" s="579"/>
      <c r="M14" s="579"/>
      <c r="N14" s="579"/>
      <c r="O14" s="579"/>
      <c r="P14" s="579"/>
      <c r="Q14" s="579"/>
      <c r="R14" s="579"/>
      <c r="S14" s="579"/>
      <c r="T14" s="579"/>
      <c r="U14" s="579"/>
      <c r="V14" s="579"/>
      <c r="W14" s="579"/>
      <c r="X14" s="579"/>
      <c r="Y14" s="579"/>
      <c r="Z14" s="579"/>
      <c r="AA14" s="579"/>
      <c r="AB14" s="579"/>
      <c r="AC14" s="579"/>
      <c r="AD14" s="579"/>
      <c r="AE14" s="579"/>
      <c r="AF14" s="579"/>
      <c r="AG14" s="579"/>
      <c r="AH14" s="579"/>
      <c r="AI14" s="579"/>
      <c r="AJ14" s="579"/>
      <c r="AK14" s="579"/>
      <c r="AL14" s="579"/>
      <c r="AM14" s="579"/>
      <c r="AN14" s="579"/>
      <c r="AO14" s="579"/>
    </row>
    <row r="15" spans="1:41" ht="15.6">
      <c r="A15" s="196"/>
      <c r="B15" s="196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593"/>
      <c r="O15" s="593"/>
      <c r="P15" s="593"/>
      <c r="Q15" s="593"/>
      <c r="R15" s="593"/>
      <c r="S15" s="593"/>
      <c r="T15" s="593"/>
      <c r="U15" s="593"/>
      <c r="V15" s="593"/>
      <c r="W15" s="579"/>
      <c r="X15" s="579"/>
      <c r="Y15" s="579"/>
      <c r="Z15" s="579"/>
      <c r="AA15" s="579"/>
      <c r="AB15" s="579"/>
      <c r="AC15" s="579"/>
      <c r="AD15" s="579"/>
      <c r="AE15" s="579"/>
      <c r="AF15" s="579"/>
      <c r="AG15" s="579"/>
      <c r="AH15" s="579"/>
      <c r="AI15" s="579"/>
      <c r="AJ15" s="579"/>
      <c r="AK15" s="579"/>
      <c r="AL15" s="579"/>
      <c r="AM15" s="579"/>
      <c r="AN15" s="579"/>
      <c r="AO15" s="579"/>
    </row>
    <row r="16" spans="1:41" ht="15.6">
      <c r="A16" s="199" t="s">
        <v>216</v>
      </c>
      <c r="B16" s="193"/>
      <c r="C16" s="595"/>
      <c r="D16" s="595"/>
      <c r="E16" s="595"/>
      <c r="F16" s="595"/>
      <c r="G16" s="595"/>
      <c r="H16" s="595"/>
      <c r="I16" s="595"/>
      <c r="J16" s="595"/>
      <c r="K16" s="595"/>
      <c r="L16" s="595"/>
      <c r="M16" s="595"/>
      <c r="N16" s="595"/>
      <c r="O16" s="595"/>
      <c r="P16" s="595"/>
      <c r="Q16" s="595"/>
      <c r="R16" s="595"/>
      <c r="S16" s="595"/>
      <c r="T16" s="595"/>
      <c r="U16" s="595"/>
      <c r="V16" s="595"/>
      <c r="W16" s="596"/>
      <c r="X16" s="579"/>
      <c r="Y16" s="579"/>
      <c r="Z16" s="579"/>
      <c r="AA16" s="579"/>
      <c r="AB16" s="579"/>
      <c r="AC16" s="579"/>
      <c r="AD16" s="579"/>
      <c r="AE16" s="579"/>
      <c r="AF16" s="579"/>
      <c r="AG16" s="579"/>
      <c r="AH16" s="579"/>
      <c r="AI16" s="579"/>
      <c r="AJ16" s="579"/>
      <c r="AK16" s="579"/>
      <c r="AL16" s="579"/>
      <c r="AM16" s="579"/>
      <c r="AN16" s="579"/>
      <c r="AO16" s="579"/>
    </row>
    <row r="17" spans="1:256" ht="15.6">
      <c r="A17" s="194" t="s">
        <v>217</v>
      </c>
      <c r="B17" s="196"/>
      <c r="C17" s="593">
        <f t="shared" ref="C17:V17" si="4">C13</f>
        <v>58546.735590269847</v>
      </c>
      <c r="D17" s="593">
        <f t="shared" si="4"/>
        <v>195045.62427305506</v>
      </c>
      <c r="E17" s="593">
        <f t="shared" si="4"/>
        <v>211860.55133175335</v>
      </c>
      <c r="F17" s="593">
        <f t="shared" si="4"/>
        <v>218538.10717731059</v>
      </c>
      <c r="G17" s="593">
        <f t="shared" si="4"/>
        <v>207842.72356965908</v>
      </c>
      <c r="H17" s="593">
        <f t="shared" si="4"/>
        <v>197476.77585594621</v>
      </c>
      <c r="I17" s="593">
        <f t="shared" si="4"/>
        <v>203721.38725759645</v>
      </c>
      <c r="J17" s="593">
        <f t="shared" si="4"/>
        <v>208936.25212681823</v>
      </c>
      <c r="K17" s="593">
        <f t="shared" si="4"/>
        <v>207321.80210335375</v>
      </c>
      <c r="L17" s="593">
        <f t="shared" si="4"/>
        <v>203956.33359589914</v>
      </c>
      <c r="M17" s="593">
        <f t="shared" si="4"/>
        <v>202341.90010447774</v>
      </c>
      <c r="N17" s="593">
        <f t="shared" si="4"/>
        <v>199486.32917586801</v>
      </c>
      <c r="O17" s="593">
        <f t="shared" si="4"/>
        <v>205237.52400577063</v>
      </c>
      <c r="P17" s="593">
        <f t="shared" si="4"/>
        <v>201589.18792694891</v>
      </c>
      <c r="Q17" s="593">
        <f t="shared" si="4"/>
        <v>204034.19185600572</v>
      </c>
      <c r="R17" s="593">
        <f t="shared" si="4"/>
        <v>198321.49614354313</v>
      </c>
      <c r="S17" s="593">
        <f t="shared" si="4"/>
        <v>200177.38677075374</v>
      </c>
      <c r="T17" s="593">
        <f t="shared" si="4"/>
        <v>198976.51005100083</v>
      </c>
      <c r="U17" s="593">
        <f t="shared" si="4"/>
        <v>199387.73211118844</v>
      </c>
      <c r="V17" s="593">
        <f t="shared" si="4"/>
        <v>192757.20515595289</v>
      </c>
      <c r="W17" s="596"/>
      <c r="X17" s="579"/>
      <c r="Y17" s="579"/>
      <c r="Z17" s="579"/>
      <c r="AA17" s="579"/>
      <c r="AB17" s="579"/>
      <c r="AC17" s="579"/>
      <c r="AD17" s="579"/>
      <c r="AE17" s="579"/>
      <c r="AF17" s="579"/>
      <c r="AG17" s="579"/>
      <c r="AH17" s="579"/>
      <c r="AI17" s="579"/>
      <c r="AJ17" s="579"/>
      <c r="AK17" s="579"/>
      <c r="AL17" s="579"/>
      <c r="AM17" s="579"/>
      <c r="AN17" s="579"/>
      <c r="AO17" s="579"/>
    </row>
    <row r="18" spans="1:256" ht="15.6">
      <c r="A18" s="194" t="s">
        <v>218</v>
      </c>
      <c r="B18" s="196"/>
      <c r="C18" s="593">
        <f>SUM($C$12:C12)</f>
        <v>430.9433744814815</v>
      </c>
      <c r="D18" s="593">
        <f>SUM($C$12:D12)</f>
        <v>1058.7861101830688</v>
      </c>
      <c r="E18" s="593">
        <f>SUM($C$12:E12)</f>
        <v>1740.7553090878309</v>
      </c>
      <c r="F18" s="593">
        <f>SUM($C$12:F12)</f>
        <v>2444.2192477259259</v>
      </c>
      <c r="G18" s="593">
        <f>SUM($C$12:G12)</f>
        <v>3113.2552471132276</v>
      </c>
      <c r="H18" s="593">
        <f>SUM($C$12:H12)</f>
        <v>3748.923745973545</v>
      </c>
      <c r="I18" s="593">
        <f>SUM($C$12:I12)</f>
        <v>4404.6933566656089</v>
      </c>
      <c r="J18" s="593">
        <f>SUM($C$12:J12)</f>
        <v>5077.2493732973553</v>
      </c>
      <c r="K18" s="593">
        <f>SUM($C$12:K12)</f>
        <v>5744.6085508656088</v>
      </c>
      <c r="L18" s="593">
        <f>SUM($C$12:L12)</f>
        <v>6401.1344428243392</v>
      </c>
      <c r="M18" s="593">
        <f>SUM($C$12:M12)</f>
        <v>7052.4635489354505</v>
      </c>
      <c r="N18" s="593">
        <f>SUM($C$12:N12)</f>
        <v>7694.600705878308</v>
      </c>
      <c r="O18" s="593">
        <f>SUM($C$12:O12)</f>
        <v>8355.2506898021165</v>
      </c>
      <c r="P18" s="593">
        <f>SUM($C$12:P12)</f>
        <v>9004.1568506433869</v>
      </c>
      <c r="Q18" s="593">
        <f>SUM($C$12:Q12)</f>
        <v>9660.9333646973555</v>
      </c>
      <c r="R18" s="593">
        <f>SUM($C$12:R12)</f>
        <v>10299.320978627515</v>
      </c>
      <c r="S18" s="593">
        <f>SUM($C$12:S12)</f>
        <v>10943.682617624339</v>
      </c>
      <c r="T18" s="593">
        <f>SUM($C$12:T12)</f>
        <v>11584.178690665609</v>
      </c>
      <c r="U18" s="593">
        <f>SUM($C$12:U12)</f>
        <v>12225.998468271959</v>
      </c>
      <c r="V18" s="593">
        <f>SUM($C$12:V12)</f>
        <v>12846.474889941801</v>
      </c>
      <c r="W18" s="596"/>
      <c r="X18" s="579"/>
      <c r="Y18" s="579"/>
      <c r="Z18" s="579"/>
      <c r="AA18" s="579"/>
      <c r="AB18" s="579"/>
      <c r="AC18" s="579"/>
      <c r="AD18" s="579"/>
      <c r="AE18" s="579"/>
      <c r="AF18" s="579"/>
      <c r="AG18" s="579"/>
      <c r="AH18" s="579"/>
      <c r="AI18" s="579"/>
      <c r="AJ18" s="579"/>
      <c r="AK18" s="579"/>
      <c r="AL18" s="579"/>
      <c r="AM18" s="579"/>
      <c r="AN18" s="579"/>
      <c r="AO18" s="579"/>
    </row>
    <row r="19" spans="1:256" ht="15.6">
      <c r="A19" s="194"/>
      <c r="B19" s="196"/>
      <c r="C19" s="593"/>
      <c r="D19" s="593"/>
      <c r="E19" s="593"/>
      <c r="F19" s="593"/>
      <c r="G19" s="593"/>
      <c r="H19" s="593"/>
      <c r="I19" s="593"/>
      <c r="J19" s="593"/>
      <c r="K19" s="593"/>
      <c r="L19" s="593"/>
      <c r="M19" s="593"/>
      <c r="N19" s="593"/>
      <c r="O19" s="593"/>
      <c r="P19" s="593"/>
      <c r="Q19" s="593"/>
      <c r="R19" s="593"/>
      <c r="S19" s="593"/>
      <c r="T19" s="593"/>
      <c r="U19" s="593"/>
      <c r="V19" s="593"/>
      <c r="W19" s="596"/>
      <c r="X19" s="579"/>
      <c r="Y19" s="579"/>
      <c r="Z19" s="579"/>
      <c r="AA19" s="579"/>
      <c r="AB19" s="579"/>
      <c r="AC19" s="579"/>
      <c r="AD19" s="579"/>
      <c r="AE19" s="579"/>
      <c r="AF19" s="579"/>
      <c r="AG19" s="579"/>
      <c r="AH19" s="579"/>
      <c r="AI19" s="579"/>
      <c r="AJ19" s="579"/>
      <c r="AK19" s="579"/>
      <c r="AL19" s="579"/>
      <c r="AM19" s="579"/>
      <c r="AN19" s="579"/>
      <c r="AO19" s="579"/>
    </row>
    <row r="20" spans="1:256" ht="15.6">
      <c r="A20" s="200" t="s">
        <v>219</v>
      </c>
      <c r="B20" s="196"/>
      <c r="C20" s="597"/>
      <c r="D20" s="593"/>
      <c r="E20" s="593"/>
      <c r="F20" s="593"/>
      <c r="G20" s="593"/>
      <c r="H20" s="593"/>
      <c r="I20" s="593"/>
      <c r="J20" s="593"/>
      <c r="K20" s="593"/>
      <c r="L20" s="593"/>
      <c r="M20" s="593"/>
      <c r="N20" s="593"/>
      <c r="O20" s="593"/>
      <c r="P20" s="593"/>
      <c r="Q20" s="593"/>
      <c r="R20" s="593"/>
      <c r="S20" s="593"/>
      <c r="T20" s="593"/>
      <c r="U20" s="593"/>
      <c r="V20" s="593"/>
      <c r="W20" s="596"/>
      <c r="X20" s="579"/>
      <c r="Y20" s="579"/>
      <c r="Z20" s="579"/>
      <c r="AA20" s="579"/>
      <c r="AB20" s="579"/>
      <c r="AC20" s="579"/>
      <c r="AD20" s="579"/>
      <c r="AE20" s="579"/>
      <c r="AF20" s="579"/>
      <c r="AG20" s="579"/>
      <c r="AH20" s="579"/>
      <c r="AI20" s="579"/>
      <c r="AJ20" s="579"/>
      <c r="AK20" s="579"/>
      <c r="AL20" s="579"/>
      <c r="AM20" s="579"/>
      <c r="AN20" s="579"/>
      <c r="AO20" s="579"/>
    </row>
    <row r="21" spans="1:256" ht="15.6">
      <c r="A21" s="194" t="s">
        <v>220</v>
      </c>
      <c r="B21" s="196"/>
      <c r="C21" s="590">
        <f>IF(C6=1,'ASSUM 1'!B7*3,'ASSUM 1'!D8)</f>
        <v>135.85714285714286</v>
      </c>
      <c r="D21" s="590">
        <f>IF(D6=1,'ASSUM 1'!B7*'ASSUM 1'!T12,'ASSUM 1'!D8)*6/12+'ASSUM 1'!C8*6/12</f>
        <v>312.13</v>
      </c>
      <c r="E21" s="590">
        <f>IF(E6=1,'ASSUM 1'!B7*'ASSUM 1'!T12,'ASSUM 1'!D8)*6/12+'ASSUM 1'!C8*6/12</f>
        <v>312.13</v>
      </c>
      <c r="F21" s="590">
        <f>IF(F6=1,'ASSUM 1'!B7*'ASSUM 1'!T12,'ASSUM 1'!D8)*6/12+'ASSUM 1'!C8*6/12</f>
        <v>312.13</v>
      </c>
      <c r="G21" s="590">
        <f>IF(G6=1,'ASSUM 1'!B7*'ASSUM 1'!T12,'ASSUM 1'!D8)*6/12+'ASSUM 1'!C8*6/12</f>
        <v>312.13</v>
      </c>
      <c r="H21" s="590">
        <f>IF(H6=1,'ASSUM 1'!B7*'ASSUM 1'!T12,'ASSUM 1'!D8)*6/12+'ASSUM 1'!C8*6/12</f>
        <v>312.13</v>
      </c>
      <c r="I21" s="590">
        <f>IF(I6=1,'ASSUM 1'!B7*'ASSUM 1'!T12,'ASSUM 1'!D8)*6/12+'ASSUM 1'!C8*6/12</f>
        <v>312.13</v>
      </c>
      <c r="J21" s="590">
        <f>IF(J6=1,'ASSUM 1'!B7*'ASSUM 1'!T12,'ASSUM 1'!D8)*6/12+'ASSUM 1'!C8*6/12</f>
        <v>312.13</v>
      </c>
      <c r="K21" s="590">
        <f>IF(K6=1,'ASSUM 1'!B7*'ASSUM 1'!T12,'ASSUM 1'!D8)*6/12+'ASSUM 1'!C8*6/12</f>
        <v>312.13</v>
      </c>
      <c r="L21" s="590">
        <f>IF(L6=1,'ASSUM 1'!B7*'ASSUM 1'!T12,'ASSUM 1'!D8)*6/12+'ASSUM 1'!C8*6/12</f>
        <v>312.13</v>
      </c>
      <c r="M21" s="590">
        <f>IF(M6=1,'ASSUM 1'!B7*'ASSUM 1'!T12,'ASSUM 1'!D8)*6/12+'ASSUM 1'!C8*6/12</f>
        <v>312.13</v>
      </c>
      <c r="N21" s="590">
        <f>IF(N6=1,'ASSUM 1'!B7*'ASSUM 1'!T12,'ASSUM 1'!D8)*6/12+'ASSUM 1'!C8*6/12</f>
        <v>312.13</v>
      </c>
      <c r="O21" s="590">
        <f>IF(O6=1,'ASSUM 1'!B7*'ASSUM 1'!T12,'ASSUM 1'!D8)*6/12+'ASSUM 1'!C8*6/12</f>
        <v>312.13</v>
      </c>
      <c r="P21" s="590">
        <f>IF(P6=1,'ASSUM 1'!B7*'ASSUM 1'!T12,'ASSUM 1'!D8)*6/12+'ASSUM 1'!C8*6/12</f>
        <v>312.13</v>
      </c>
      <c r="Q21" s="590">
        <f>IF(Q6=1,'ASSUM 1'!B7*'ASSUM 1'!T12,'ASSUM 1'!D8)*6/12+'ASSUM 1'!C8*6/12</f>
        <v>312.13</v>
      </c>
      <c r="R21" s="590">
        <f>IF(R6=1,'ASSUM 1'!B7*'ASSUM 1'!T12,'ASSUM 1'!D8)*6/12+'ASSUM 1'!C8*6/12</f>
        <v>312.13</v>
      </c>
      <c r="S21" s="590">
        <f>IF(S6=1,'ASSUM 1'!B7*'ASSUM 1'!T12,'ASSUM 1'!D8)*6/12+'ASSUM 1'!C8*6/12</f>
        <v>312.13</v>
      </c>
      <c r="T21" s="590">
        <f>IF(T6=1,'ASSUM 1'!B7*'ASSUM 1'!T12,'ASSUM 1'!D8)*6/12+'ASSUM 1'!C8*6/12</f>
        <v>312.13</v>
      </c>
      <c r="U21" s="590">
        <f>IF(U6=1,'ASSUM 1'!B7*'ASSUM 1'!T12,'ASSUM 1'!D8)*6/12+'ASSUM 1'!C8*6/12</f>
        <v>312.13</v>
      </c>
      <c r="V21" s="598">
        <f>IF(V6=1,'ASSUM 1'!B7*'ASSUM 1'!T12,'ASSUM 1'!D8)*6/12+'ASSUM 1'!C8*6/12</f>
        <v>312.13</v>
      </c>
      <c r="W21" s="596"/>
      <c r="X21" s="579"/>
      <c r="Y21" s="579"/>
      <c r="Z21" s="579"/>
      <c r="AA21" s="579"/>
      <c r="AB21" s="579"/>
      <c r="AC21" s="579"/>
      <c r="AD21" s="579"/>
      <c r="AE21" s="579"/>
      <c r="AF21" s="579"/>
      <c r="AG21" s="579"/>
      <c r="AH21" s="579"/>
      <c r="AI21" s="579"/>
      <c r="AJ21" s="579"/>
      <c r="AK21" s="579"/>
      <c r="AL21" s="579"/>
      <c r="AM21" s="579"/>
      <c r="AN21" s="579"/>
      <c r="AO21" s="579"/>
    </row>
    <row r="22" spans="1:256" ht="15.6">
      <c r="A22" s="194" t="s">
        <v>221</v>
      </c>
      <c r="B22" s="196"/>
      <c r="C22" s="599">
        <f>'Stratus Report'!B11</f>
        <v>33.698447770000001</v>
      </c>
      <c r="D22" s="599">
        <f>'Stratus Report'!C11</f>
        <v>32.813812404917691</v>
      </c>
      <c r="E22" s="599">
        <f>'Stratus Report'!D11</f>
        <v>27.66322690267177</v>
      </c>
      <c r="F22" s="599">
        <f>'Stratus Report'!E11</f>
        <v>28.332589361862485</v>
      </c>
      <c r="G22" s="599">
        <f>'Stratus Report'!F11</f>
        <v>28.964320495568636</v>
      </c>
      <c r="H22" s="599">
        <f>'Stratus Report'!G11</f>
        <v>21.203529753177417</v>
      </c>
      <c r="I22" s="599">
        <f>'Stratus Report'!H11</f>
        <v>27.519733461362001</v>
      </c>
      <c r="J22" s="599">
        <f>'Stratus Report'!I11</f>
        <v>34.470077565891096</v>
      </c>
      <c r="K22" s="599">
        <f>'Stratus Report'!J11</f>
        <v>35.295740447122213</v>
      </c>
      <c r="L22" s="599">
        <f>'Stratus Report'!K11</f>
        <v>33.328440539795267</v>
      </c>
      <c r="M22" s="599">
        <f>'Stratus Report'!L11</f>
        <v>34.004903394177141</v>
      </c>
      <c r="N22" s="599">
        <f>'Stratus Report'!M11</f>
        <v>32.248767146005243</v>
      </c>
      <c r="O22" s="599">
        <f>'Stratus Report'!N11</f>
        <v>31.487470811213907</v>
      </c>
      <c r="P22" s="599">
        <f>'Stratus Report'!O11</f>
        <v>28.840623878670772</v>
      </c>
      <c r="Q22" s="599">
        <f>'Stratus Report'!P11</f>
        <v>34.068031844635108</v>
      </c>
      <c r="R22" s="599">
        <f>'Stratus Report'!Q11</f>
        <v>39.13012422486436</v>
      </c>
      <c r="S22" s="599">
        <f>'Stratus Report'!R11</f>
        <v>44.20400631599248</v>
      </c>
      <c r="T22" s="599">
        <f>'Stratus Report'!S11</f>
        <v>44.548094750776919</v>
      </c>
      <c r="U22" s="599">
        <f>'Stratus Report'!T11</f>
        <v>46.097698415901228</v>
      </c>
      <c r="V22" s="600">
        <f>'Stratus Report'!U11</f>
        <v>38.937850463654094</v>
      </c>
      <c r="W22" s="596"/>
      <c r="X22" s="579"/>
      <c r="Y22" s="579"/>
      <c r="Z22" s="579"/>
      <c r="AA22" s="579"/>
      <c r="AB22" s="579"/>
      <c r="AC22" s="579"/>
      <c r="AD22" s="579"/>
      <c r="AE22" s="579"/>
      <c r="AF22" s="579"/>
      <c r="AG22" s="579"/>
      <c r="AH22" s="579"/>
      <c r="AI22" s="579"/>
      <c r="AJ22" s="579"/>
      <c r="AK22" s="579"/>
      <c r="AL22" s="579"/>
      <c r="AM22" s="579"/>
      <c r="AN22" s="579"/>
      <c r="AO22" s="579"/>
    </row>
    <row r="23" spans="1:256" ht="15.6">
      <c r="A23" s="200" t="s">
        <v>222</v>
      </c>
      <c r="B23" s="201"/>
      <c r="C23" s="601">
        <f>C22*C21*C7/12</f>
        <v>2670.6019857725</v>
      </c>
      <c r="D23" s="601">
        <f>D22*D21*10/12</f>
        <v>8535.1460549557978</v>
      </c>
      <c r="E23" s="602">
        <f t="shared" ref="E23:V23" si="5">E22*E21</f>
        <v>8634.5230131309399</v>
      </c>
      <c r="F23" s="602">
        <f t="shared" si="5"/>
        <v>8843.4511175181378</v>
      </c>
      <c r="G23" s="602">
        <f t="shared" si="5"/>
        <v>9040.6333562818381</v>
      </c>
      <c r="H23" s="602">
        <f t="shared" si="5"/>
        <v>6618.2577418592673</v>
      </c>
      <c r="I23" s="602">
        <f t="shared" si="5"/>
        <v>8589.7344052949211</v>
      </c>
      <c r="J23" s="602">
        <f t="shared" si="5"/>
        <v>10759.145310641588</v>
      </c>
      <c r="K23" s="602">
        <f t="shared" si="5"/>
        <v>11016.859465760257</v>
      </c>
      <c r="L23" s="602">
        <f t="shared" si="5"/>
        <v>10402.806145686296</v>
      </c>
      <c r="M23" s="602">
        <f t="shared" si="5"/>
        <v>10613.950496424512</v>
      </c>
      <c r="N23" s="602">
        <f t="shared" si="5"/>
        <v>10065.807689282616</v>
      </c>
      <c r="O23" s="602">
        <f t="shared" si="5"/>
        <v>9828.1842643041964</v>
      </c>
      <c r="P23" s="602">
        <f t="shared" si="5"/>
        <v>9002.0239312495087</v>
      </c>
      <c r="Q23" s="602">
        <f t="shared" si="5"/>
        <v>10633.654779665956</v>
      </c>
      <c r="R23" s="602">
        <f t="shared" si="5"/>
        <v>12213.685674306913</v>
      </c>
      <c r="S23" s="602">
        <f t="shared" si="5"/>
        <v>13797.396491410733</v>
      </c>
      <c r="T23" s="602">
        <f t="shared" si="5"/>
        <v>13904.796814559999</v>
      </c>
      <c r="U23" s="602">
        <f t="shared" si="5"/>
        <v>14388.47460655525</v>
      </c>
      <c r="V23" s="602">
        <f t="shared" si="5"/>
        <v>12153.671265220351</v>
      </c>
      <c r="W23" s="596"/>
      <c r="X23" s="579"/>
      <c r="Y23" s="579"/>
      <c r="Z23" s="579"/>
      <c r="AA23" s="579"/>
      <c r="AB23" s="579"/>
      <c r="AC23" s="579"/>
      <c r="AD23" s="579"/>
      <c r="AE23" s="579"/>
      <c r="AF23" s="579"/>
      <c r="AG23" s="579"/>
      <c r="AH23" s="579"/>
      <c r="AI23" s="579"/>
      <c r="AJ23" s="579"/>
      <c r="AK23" s="579"/>
      <c r="AL23" s="579"/>
      <c r="AM23" s="579"/>
      <c r="AN23" s="579"/>
      <c r="AO23" s="579"/>
    </row>
    <row r="24" spans="1:256" ht="15.6">
      <c r="A24" s="194"/>
      <c r="B24" s="202"/>
      <c r="C24" s="593"/>
      <c r="D24" s="593"/>
      <c r="E24" s="593"/>
      <c r="F24" s="593"/>
      <c r="G24" s="593"/>
      <c r="H24" s="593"/>
      <c r="I24" s="593"/>
      <c r="J24" s="593"/>
      <c r="K24" s="593"/>
      <c r="L24" s="593"/>
      <c r="M24" s="593"/>
      <c r="N24" s="593"/>
      <c r="O24" s="593"/>
      <c r="P24" s="593"/>
      <c r="Q24" s="593"/>
      <c r="R24" s="593"/>
      <c r="S24" s="593"/>
      <c r="T24" s="593"/>
      <c r="U24" s="593"/>
      <c r="V24" s="593"/>
      <c r="W24" s="596"/>
      <c r="X24" s="579"/>
      <c r="Y24" s="579"/>
      <c r="Z24" s="579"/>
      <c r="AA24" s="579"/>
      <c r="AB24" s="579"/>
      <c r="AC24" s="579"/>
      <c r="AD24" s="579"/>
      <c r="AE24" s="579"/>
      <c r="AF24" s="579"/>
      <c r="AG24" s="579"/>
      <c r="AH24" s="579"/>
      <c r="AI24" s="579"/>
      <c r="AJ24" s="579"/>
      <c r="AK24" s="579"/>
      <c r="AL24" s="579"/>
      <c r="AM24" s="579"/>
      <c r="AN24" s="579"/>
      <c r="AO24" s="579"/>
    </row>
    <row r="25" spans="1:256" ht="15.6">
      <c r="A25" s="200" t="s">
        <v>62</v>
      </c>
      <c r="B25" s="202"/>
      <c r="C25" s="593"/>
      <c r="D25" s="593"/>
      <c r="E25" s="593"/>
      <c r="F25" s="593"/>
      <c r="G25" s="593"/>
      <c r="H25" s="593"/>
      <c r="I25" s="593"/>
      <c r="J25" s="593"/>
      <c r="K25" s="593"/>
      <c r="L25" s="593"/>
      <c r="M25" s="593"/>
      <c r="N25" s="593"/>
      <c r="O25" s="593"/>
      <c r="P25" s="593"/>
      <c r="Q25" s="593"/>
      <c r="R25" s="593"/>
      <c r="S25" s="593"/>
      <c r="T25" s="593"/>
      <c r="U25" s="593"/>
      <c r="V25" s="593"/>
      <c r="W25" s="596"/>
      <c r="X25" s="579"/>
      <c r="Y25" s="579"/>
      <c r="Z25" s="579"/>
      <c r="AA25" s="579"/>
      <c r="AB25" s="579"/>
      <c r="AC25" s="579"/>
      <c r="AD25" s="579"/>
      <c r="AE25" s="579"/>
      <c r="AF25" s="579"/>
      <c r="AG25" s="579"/>
      <c r="AH25" s="579"/>
      <c r="AI25" s="579"/>
      <c r="AJ25" s="579"/>
      <c r="AK25" s="579"/>
      <c r="AL25" s="579"/>
      <c r="AM25" s="579"/>
      <c r="AN25" s="579"/>
      <c r="AO25" s="579"/>
    </row>
    <row r="26" spans="1:256" ht="15.6">
      <c r="A26" s="203" t="s">
        <v>223</v>
      </c>
      <c r="B26" s="202"/>
      <c r="Q26" s="579"/>
      <c r="R26" s="579"/>
      <c r="S26" s="579"/>
      <c r="T26" s="579"/>
      <c r="U26" s="579"/>
      <c r="V26" s="579"/>
      <c r="W26" s="596"/>
      <c r="X26" s="579"/>
      <c r="Y26" s="579"/>
      <c r="Z26" s="579"/>
      <c r="AA26" s="579"/>
      <c r="AB26" s="579"/>
      <c r="AC26" s="579"/>
      <c r="AD26" s="579"/>
      <c r="AE26" s="579"/>
      <c r="AF26" s="579"/>
      <c r="AG26" s="579"/>
      <c r="AH26" s="579"/>
      <c r="AI26" s="579"/>
      <c r="AJ26" s="579"/>
      <c r="AK26" s="579"/>
      <c r="AL26" s="579"/>
      <c r="AM26" s="579"/>
      <c r="AN26" s="579"/>
      <c r="AO26" s="579"/>
    </row>
    <row r="27" spans="1:256" ht="15.6">
      <c r="A27" s="194" t="s">
        <v>181</v>
      </c>
      <c r="B27" s="196"/>
      <c r="C27" s="603">
        <f>+'Stratus Report'!B7</f>
        <v>31.664125089999995</v>
      </c>
      <c r="D27" s="603">
        <f>+'Stratus Report'!C7</f>
        <v>36.180073562879997</v>
      </c>
      <c r="E27" s="603">
        <f>+'Stratus Report'!D7</f>
        <v>35.003553159474237</v>
      </c>
      <c r="F27" s="603">
        <f>+'Stratus Report'!E7</f>
        <v>36.85984843833193</v>
      </c>
      <c r="G27" s="603">
        <f>+'Stratus Report'!F7</f>
        <v>36.960929212460769</v>
      </c>
      <c r="H27" s="603">
        <f>+'Stratus Report'!G7</f>
        <v>26.648436340276245</v>
      </c>
      <c r="I27" s="603">
        <f>+'Stratus Report'!H7</f>
        <v>34.923435667435484</v>
      </c>
      <c r="J27" s="603">
        <f>+'Stratus Report'!I7</f>
        <v>45.016681359324515</v>
      </c>
      <c r="K27" s="603">
        <f>+'Stratus Report'!J7</f>
        <v>45.518115668881599</v>
      </c>
      <c r="L27" s="603">
        <f>+'Stratus Report'!K7</f>
        <v>42.160147133882845</v>
      </c>
      <c r="M27" s="603">
        <f>+'Stratus Report'!L7</f>
        <v>42.77452695628503</v>
      </c>
      <c r="N27" s="603">
        <f>+'Stratus Report'!M7</f>
        <v>40.380395134715712</v>
      </c>
      <c r="O27" s="603">
        <f>+'Stratus Report'!N7</f>
        <v>40.65961581391263</v>
      </c>
      <c r="P27" s="603">
        <f>+'Stratus Report'!O7</f>
        <v>36.779846513285847</v>
      </c>
      <c r="Q27" s="603">
        <f>+'Stratus Report'!P7</f>
        <v>43.354178999589642</v>
      </c>
      <c r="R27" s="603">
        <f>+'Stratus Report'!Q7</f>
        <v>51.324116671601409</v>
      </c>
      <c r="S27" s="603">
        <f>+'Stratus Report'!R7</f>
        <v>58.780063688244688</v>
      </c>
      <c r="T27" s="603">
        <f>+'Stratus Report'!S7</f>
        <v>59.494042174906291</v>
      </c>
      <c r="U27" s="603">
        <f>+'Stratus Report'!T7</f>
        <v>61.955596733179519</v>
      </c>
      <c r="V27" s="603">
        <f>+'Stratus Report'!U7</f>
        <v>50.494115310541481</v>
      </c>
      <c r="W27" s="596"/>
      <c r="X27" s="579"/>
      <c r="Y27" s="579"/>
      <c r="Z27" s="579"/>
      <c r="AA27" s="579"/>
      <c r="AB27" s="579"/>
      <c r="AC27" s="579"/>
      <c r="AD27" s="579"/>
      <c r="AE27" s="579"/>
      <c r="AF27" s="579"/>
      <c r="AG27" s="579"/>
      <c r="AH27" s="579"/>
      <c r="AI27" s="579"/>
      <c r="AJ27" s="579"/>
      <c r="AK27" s="579"/>
      <c r="AL27" s="579"/>
      <c r="AM27" s="579"/>
      <c r="AN27" s="579"/>
      <c r="AO27" s="579"/>
      <c r="AP27" s="584"/>
      <c r="AQ27" s="584"/>
      <c r="AR27" s="584"/>
      <c r="AS27" s="584"/>
      <c r="AT27" s="584"/>
      <c r="AU27" s="584"/>
      <c r="AV27" s="584"/>
      <c r="AW27" s="584"/>
      <c r="AX27" s="584"/>
      <c r="AY27" s="584"/>
      <c r="AZ27" s="196"/>
      <c r="BA27" s="196"/>
      <c r="BB27" s="196"/>
      <c r="BC27" s="196"/>
      <c r="BD27" s="196"/>
      <c r="BE27" s="196"/>
      <c r="BF27" s="196"/>
      <c r="BG27" s="196"/>
      <c r="BH27" s="196"/>
      <c r="BI27" s="196"/>
      <c r="BJ27" s="196"/>
      <c r="BK27" s="196"/>
      <c r="BL27" s="196"/>
      <c r="BM27" s="196"/>
      <c r="BN27" s="196"/>
      <c r="BO27" s="196"/>
      <c r="BP27" s="196"/>
      <c r="BQ27" s="196"/>
      <c r="BR27" s="196"/>
      <c r="BS27" s="196"/>
      <c r="BT27" s="196"/>
      <c r="BU27" s="196"/>
      <c r="BV27" s="196"/>
      <c r="BW27" s="196"/>
      <c r="BX27" s="196"/>
      <c r="BY27" s="196"/>
      <c r="BZ27" s="196"/>
      <c r="CA27" s="196"/>
      <c r="CB27" s="196"/>
      <c r="CC27" s="196"/>
      <c r="CD27" s="196"/>
      <c r="CE27" s="196"/>
      <c r="CF27" s="196"/>
      <c r="CG27" s="196"/>
      <c r="CH27" s="196"/>
      <c r="CI27" s="196"/>
      <c r="CJ27" s="196"/>
      <c r="CK27" s="196"/>
      <c r="CL27" s="196"/>
      <c r="CM27" s="196"/>
      <c r="CN27" s="196"/>
      <c r="CO27" s="196"/>
      <c r="CP27" s="196"/>
      <c r="CQ27" s="196"/>
      <c r="CR27" s="196"/>
      <c r="CS27" s="196"/>
      <c r="CT27" s="196"/>
      <c r="CU27" s="196"/>
      <c r="CV27" s="196"/>
      <c r="CW27" s="196"/>
      <c r="CX27" s="196"/>
      <c r="CY27" s="196"/>
      <c r="CZ27" s="196"/>
      <c r="DA27" s="196"/>
      <c r="DB27" s="196"/>
      <c r="DC27" s="196"/>
      <c r="DD27" s="196"/>
      <c r="DE27" s="196"/>
      <c r="DF27" s="196"/>
      <c r="DG27" s="196"/>
      <c r="DH27" s="196"/>
      <c r="DI27" s="196"/>
      <c r="DJ27" s="196"/>
      <c r="DK27" s="196"/>
      <c r="DL27" s="196"/>
      <c r="DM27" s="196"/>
      <c r="DN27" s="196"/>
      <c r="DO27" s="196"/>
      <c r="DP27" s="196"/>
      <c r="DQ27" s="196"/>
      <c r="DR27" s="196"/>
      <c r="DS27" s="196"/>
      <c r="DT27" s="196"/>
      <c r="DU27" s="196"/>
      <c r="DV27" s="196"/>
      <c r="DW27" s="196"/>
      <c r="DX27" s="196"/>
      <c r="DY27" s="196"/>
      <c r="DZ27" s="196"/>
      <c r="EA27" s="196"/>
      <c r="EB27" s="196"/>
      <c r="EC27" s="196"/>
      <c r="ED27" s="196"/>
      <c r="EE27" s="196"/>
      <c r="EF27" s="196"/>
      <c r="EG27" s="196"/>
      <c r="EH27" s="196"/>
      <c r="EI27" s="196"/>
      <c r="EJ27" s="196"/>
      <c r="EK27" s="196"/>
      <c r="EL27" s="196"/>
      <c r="EM27" s="196"/>
      <c r="EN27" s="196"/>
      <c r="EO27" s="196"/>
      <c r="EP27" s="196"/>
      <c r="EQ27" s="196"/>
      <c r="ER27" s="196"/>
      <c r="ES27" s="196"/>
      <c r="ET27" s="196"/>
      <c r="EU27" s="196"/>
      <c r="EV27" s="196"/>
      <c r="EW27" s="196"/>
      <c r="EX27" s="196"/>
      <c r="EY27" s="196"/>
      <c r="EZ27" s="196"/>
      <c r="FA27" s="196"/>
      <c r="FB27" s="196"/>
      <c r="FC27" s="196"/>
      <c r="FD27" s="196"/>
      <c r="FE27" s="196"/>
      <c r="FF27" s="196"/>
      <c r="FG27" s="196"/>
      <c r="FH27" s="196"/>
      <c r="FI27" s="196"/>
      <c r="FJ27" s="196"/>
      <c r="FK27" s="196"/>
      <c r="FL27" s="196"/>
      <c r="FM27" s="196"/>
      <c r="FN27" s="196"/>
      <c r="FO27" s="196"/>
      <c r="FP27" s="196"/>
      <c r="FQ27" s="196"/>
      <c r="FR27" s="196"/>
      <c r="FS27" s="196"/>
      <c r="FT27" s="196"/>
      <c r="FU27" s="196"/>
      <c r="FV27" s="196"/>
      <c r="FW27" s="196"/>
      <c r="FX27" s="196"/>
      <c r="FY27" s="196"/>
      <c r="FZ27" s="196"/>
      <c r="GA27" s="196"/>
      <c r="GB27" s="196"/>
      <c r="GC27" s="196"/>
      <c r="GD27" s="196"/>
      <c r="GE27" s="196"/>
      <c r="GF27" s="196"/>
      <c r="GG27" s="196"/>
      <c r="GH27" s="196"/>
      <c r="GI27" s="196"/>
      <c r="GJ27" s="196"/>
      <c r="GK27" s="196"/>
      <c r="GL27" s="196"/>
      <c r="GM27" s="196"/>
      <c r="GN27" s="196"/>
      <c r="GO27" s="196"/>
      <c r="GP27" s="196"/>
      <c r="GQ27" s="196"/>
      <c r="GR27" s="196"/>
      <c r="GS27" s="196"/>
      <c r="GT27" s="196"/>
      <c r="GU27" s="196"/>
      <c r="GV27" s="196"/>
      <c r="GW27" s="196"/>
      <c r="GX27" s="196"/>
      <c r="GY27" s="196"/>
      <c r="GZ27" s="196"/>
      <c r="HA27" s="196"/>
      <c r="HB27" s="196"/>
      <c r="HC27" s="196"/>
      <c r="HD27" s="196"/>
      <c r="HE27" s="196"/>
      <c r="HF27" s="196"/>
      <c r="HG27" s="196"/>
      <c r="HH27" s="196"/>
      <c r="HI27" s="196"/>
      <c r="HJ27" s="196"/>
      <c r="HK27" s="196"/>
      <c r="HL27" s="196"/>
      <c r="HM27" s="196"/>
      <c r="HN27" s="196"/>
      <c r="HO27" s="196"/>
      <c r="HP27" s="196"/>
      <c r="HQ27" s="196"/>
      <c r="HR27" s="196"/>
      <c r="HS27" s="196"/>
      <c r="HT27" s="196"/>
      <c r="HU27" s="196"/>
      <c r="HV27" s="196"/>
      <c r="HW27" s="196"/>
      <c r="HX27" s="196"/>
      <c r="HY27" s="196"/>
      <c r="HZ27" s="196"/>
      <c r="IA27" s="196"/>
      <c r="IB27" s="196"/>
      <c r="IC27" s="196"/>
      <c r="ID27" s="196"/>
      <c r="IE27" s="196"/>
      <c r="IF27" s="196"/>
      <c r="IG27" s="196"/>
      <c r="IH27" s="196"/>
      <c r="II27" s="196"/>
      <c r="IJ27" s="196"/>
      <c r="IK27" s="196"/>
      <c r="IL27" s="196"/>
      <c r="IM27" s="196"/>
      <c r="IN27" s="196"/>
      <c r="IO27" s="196"/>
      <c r="IP27" s="196"/>
      <c r="IQ27" s="196"/>
      <c r="IR27" s="196"/>
      <c r="IS27" s="196"/>
      <c r="IT27" s="196"/>
      <c r="IU27" s="196"/>
      <c r="IV27" s="196"/>
    </row>
    <row r="28" spans="1:256" ht="15.6">
      <c r="A28" s="194" t="s">
        <v>224</v>
      </c>
      <c r="B28" s="196"/>
      <c r="C28" s="604">
        <f>C10*'ASSUM 1'!B24</f>
        <v>95643.42857142858</v>
      </c>
      <c r="D28" s="604">
        <f>D10*'ASSUM 1'!B24</f>
        <v>218704.63999999998</v>
      </c>
      <c r="E28" s="604">
        <f>E10*'ASSUM 1'!B24</f>
        <v>218704.63999999998</v>
      </c>
      <c r="F28" s="604">
        <f>F10*'ASSUM 1'!B24</f>
        <v>218704.63999999998</v>
      </c>
      <c r="G28" s="604">
        <f>G10*'ASSUM 1'!B24</f>
        <v>218704.63999999998</v>
      </c>
      <c r="H28" s="604">
        <f>H10*'ASSUM 1'!B24</f>
        <v>218704.63999999998</v>
      </c>
      <c r="I28" s="604">
        <f>I10*'ASSUM 1'!B24</f>
        <v>218704.63999999998</v>
      </c>
      <c r="J28" s="604">
        <f>J10*'ASSUM 1'!B24</f>
        <v>218704.63999999998</v>
      </c>
      <c r="K28" s="604">
        <f>K10*'ASSUM 1'!B24</f>
        <v>218704.63999999998</v>
      </c>
      <c r="L28" s="604">
        <f>L10*'ASSUM 1'!B24</f>
        <v>218704.63999999998</v>
      </c>
      <c r="M28" s="604">
        <f>M10*'ASSUM 1'!B24</f>
        <v>218704.63999999998</v>
      </c>
      <c r="N28" s="604">
        <f>N10*'ASSUM 1'!B24</f>
        <v>218704.63999999998</v>
      </c>
      <c r="O28" s="604">
        <f>O10*'ASSUM 1'!B24</f>
        <v>218704.63999999998</v>
      </c>
      <c r="P28" s="604">
        <f>P10*'ASSUM 1'!B24</f>
        <v>218704.63999999998</v>
      </c>
      <c r="Q28" s="604">
        <f>Q10*'ASSUM 1'!B24</f>
        <v>218704.63999999998</v>
      </c>
      <c r="R28" s="604">
        <f>R10*'ASSUM 1'!B24</f>
        <v>218704.63999999998</v>
      </c>
      <c r="S28" s="604">
        <f>S10*'ASSUM 1'!B24</f>
        <v>218704.63999999998</v>
      </c>
      <c r="T28" s="604">
        <f>T10*'ASSUM 1'!B24</f>
        <v>218704.63999999998</v>
      </c>
      <c r="U28" s="604">
        <f>U10*'ASSUM 1'!B24</f>
        <v>218704.63999999998</v>
      </c>
      <c r="V28" s="604">
        <f>V10*'ASSUM 1'!B24</f>
        <v>218704.63999999998</v>
      </c>
      <c r="W28" s="596"/>
      <c r="X28" s="579"/>
      <c r="Y28" s="579"/>
      <c r="Z28" s="579"/>
      <c r="AA28" s="579"/>
      <c r="AB28" s="579"/>
      <c r="AC28" s="579"/>
      <c r="AD28" s="579"/>
      <c r="AE28" s="579"/>
      <c r="AF28" s="579"/>
      <c r="AG28" s="579"/>
      <c r="AH28" s="579"/>
      <c r="AI28" s="579"/>
      <c r="AJ28" s="579"/>
      <c r="AK28" s="579"/>
      <c r="AL28" s="579"/>
      <c r="AM28" s="579"/>
      <c r="AN28" s="579"/>
      <c r="AO28" s="579"/>
      <c r="AP28" s="584"/>
      <c r="AQ28" s="584"/>
      <c r="AR28" s="584"/>
      <c r="AS28" s="584"/>
      <c r="AT28" s="584"/>
      <c r="AU28" s="584"/>
      <c r="AV28" s="584"/>
      <c r="AW28" s="584"/>
      <c r="AX28" s="584"/>
      <c r="AY28" s="584"/>
      <c r="AZ28" s="196"/>
      <c r="BA28" s="196"/>
      <c r="BB28" s="196"/>
      <c r="BC28" s="196"/>
      <c r="BD28" s="196"/>
      <c r="BE28" s="196"/>
      <c r="BF28" s="196"/>
      <c r="BG28" s="196"/>
      <c r="BH28" s="196"/>
      <c r="BI28" s="196"/>
      <c r="BJ28" s="196"/>
      <c r="BK28" s="196"/>
      <c r="BL28" s="196"/>
      <c r="BM28" s="196"/>
      <c r="BN28" s="196"/>
      <c r="BO28" s="196"/>
      <c r="BP28" s="196"/>
      <c r="BQ28" s="196"/>
      <c r="BR28" s="196"/>
      <c r="BS28" s="196"/>
      <c r="BT28" s="196"/>
      <c r="BU28" s="196"/>
      <c r="BV28" s="196"/>
      <c r="BW28" s="196"/>
      <c r="BX28" s="196"/>
      <c r="BY28" s="196"/>
      <c r="BZ28" s="196"/>
      <c r="CA28" s="196"/>
      <c r="CB28" s="196"/>
      <c r="CC28" s="196"/>
      <c r="CD28" s="196"/>
      <c r="CE28" s="196"/>
      <c r="CF28" s="196"/>
      <c r="CG28" s="196"/>
      <c r="CH28" s="196"/>
      <c r="CI28" s="196"/>
      <c r="CJ28" s="196"/>
      <c r="CK28" s="196"/>
      <c r="CL28" s="196"/>
      <c r="CM28" s="196"/>
      <c r="CN28" s="196"/>
      <c r="CO28" s="196"/>
      <c r="CP28" s="196"/>
      <c r="CQ28" s="196"/>
      <c r="CR28" s="196"/>
      <c r="CS28" s="196"/>
      <c r="CT28" s="196"/>
      <c r="CU28" s="196"/>
      <c r="CV28" s="196"/>
      <c r="CW28" s="196"/>
      <c r="CX28" s="196"/>
      <c r="CY28" s="196"/>
      <c r="CZ28" s="196"/>
      <c r="DA28" s="196"/>
      <c r="DB28" s="196"/>
      <c r="DC28" s="196"/>
      <c r="DD28" s="196"/>
      <c r="DE28" s="196"/>
      <c r="DF28" s="196"/>
      <c r="DG28" s="196"/>
      <c r="DH28" s="196"/>
      <c r="DI28" s="196"/>
      <c r="DJ28" s="196"/>
      <c r="DK28" s="196"/>
      <c r="DL28" s="196"/>
      <c r="DM28" s="196"/>
      <c r="DN28" s="196"/>
      <c r="DO28" s="196"/>
      <c r="DP28" s="196"/>
      <c r="DQ28" s="196"/>
      <c r="DR28" s="196"/>
      <c r="DS28" s="196"/>
      <c r="DT28" s="196"/>
      <c r="DU28" s="196"/>
      <c r="DV28" s="196"/>
      <c r="DW28" s="196"/>
      <c r="DX28" s="196"/>
      <c r="DY28" s="196"/>
      <c r="DZ28" s="196"/>
      <c r="EA28" s="196"/>
      <c r="EB28" s="196"/>
      <c r="EC28" s="196"/>
      <c r="ED28" s="196"/>
      <c r="EE28" s="196"/>
      <c r="EF28" s="196"/>
      <c r="EG28" s="196"/>
      <c r="EH28" s="196"/>
      <c r="EI28" s="196"/>
      <c r="EJ28" s="196"/>
      <c r="EK28" s="196"/>
      <c r="EL28" s="196"/>
      <c r="EM28" s="196"/>
      <c r="EN28" s="196"/>
      <c r="EO28" s="196"/>
      <c r="EP28" s="196"/>
      <c r="EQ28" s="196"/>
      <c r="ER28" s="196"/>
      <c r="ES28" s="196"/>
      <c r="ET28" s="196"/>
      <c r="EU28" s="196"/>
      <c r="EV28" s="196"/>
      <c r="EW28" s="196"/>
      <c r="EX28" s="196"/>
      <c r="EY28" s="196"/>
      <c r="EZ28" s="196"/>
      <c r="FA28" s="196"/>
      <c r="FB28" s="196"/>
      <c r="FC28" s="196"/>
      <c r="FD28" s="196"/>
      <c r="FE28" s="196"/>
      <c r="FF28" s="196"/>
      <c r="FG28" s="196"/>
      <c r="FH28" s="196"/>
      <c r="FI28" s="196"/>
      <c r="FJ28" s="196"/>
      <c r="FK28" s="196"/>
      <c r="FL28" s="196"/>
      <c r="FM28" s="196"/>
      <c r="FN28" s="196"/>
      <c r="FO28" s="196"/>
      <c r="FP28" s="196"/>
      <c r="FQ28" s="196"/>
      <c r="FR28" s="196"/>
      <c r="FS28" s="196"/>
      <c r="FT28" s="196"/>
      <c r="FU28" s="196"/>
      <c r="FV28" s="196"/>
      <c r="FW28" s="196"/>
      <c r="FX28" s="196"/>
      <c r="FY28" s="196"/>
      <c r="FZ28" s="196"/>
      <c r="GA28" s="196"/>
      <c r="GB28" s="196"/>
      <c r="GC28" s="196"/>
      <c r="GD28" s="196"/>
      <c r="GE28" s="196"/>
      <c r="GF28" s="196"/>
      <c r="GG28" s="196"/>
      <c r="GH28" s="196"/>
      <c r="GI28" s="196"/>
      <c r="GJ28" s="196"/>
      <c r="GK28" s="196"/>
      <c r="GL28" s="196"/>
      <c r="GM28" s="196"/>
      <c r="GN28" s="196"/>
      <c r="GO28" s="196"/>
      <c r="GP28" s="196"/>
      <c r="GQ28" s="196"/>
      <c r="GR28" s="196"/>
      <c r="GS28" s="196"/>
      <c r="GT28" s="196"/>
      <c r="GU28" s="196"/>
      <c r="GV28" s="196"/>
      <c r="GW28" s="196"/>
      <c r="GX28" s="196"/>
      <c r="GY28" s="196"/>
      <c r="GZ28" s="196"/>
      <c r="HA28" s="196"/>
      <c r="HB28" s="196"/>
      <c r="HC28" s="196"/>
      <c r="HD28" s="196"/>
      <c r="HE28" s="196"/>
      <c r="HF28" s="196"/>
      <c r="HG28" s="196"/>
      <c r="HH28" s="196"/>
      <c r="HI28" s="196"/>
      <c r="HJ28" s="196"/>
      <c r="HK28" s="196"/>
      <c r="HL28" s="196"/>
      <c r="HM28" s="196"/>
      <c r="HN28" s="196"/>
      <c r="HO28" s="196"/>
      <c r="HP28" s="196"/>
      <c r="HQ28" s="196"/>
      <c r="HR28" s="196"/>
      <c r="HS28" s="196"/>
      <c r="HT28" s="196"/>
      <c r="HU28" s="196"/>
      <c r="HV28" s="196"/>
      <c r="HW28" s="196"/>
      <c r="HX28" s="196"/>
      <c r="HY28" s="196"/>
      <c r="HZ28" s="196"/>
      <c r="IA28" s="196"/>
      <c r="IB28" s="196"/>
      <c r="IC28" s="196"/>
      <c r="ID28" s="196"/>
      <c r="IE28" s="196"/>
      <c r="IF28" s="196"/>
      <c r="IG28" s="196"/>
      <c r="IH28" s="196"/>
      <c r="II28" s="196"/>
      <c r="IJ28" s="196"/>
      <c r="IK28" s="196"/>
      <c r="IL28" s="196"/>
      <c r="IM28" s="196"/>
      <c r="IN28" s="196"/>
      <c r="IO28" s="196"/>
      <c r="IP28" s="196"/>
      <c r="IQ28" s="196"/>
      <c r="IR28" s="196"/>
      <c r="IS28" s="196"/>
      <c r="IT28" s="196"/>
      <c r="IU28" s="196"/>
      <c r="IV28" s="196"/>
    </row>
    <row r="29" spans="1:256" ht="15.6">
      <c r="A29" s="200" t="s">
        <v>225</v>
      </c>
      <c r="B29" s="205"/>
      <c r="C29" s="605">
        <f t="shared" ref="C29:V29" si="6">(C27*C28/1000)</f>
        <v>3028.465486322194</v>
      </c>
      <c r="D29" s="605">
        <f t="shared" si="6"/>
        <v>7912.7499637431865</v>
      </c>
      <c r="E29" s="605">
        <f t="shared" si="6"/>
        <v>7655.4394924636754</v>
      </c>
      <c r="F29" s="605">
        <f t="shared" si="6"/>
        <v>8061.4198831599469</v>
      </c>
      <c r="G29" s="605">
        <f t="shared" si="6"/>
        <v>8083.526717476715</v>
      </c>
      <c r="H29" s="605">
        <f t="shared" si="6"/>
        <v>5828.1366763630331</v>
      </c>
      <c r="I29" s="605">
        <f t="shared" si="6"/>
        <v>7637.9174252096363</v>
      </c>
      <c r="J29" s="605">
        <f t="shared" si="6"/>
        <v>9845.3570906857767</v>
      </c>
      <c r="K29" s="605">
        <f t="shared" si="6"/>
        <v>9955.0231008411083</v>
      </c>
      <c r="L29" s="605">
        <f t="shared" si="6"/>
        <v>9220.6198012628774</v>
      </c>
      <c r="M29" s="605">
        <f t="shared" si="6"/>
        <v>9354.9875191446135</v>
      </c>
      <c r="N29" s="605">
        <f t="shared" si="6"/>
        <v>8831.3797809957505</v>
      </c>
      <c r="O29" s="605">
        <f t="shared" si="6"/>
        <v>8892.4466391200676</v>
      </c>
      <c r="P29" s="605">
        <f t="shared" si="6"/>
        <v>8043.9230909434364</v>
      </c>
      <c r="Q29" s="605">
        <f t="shared" si="6"/>
        <v>9481.7601106008115</v>
      </c>
      <c r="R29" s="605">
        <f t="shared" si="6"/>
        <v>11224.822459980584</v>
      </c>
      <c r="S29" s="605">
        <f t="shared" si="6"/>
        <v>12855.472668114626</v>
      </c>
      <c r="T29" s="605">
        <f t="shared" si="6"/>
        <v>13011.623076007696</v>
      </c>
      <c r="U29" s="605">
        <f t="shared" si="6"/>
        <v>13549.976479515202</v>
      </c>
      <c r="V29" s="602">
        <f t="shared" si="6"/>
        <v>11043.297311110464</v>
      </c>
      <c r="W29" s="596"/>
      <c r="X29" s="579"/>
      <c r="Y29" s="579"/>
      <c r="Z29" s="579"/>
      <c r="AA29" s="579"/>
      <c r="AB29" s="579"/>
      <c r="AC29" s="579"/>
      <c r="AD29" s="579"/>
      <c r="AE29" s="579"/>
      <c r="AF29" s="579"/>
      <c r="AG29" s="579"/>
      <c r="AH29" s="579"/>
      <c r="AI29" s="579"/>
      <c r="AJ29" s="579"/>
      <c r="AK29" s="579"/>
      <c r="AL29" s="579"/>
      <c r="AM29" s="579"/>
      <c r="AN29" s="579"/>
      <c r="AO29" s="579"/>
    </row>
    <row r="30" spans="1:256" ht="15.6">
      <c r="A30" s="194"/>
      <c r="B30" s="206"/>
      <c r="C30" s="606"/>
      <c r="D30" s="606"/>
      <c r="E30" s="606"/>
      <c r="F30" s="606"/>
      <c r="G30" s="606"/>
      <c r="H30" s="606"/>
      <c r="I30" s="606"/>
      <c r="J30" s="606"/>
      <c r="K30" s="606"/>
      <c r="L30" s="606"/>
      <c r="M30" s="606"/>
      <c r="N30" s="606"/>
      <c r="O30" s="606"/>
      <c r="P30" s="606"/>
      <c r="Q30" s="606"/>
      <c r="R30" s="606"/>
      <c r="S30" s="606"/>
      <c r="T30" s="606"/>
      <c r="U30" s="606"/>
      <c r="V30" s="606"/>
      <c r="W30" s="596"/>
      <c r="X30" s="579"/>
      <c r="Y30" s="579"/>
      <c r="Z30" s="579"/>
      <c r="AA30" s="579"/>
      <c r="AB30" s="579"/>
      <c r="AC30" s="579"/>
      <c r="AD30" s="579"/>
      <c r="AE30" s="579"/>
      <c r="AF30" s="579"/>
      <c r="AG30" s="579"/>
      <c r="AH30" s="579"/>
      <c r="AI30" s="579"/>
      <c r="AJ30" s="579"/>
      <c r="AK30" s="579"/>
      <c r="AL30" s="579"/>
      <c r="AM30" s="579"/>
      <c r="AN30" s="579"/>
      <c r="AO30" s="579"/>
    </row>
    <row r="31" spans="1:256" ht="15.6">
      <c r="A31" s="200" t="s">
        <v>226</v>
      </c>
      <c r="B31" s="206"/>
      <c r="C31" s="606"/>
      <c r="D31" s="606"/>
      <c r="E31" s="606"/>
      <c r="F31" s="606"/>
      <c r="G31" s="606"/>
      <c r="H31" s="606"/>
      <c r="I31" s="606"/>
      <c r="J31" s="606"/>
      <c r="K31" s="606"/>
      <c r="L31" s="606"/>
      <c r="M31" s="606"/>
      <c r="N31" s="606"/>
      <c r="O31" s="606"/>
      <c r="P31" s="606"/>
      <c r="Q31" s="606"/>
      <c r="R31" s="606"/>
      <c r="S31" s="606"/>
      <c r="T31" s="606"/>
      <c r="U31" s="606"/>
      <c r="V31" s="606"/>
      <c r="W31" s="596"/>
      <c r="X31" s="579"/>
      <c r="Y31" s="579"/>
      <c r="Z31" s="579"/>
      <c r="AA31" s="579"/>
      <c r="AB31" s="579"/>
      <c r="AC31" s="579"/>
      <c r="AD31" s="579"/>
      <c r="AE31" s="579"/>
      <c r="AF31" s="579"/>
      <c r="AG31" s="579"/>
      <c r="AH31" s="579"/>
      <c r="AI31" s="579"/>
      <c r="AJ31" s="579"/>
      <c r="AK31" s="579"/>
      <c r="AL31" s="579"/>
      <c r="AM31" s="579"/>
      <c r="AN31" s="579"/>
      <c r="AO31" s="579"/>
    </row>
    <row r="32" spans="1:256" ht="15.6">
      <c r="A32" s="194" t="s">
        <v>227</v>
      </c>
      <c r="B32" s="206"/>
      <c r="C32" s="607">
        <f t="shared" ref="C32:V32" si="7">C34/C33*1000</f>
        <v>155.37994502756234</v>
      </c>
      <c r="D32" s="607">
        <f t="shared" si="7"/>
        <v>128.01789176908738</v>
      </c>
      <c r="E32" s="607">
        <f t="shared" si="7"/>
        <v>117.78143440666094</v>
      </c>
      <c r="F32" s="607">
        <f t="shared" si="7"/>
        <v>118.59195783403585</v>
      </c>
      <c r="G32" s="607">
        <f t="shared" si="7"/>
        <v>125.11461883150827</v>
      </c>
      <c r="H32" s="607">
        <f t="shared" si="7"/>
        <v>111.55605678223087</v>
      </c>
      <c r="I32" s="607">
        <f t="shared" si="7"/>
        <v>126.80281165398249</v>
      </c>
      <c r="J32" s="607">
        <f t="shared" si="7"/>
        <v>142.81143260883275</v>
      </c>
      <c r="K32" s="607">
        <f t="shared" si="7"/>
        <v>145.72571827764395</v>
      </c>
      <c r="L32" s="607">
        <f t="shared" si="7"/>
        <v>144.89584365060779</v>
      </c>
      <c r="M32" s="607">
        <f t="shared" si="7"/>
        <v>148.98145860324033</v>
      </c>
      <c r="N32" s="607">
        <f t="shared" si="7"/>
        <v>148.42361469884582</v>
      </c>
      <c r="O32" s="607">
        <f t="shared" si="7"/>
        <v>147.72357977971737</v>
      </c>
      <c r="P32" s="607">
        <f t="shared" si="7"/>
        <v>144.0436730265402</v>
      </c>
      <c r="Q32" s="607">
        <f t="shared" si="7"/>
        <v>156.50352046222136</v>
      </c>
      <c r="R32" s="607">
        <f t="shared" si="7"/>
        <v>174.56247846486838</v>
      </c>
      <c r="S32" s="607">
        <f t="shared" si="7"/>
        <v>187.29155002566986</v>
      </c>
      <c r="T32" s="607">
        <f t="shared" si="7"/>
        <v>191.72601116712551</v>
      </c>
      <c r="U32" s="607">
        <f t="shared" si="7"/>
        <v>198.58247604457475</v>
      </c>
      <c r="V32" s="607">
        <f t="shared" si="7"/>
        <v>187.18903773372969</v>
      </c>
      <c r="W32" s="596"/>
      <c r="X32" s="579"/>
      <c r="Y32" s="579"/>
      <c r="Z32" s="579"/>
      <c r="AA32" s="579"/>
      <c r="AB32" s="579"/>
      <c r="AC32" s="579"/>
      <c r="AD32" s="579"/>
      <c r="AE32" s="579"/>
      <c r="AF32" s="579"/>
      <c r="AG32" s="579"/>
      <c r="AH32" s="579"/>
      <c r="AI32" s="579"/>
      <c r="AJ32" s="579"/>
      <c r="AK32" s="579"/>
      <c r="AL32" s="579"/>
      <c r="AM32" s="579"/>
      <c r="AN32" s="579"/>
      <c r="AO32" s="579"/>
    </row>
    <row r="33" spans="1:252" ht="15.6">
      <c r="A33" s="194" t="s">
        <v>228</v>
      </c>
      <c r="B33" s="206"/>
      <c r="C33" s="604">
        <f t="shared" ref="C33:V33" si="8">C17</f>
        <v>58546.735590269847</v>
      </c>
      <c r="D33" s="604">
        <f t="shared" si="8"/>
        <v>195045.62427305506</v>
      </c>
      <c r="E33" s="604">
        <f t="shared" si="8"/>
        <v>211860.55133175335</v>
      </c>
      <c r="F33" s="604">
        <f t="shared" si="8"/>
        <v>218538.10717731059</v>
      </c>
      <c r="G33" s="604">
        <f t="shared" si="8"/>
        <v>207842.72356965908</v>
      </c>
      <c r="H33" s="604">
        <f t="shared" si="8"/>
        <v>197476.77585594621</v>
      </c>
      <c r="I33" s="604">
        <f t="shared" si="8"/>
        <v>203721.38725759645</v>
      </c>
      <c r="J33" s="604">
        <f t="shared" si="8"/>
        <v>208936.25212681823</v>
      </c>
      <c r="K33" s="604">
        <f t="shared" si="8"/>
        <v>207321.80210335375</v>
      </c>
      <c r="L33" s="604">
        <f t="shared" si="8"/>
        <v>203956.33359589914</v>
      </c>
      <c r="M33" s="604">
        <f t="shared" si="8"/>
        <v>202341.90010447774</v>
      </c>
      <c r="N33" s="604">
        <f t="shared" si="8"/>
        <v>199486.32917586801</v>
      </c>
      <c r="O33" s="604">
        <f t="shared" si="8"/>
        <v>205237.52400577063</v>
      </c>
      <c r="P33" s="604">
        <f t="shared" si="8"/>
        <v>201589.18792694891</v>
      </c>
      <c r="Q33" s="604">
        <f t="shared" si="8"/>
        <v>204034.19185600572</v>
      </c>
      <c r="R33" s="604">
        <f t="shared" si="8"/>
        <v>198321.49614354313</v>
      </c>
      <c r="S33" s="604">
        <f t="shared" si="8"/>
        <v>200177.38677075374</v>
      </c>
      <c r="T33" s="604">
        <f t="shared" si="8"/>
        <v>198976.51005100083</v>
      </c>
      <c r="U33" s="604">
        <f t="shared" si="8"/>
        <v>199387.73211118844</v>
      </c>
      <c r="V33" s="604">
        <f t="shared" si="8"/>
        <v>192757.20515595289</v>
      </c>
      <c r="W33" s="596"/>
      <c r="X33" s="579"/>
      <c r="Y33" s="579"/>
      <c r="Z33" s="579"/>
      <c r="AA33" s="579"/>
      <c r="AB33" s="579"/>
      <c r="AC33" s="579"/>
      <c r="AD33" s="579"/>
      <c r="AE33" s="579"/>
      <c r="AF33" s="579"/>
      <c r="AG33" s="579"/>
      <c r="AH33" s="579"/>
      <c r="AI33" s="579"/>
      <c r="AJ33" s="579"/>
      <c r="AK33" s="579"/>
      <c r="AL33" s="579"/>
      <c r="AM33" s="579"/>
      <c r="AN33" s="579"/>
      <c r="AO33" s="579"/>
    </row>
    <row r="34" spans="1:252" ht="15.6">
      <c r="A34" s="194" t="s">
        <v>229</v>
      </c>
      <c r="B34" s="206"/>
      <c r="C34" s="606">
        <f>Spot!C57</f>
        <v>9096.9885575593562</v>
      </c>
      <c r="D34" s="606">
        <f>Spot!D57</f>
        <v>24969.329618222044</v>
      </c>
      <c r="E34" s="606">
        <f>Spot!E57</f>
        <v>24953.239630039927</v>
      </c>
      <c r="F34" s="606">
        <f>Spot!F57</f>
        <v>25916.861991501624</v>
      </c>
      <c r="G34" s="606">
        <f>Spot!G57</f>
        <v>26004.163136320436</v>
      </c>
      <c r="H34" s="606">
        <f>Spot!H57</f>
        <v>22029.730420557811</v>
      </c>
      <c r="I34" s="606">
        <f>Spot!I57</f>
        <v>25832.444698313033</v>
      </c>
      <c r="J34" s="606">
        <f>Spot!J57</f>
        <v>29838.48549015119</v>
      </c>
      <c r="K34" s="606">
        <f>Spot!K57</f>
        <v>30212.118526126778</v>
      </c>
      <c r="L34" s="606">
        <f>Spot!L57</f>
        <v>29552.425024262608</v>
      </c>
      <c r="M34" s="606">
        <f>Spot!M57</f>
        <v>30145.191414116238</v>
      </c>
      <c r="N34" s="606">
        <f>Spot!N57</f>
        <v>29608.482059286162</v>
      </c>
      <c r="O34" s="606">
        <f>Spot!O57</f>
        <v>30318.421751258113</v>
      </c>
      <c r="P34" s="606">
        <f>Spot!P57</f>
        <v>29037.647071435193</v>
      </c>
      <c r="Q34" s="606">
        <f>Spot!Q57</f>
        <v>31932.069320129191</v>
      </c>
      <c r="R34" s="606">
        <f>Spot!R57</f>
        <v>34619.491899677727</v>
      </c>
      <c r="S34" s="606">
        <f>Spot!S57</f>
        <v>37491.533048382487</v>
      </c>
      <c r="T34" s="606">
        <f>Spot!T57</f>
        <v>38148.972588033845</v>
      </c>
      <c r="U34" s="606">
        <f>Spot!U57</f>
        <v>39594.909535552164</v>
      </c>
      <c r="V34" s="606">
        <f>Spot!V57</f>
        <v>36082.035749385941</v>
      </c>
      <c r="W34" s="596"/>
      <c r="X34" s="579"/>
      <c r="Y34" s="579"/>
      <c r="Z34" s="579"/>
      <c r="AA34" s="579"/>
      <c r="AB34" s="579"/>
      <c r="AC34" s="579"/>
      <c r="AD34" s="579"/>
      <c r="AE34" s="579"/>
      <c r="AF34" s="579"/>
      <c r="AG34" s="579"/>
      <c r="AH34" s="579"/>
      <c r="AI34" s="579"/>
      <c r="AJ34" s="579"/>
      <c r="AK34" s="579"/>
      <c r="AL34" s="579"/>
      <c r="AM34" s="579"/>
      <c r="AN34" s="579"/>
      <c r="AO34" s="579"/>
    </row>
    <row r="35" spans="1:252" ht="15.6">
      <c r="A35" s="194"/>
      <c r="B35" s="206"/>
      <c r="C35" s="608"/>
      <c r="D35" s="608"/>
      <c r="E35" s="608"/>
      <c r="F35" s="608"/>
      <c r="G35" s="608"/>
      <c r="H35" s="608"/>
      <c r="I35" s="608"/>
      <c r="J35" s="608"/>
      <c r="K35" s="608"/>
      <c r="L35" s="608"/>
      <c r="M35" s="608"/>
      <c r="N35" s="608"/>
      <c r="O35" s="608"/>
      <c r="P35" s="608"/>
      <c r="Q35" s="608"/>
      <c r="R35" s="608"/>
      <c r="S35" s="608"/>
      <c r="T35" s="608"/>
      <c r="U35" s="608"/>
      <c r="V35" s="608"/>
      <c r="W35" s="596"/>
      <c r="X35" s="579"/>
      <c r="Y35" s="579"/>
      <c r="Z35" s="579"/>
      <c r="AA35" s="579"/>
      <c r="AB35" s="579"/>
      <c r="AC35" s="579"/>
      <c r="AD35" s="579"/>
      <c r="AE35" s="579"/>
      <c r="AF35" s="579"/>
      <c r="AG35" s="579"/>
      <c r="AH35" s="579"/>
      <c r="AI35" s="579"/>
      <c r="AJ35" s="579"/>
      <c r="AK35" s="579"/>
      <c r="AL35" s="579"/>
      <c r="AM35" s="579"/>
      <c r="AN35" s="579"/>
      <c r="AO35" s="579"/>
    </row>
    <row r="36" spans="1:252" ht="15.6">
      <c r="A36" s="200" t="s">
        <v>230</v>
      </c>
      <c r="B36" s="198"/>
      <c r="C36" s="602">
        <f t="shared" ref="C36:V36" si="9">C34+C29</f>
        <v>12125.454043881549</v>
      </c>
      <c r="D36" s="602">
        <f t="shared" si="9"/>
        <v>32882.079581965227</v>
      </c>
      <c r="E36" s="602">
        <f t="shared" si="9"/>
        <v>32608.679122503603</v>
      </c>
      <c r="F36" s="602">
        <f t="shared" si="9"/>
        <v>33978.281874661574</v>
      </c>
      <c r="G36" s="602">
        <f t="shared" si="9"/>
        <v>34087.68985379715</v>
      </c>
      <c r="H36" s="602">
        <f t="shared" si="9"/>
        <v>27857.867096920843</v>
      </c>
      <c r="I36" s="602">
        <f t="shared" si="9"/>
        <v>33470.362123522667</v>
      </c>
      <c r="J36" s="602">
        <f t="shared" si="9"/>
        <v>39683.842580836965</v>
      </c>
      <c r="K36" s="602">
        <f t="shared" si="9"/>
        <v>40167.141626967888</v>
      </c>
      <c r="L36" s="602">
        <f t="shared" si="9"/>
        <v>38773.044825525489</v>
      </c>
      <c r="M36" s="602">
        <f t="shared" si="9"/>
        <v>39500.178933260853</v>
      </c>
      <c r="N36" s="602">
        <f t="shared" si="9"/>
        <v>38439.861840281912</v>
      </c>
      <c r="O36" s="602">
        <f t="shared" si="9"/>
        <v>39210.868390378178</v>
      </c>
      <c r="P36" s="602">
        <f t="shared" si="9"/>
        <v>37081.57016237863</v>
      </c>
      <c r="Q36" s="602">
        <f t="shared" si="9"/>
        <v>41413.829430730002</v>
      </c>
      <c r="R36" s="602">
        <f t="shared" si="9"/>
        <v>45844.31435965831</v>
      </c>
      <c r="S36" s="602">
        <f t="shared" si="9"/>
        <v>50347.005716497115</v>
      </c>
      <c r="T36" s="602">
        <f t="shared" si="9"/>
        <v>51160.595664041539</v>
      </c>
      <c r="U36" s="602">
        <f t="shared" si="9"/>
        <v>53144.886015067364</v>
      </c>
      <c r="V36" s="602">
        <f t="shared" si="9"/>
        <v>47125.333060496407</v>
      </c>
      <c r="W36" s="596"/>
      <c r="X36" s="579"/>
      <c r="Y36" s="579"/>
      <c r="Z36" s="579"/>
      <c r="AA36" s="579"/>
      <c r="AB36" s="579"/>
      <c r="AC36" s="579"/>
      <c r="AD36" s="579"/>
      <c r="AE36" s="579"/>
      <c r="AF36" s="579"/>
      <c r="AG36" s="579"/>
      <c r="AH36" s="579"/>
      <c r="AI36" s="579"/>
      <c r="AJ36" s="579"/>
      <c r="AK36" s="579"/>
      <c r="AL36" s="579"/>
      <c r="AM36" s="579"/>
      <c r="AN36" s="579"/>
      <c r="AO36" s="579"/>
    </row>
    <row r="37" spans="1:252" ht="15.6">
      <c r="A37" s="207"/>
      <c r="B37" s="207"/>
      <c r="C37" s="609"/>
      <c r="D37" s="610"/>
      <c r="E37" s="610"/>
      <c r="F37" s="610"/>
      <c r="G37" s="610"/>
      <c r="H37" s="610"/>
      <c r="I37" s="610"/>
      <c r="J37" s="610"/>
      <c r="K37" s="610"/>
      <c r="L37" s="610"/>
      <c r="M37" s="610"/>
      <c r="N37" s="610"/>
      <c r="O37" s="610"/>
      <c r="P37" s="610"/>
      <c r="Q37" s="610"/>
      <c r="R37" s="610"/>
      <c r="S37" s="610"/>
      <c r="T37" s="610"/>
      <c r="U37" s="610"/>
      <c r="V37" s="610"/>
      <c r="W37" s="579"/>
      <c r="X37" s="579"/>
      <c r="Y37" s="579"/>
      <c r="Z37" s="579"/>
      <c r="AA37" s="579"/>
      <c r="AB37" s="579"/>
      <c r="AC37" s="579"/>
      <c r="AD37" s="579"/>
      <c r="AE37" s="579"/>
      <c r="AF37" s="579"/>
      <c r="AG37" s="579"/>
      <c r="AH37" s="579"/>
      <c r="AI37" s="579"/>
      <c r="AJ37" s="579"/>
      <c r="AK37" s="579"/>
      <c r="AL37" s="579"/>
      <c r="AM37" s="579"/>
      <c r="AN37" s="579"/>
      <c r="AO37" s="579"/>
      <c r="AP37" s="584"/>
      <c r="AQ37" s="584"/>
      <c r="AR37" s="584"/>
      <c r="AS37" s="584"/>
      <c r="AT37" s="584"/>
      <c r="AU37" s="584"/>
      <c r="AV37" s="584"/>
      <c r="AW37" s="584"/>
      <c r="AX37" s="584"/>
      <c r="AY37" s="584"/>
      <c r="AZ37" s="196"/>
      <c r="BA37" s="196"/>
      <c r="BB37" s="196"/>
      <c r="BC37" s="196"/>
      <c r="BD37" s="196"/>
      <c r="BE37" s="196"/>
      <c r="BF37" s="196"/>
      <c r="BG37" s="196"/>
      <c r="BH37" s="196"/>
      <c r="BI37" s="196"/>
      <c r="BJ37" s="196"/>
      <c r="BK37" s="196"/>
      <c r="BL37" s="196"/>
      <c r="BM37" s="196"/>
      <c r="BN37" s="196"/>
      <c r="BO37" s="196"/>
      <c r="BP37" s="196"/>
      <c r="BQ37" s="196"/>
      <c r="BR37" s="196"/>
      <c r="BS37" s="196"/>
      <c r="BT37" s="196"/>
      <c r="BU37" s="196"/>
      <c r="BV37" s="196"/>
      <c r="BW37" s="196"/>
      <c r="BX37" s="196"/>
      <c r="BY37" s="196"/>
      <c r="BZ37" s="196"/>
      <c r="CA37" s="196"/>
      <c r="CB37" s="196"/>
      <c r="CC37" s="196"/>
      <c r="CD37" s="196"/>
      <c r="CE37" s="196"/>
      <c r="CF37" s="196"/>
      <c r="CG37" s="196"/>
      <c r="CH37" s="196"/>
      <c r="CI37" s="196"/>
      <c r="CJ37" s="196"/>
      <c r="CK37" s="196"/>
      <c r="CL37" s="196"/>
      <c r="CM37" s="196"/>
      <c r="CN37" s="196"/>
      <c r="CO37" s="196"/>
      <c r="CP37" s="196"/>
      <c r="CQ37" s="196"/>
      <c r="CR37" s="196"/>
      <c r="CS37" s="196"/>
      <c r="CT37" s="196"/>
      <c r="CU37" s="196"/>
      <c r="CV37" s="196"/>
      <c r="CW37" s="196"/>
      <c r="CX37" s="196"/>
      <c r="CY37" s="196"/>
      <c r="CZ37" s="196"/>
      <c r="DA37" s="196"/>
      <c r="DB37" s="196"/>
      <c r="DC37" s="196"/>
      <c r="DD37" s="196"/>
      <c r="DE37" s="196"/>
      <c r="DF37" s="196"/>
      <c r="DG37" s="196"/>
      <c r="DH37" s="196"/>
      <c r="DI37" s="196"/>
      <c r="DJ37" s="196"/>
      <c r="DK37" s="196"/>
      <c r="DL37" s="196"/>
      <c r="DM37" s="196"/>
      <c r="DN37" s="196"/>
      <c r="DO37" s="196"/>
      <c r="DP37" s="196"/>
      <c r="DQ37" s="196"/>
      <c r="DR37" s="196"/>
      <c r="DS37" s="196"/>
      <c r="DT37" s="196"/>
      <c r="DU37" s="196"/>
      <c r="DV37" s="196"/>
      <c r="DW37" s="196"/>
      <c r="DX37" s="196"/>
      <c r="DY37" s="196"/>
      <c r="DZ37" s="196"/>
      <c r="EA37" s="196"/>
      <c r="EB37" s="196"/>
      <c r="EC37" s="196"/>
      <c r="ED37" s="196"/>
      <c r="EE37" s="196"/>
      <c r="EF37" s="196"/>
      <c r="EG37" s="196"/>
      <c r="EH37" s="196"/>
      <c r="EI37" s="196"/>
      <c r="EJ37" s="196"/>
      <c r="EK37" s="196"/>
      <c r="EL37" s="196"/>
      <c r="EM37" s="196"/>
      <c r="EN37" s="196"/>
      <c r="EO37" s="196"/>
      <c r="EP37" s="196"/>
      <c r="EQ37" s="196"/>
      <c r="ER37" s="196"/>
      <c r="ES37" s="196"/>
      <c r="ET37" s="196"/>
      <c r="EU37" s="196"/>
      <c r="EV37" s="196"/>
      <c r="EW37" s="196"/>
      <c r="EX37" s="196"/>
      <c r="EY37" s="196"/>
      <c r="EZ37" s="196"/>
      <c r="FA37" s="196"/>
      <c r="FB37" s="196"/>
      <c r="FC37" s="196"/>
      <c r="FD37" s="196"/>
      <c r="FE37" s="196"/>
      <c r="FF37" s="196"/>
      <c r="FG37" s="196"/>
      <c r="FH37" s="196"/>
      <c r="FI37" s="196"/>
      <c r="FJ37" s="196"/>
      <c r="FK37" s="196"/>
      <c r="FL37" s="196"/>
      <c r="FM37" s="196"/>
      <c r="FN37" s="196"/>
      <c r="FO37" s="196"/>
      <c r="FP37" s="196"/>
      <c r="FQ37" s="196"/>
      <c r="FR37" s="196"/>
      <c r="FS37" s="196"/>
      <c r="FT37" s="196"/>
      <c r="FU37" s="196"/>
      <c r="FV37" s="196"/>
      <c r="FW37" s="196"/>
      <c r="FX37" s="196"/>
      <c r="FY37" s="196"/>
      <c r="FZ37" s="196"/>
      <c r="GA37" s="196"/>
      <c r="GB37" s="196"/>
      <c r="GC37" s="196"/>
      <c r="GD37" s="196"/>
      <c r="GE37" s="196"/>
      <c r="GF37" s="196"/>
      <c r="GG37" s="196"/>
      <c r="GH37" s="196"/>
      <c r="GI37" s="196"/>
      <c r="GJ37" s="196"/>
      <c r="GK37" s="196"/>
      <c r="GL37" s="196"/>
      <c r="GM37" s="196"/>
      <c r="GN37" s="196"/>
      <c r="GO37" s="196"/>
      <c r="GP37" s="196"/>
      <c r="GQ37" s="196"/>
      <c r="GR37" s="196"/>
      <c r="GS37" s="196"/>
      <c r="GT37" s="196"/>
      <c r="GU37" s="196"/>
      <c r="GV37" s="196"/>
      <c r="GW37" s="196"/>
      <c r="GX37" s="196"/>
      <c r="GY37" s="196"/>
      <c r="GZ37" s="196"/>
      <c r="HA37" s="196"/>
      <c r="HB37" s="196"/>
      <c r="HC37" s="196"/>
      <c r="HD37" s="196"/>
      <c r="HE37" s="196"/>
      <c r="HF37" s="196"/>
      <c r="HG37" s="196"/>
      <c r="HH37" s="196"/>
      <c r="HI37" s="196"/>
      <c r="HJ37" s="196"/>
      <c r="HK37" s="196"/>
      <c r="HL37" s="196"/>
      <c r="HM37" s="196"/>
      <c r="HN37" s="196"/>
      <c r="HO37" s="196"/>
      <c r="HP37" s="196"/>
      <c r="HQ37" s="196"/>
      <c r="HR37" s="196"/>
      <c r="HS37" s="196"/>
      <c r="HT37" s="196"/>
      <c r="HU37" s="196"/>
      <c r="HV37" s="196"/>
      <c r="HW37" s="196"/>
      <c r="HX37" s="196"/>
      <c r="HY37" s="196"/>
      <c r="HZ37" s="196"/>
      <c r="IA37" s="196"/>
      <c r="IB37" s="196"/>
      <c r="IC37" s="196"/>
      <c r="ID37" s="196"/>
      <c r="IE37" s="196"/>
      <c r="IF37" s="196"/>
      <c r="IG37" s="196"/>
      <c r="IH37" s="196"/>
      <c r="II37" s="196"/>
      <c r="IJ37" s="196"/>
      <c r="IK37" s="196"/>
      <c r="IL37" s="196"/>
      <c r="IM37" s="196"/>
      <c r="IN37" s="196"/>
      <c r="IO37" s="196"/>
      <c r="IP37" s="196"/>
      <c r="IQ37" s="196"/>
      <c r="IR37" s="196"/>
    </row>
    <row r="38" spans="1:252" ht="15.6">
      <c r="A38" s="208" t="s">
        <v>231</v>
      </c>
      <c r="B38" s="204"/>
      <c r="C38" s="611"/>
      <c r="D38" s="611"/>
      <c r="E38" s="611"/>
      <c r="F38" s="611"/>
      <c r="G38" s="611"/>
      <c r="H38" s="611"/>
      <c r="I38" s="611"/>
      <c r="J38" s="611"/>
      <c r="K38" s="611"/>
      <c r="L38" s="611"/>
      <c r="M38" s="611"/>
      <c r="N38" s="611"/>
      <c r="O38" s="611"/>
      <c r="P38" s="611"/>
      <c r="Q38" s="611"/>
      <c r="R38" s="611"/>
      <c r="S38" s="611"/>
      <c r="T38" s="611"/>
      <c r="U38" s="611"/>
      <c r="V38" s="611"/>
      <c r="W38" s="579"/>
      <c r="X38" s="579"/>
      <c r="Y38" s="579"/>
      <c r="Z38" s="579"/>
      <c r="AA38" s="579"/>
      <c r="AB38" s="579"/>
      <c r="AC38" s="579"/>
      <c r="AD38" s="579"/>
      <c r="AE38" s="579"/>
      <c r="AF38" s="579"/>
      <c r="AG38" s="579"/>
      <c r="AH38" s="579"/>
      <c r="AI38" s="579"/>
      <c r="AJ38" s="579"/>
      <c r="AK38" s="579"/>
      <c r="AL38" s="579"/>
      <c r="AM38" s="579"/>
      <c r="AN38" s="579"/>
      <c r="AO38" s="579"/>
      <c r="AP38" s="584"/>
      <c r="AQ38" s="584"/>
      <c r="AR38" s="584"/>
      <c r="AS38" s="584"/>
      <c r="AT38" s="584"/>
      <c r="AU38" s="584"/>
      <c r="AV38" s="584"/>
      <c r="AW38" s="584"/>
      <c r="AX38" s="584"/>
      <c r="AY38" s="584"/>
      <c r="AZ38" s="196"/>
      <c r="BA38" s="196"/>
      <c r="BB38" s="196"/>
      <c r="BC38" s="196"/>
      <c r="BD38" s="196"/>
      <c r="BE38" s="196"/>
      <c r="BF38" s="196"/>
      <c r="BG38" s="196"/>
      <c r="BH38" s="196"/>
      <c r="BI38" s="196"/>
      <c r="BJ38" s="196"/>
      <c r="BK38" s="196"/>
      <c r="BL38" s="196"/>
      <c r="BM38" s="196"/>
      <c r="BN38" s="196"/>
      <c r="BO38" s="196"/>
      <c r="BP38" s="196"/>
      <c r="BQ38" s="196"/>
      <c r="BR38" s="196"/>
      <c r="BS38" s="196"/>
      <c r="BT38" s="196"/>
      <c r="BU38" s="196"/>
      <c r="BV38" s="196"/>
      <c r="BW38" s="196"/>
      <c r="BX38" s="196"/>
      <c r="BY38" s="196"/>
      <c r="BZ38" s="196"/>
      <c r="CA38" s="196"/>
      <c r="CB38" s="196"/>
      <c r="CC38" s="196"/>
      <c r="CD38" s="196"/>
      <c r="CE38" s="196"/>
      <c r="CF38" s="196"/>
      <c r="CG38" s="196"/>
      <c r="CH38" s="196"/>
      <c r="CI38" s="196"/>
      <c r="CJ38" s="196"/>
      <c r="CK38" s="196"/>
      <c r="CL38" s="196"/>
      <c r="CM38" s="196"/>
      <c r="CN38" s="196"/>
      <c r="CO38" s="196"/>
      <c r="CP38" s="196"/>
      <c r="CQ38" s="196"/>
      <c r="CR38" s="196"/>
      <c r="CS38" s="196"/>
      <c r="CT38" s="196"/>
      <c r="CU38" s="196"/>
      <c r="CV38" s="196"/>
      <c r="CW38" s="196"/>
      <c r="CX38" s="196"/>
      <c r="CY38" s="196"/>
      <c r="CZ38" s="196"/>
      <c r="DA38" s="196"/>
      <c r="DB38" s="196"/>
      <c r="DC38" s="196"/>
      <c r="DD38" s="196"/>
      <c r="DE38" s="196"/>
      <c r="DF38" s="196"/>
      <c r="DG38" s="196"/>
      <c r="DH38" s="196"/>
      <c r="DI38" s="196"/>
      <c r="DJ38" s="196"/>
      <c r="DK38" s="196"/>
      <c r="DL38" s="196"/>
      <c r="DM38" s="196"/>
      <c r="DN38" s="196"/>
      <c r="DO38" s="196"/>
      <c r="DP38" s="196"/>
      <c r="DQ38" s="196"/>
      <c r="DR38" s="196"/>
      <c r="DS38" s="196"/>
      <c r="DT38" s="196"/>
      <c r="DU38" s="196"/>
      <c r="DV38" s="196"/>
      <c r="DW38" s="196"/>
      <c r="DX38" s="196"/>
      <c r="DY38" s="196"/>
      <c r="DZ38" s="196"/>
      <c r="EA38" s="196"/>
      <c r="EB38" s="196"/>
      <c r="EC38" s="196"/>
      <c r="ED38" s="196"/>
      <c r="EE38" s="196"/>
      <c r="EF38" s="196"/>
      <c r="EG38" s="196"/>
      <c r="EH38" s="196"/>
      <c r="EI38" s="196"/>
      <c r="EJ38" s="196"/>
      <c r="EK38" s="196"/>
      <c r="EL38" s="196"/>
      <c r="EM38" s="196"/>
      <c r="EN38" s="196"/>
      <c r="EO38" s="196"/>
      <c r="EP38" s="196"/>
      <c r="EQ38" s="196"/>
      <c r="ER38" s="196"/>
      <c r="ES38" s="196"/>
      <c r="ET38" s="196"/>
      <c r="EU38" s="196"/>
      <c r="EV38" s="196"/>
      <c r="EW38" s="196"/>
      <c r="EX38" s="196"/>
      <c r="EY38" s="196"/>
      <c r="EZ38" s="196"/>
      <c r="FA38" s="196"/>
      <c r="FB38" s="196"/>
      <c r="FC38" s="196"/>
      <c r="FD38" s="196"/>
      <c r="FE38" s="196"/>
      <c r="FF38" s="196"/>
      <c r="FG38" s="196"/>
      <c r="FH38" s="196"/>
      <c r="FI38" s="196"/>
      <c r="FJ38" s="196"/>
      <c r="FK38" s="196"/>
      <c r="FL38" s="196"/>
      <c r="FM38" s="196"/>
      <c r="FN38" s="196"/>
      <c r="FO38" s="196"/>
      <c r="FP38" s="196"/>
      <c r="FQ38" s="196"/>
      <c r="FR38" s="196"/>
      <c r="FS38" s="196"/>
      <c r="FT38" s="196"/>
      <c r="FU38" s="196"/>
      <c r="FV38" s="196"/>
      <c r="FW38" s="196"/>
      <c r="FX38" s="196"/>
      <c r="FY38" s="196"/>
      <c r="FZ38" s="196"/>
      <c r="GA38" s="196"/>
      <c r="GB38" s="196"/>
      <c r="GC38" s="196"/>
      <c r="GD38" s="196"/>
      <c r="GE38" s="196"/>
      <c r="GF38" s="196"/>
      <c r="GG38" s="196"/>
      <c r="GH38" s="196"/>
      <c r="GI38" s="196"/>
      <c r="GJ38" s="196"/>
      <c r="GK38" s="196"/>
      <c r="GL38" s="196"/>
      <c r="GM38" s="196"/>
      <c r="GN38" s="196"/>
      <c r="GO38" s="196"/>
      <c r="GP38" s="196"/>
      <c r="GQ38" s="196"/>
      <c r="GR38" s="196"/>
      <c r="GS38" s="196"/>
      <c r="GT38" s="196"/>
      <c r="GU38" s="196"/>
      <c r="GV38" s="196"/>
      <c r="GW38" s="196"/>
      <c r="GX38" s="196"/>
      <c r="GY38" s="196"/>
      <c r="GZ38" s="196"/>
      <c r="HA38" s="196"/>
      <c r="HB38" s="196"/>
      <c r="HC38" s="196"/>
      <c r="HD38" s="196"/>
      <c r="HE38" s="196"/>
      <c r="HF38" s="196"/>
      <c r="HG38" s="196"/>
      <c r="HH38" s="196"/>
      <c r="HI38" s="196"/>
      <c r="HJ38" s="196"/>
      <c r="HK38" s="196"/>
      <c r="HL38" s="196"/>
      <c r="HM38" s="196"/>
      <c r="HN38" s="196"/>
      <c r="HO38" s="196"/>
      <c r="HP38" s="196"/>
      <c r="HQ38" s="196"/>
      <c r="HR38" s="196"/>
      <c r="HS38" s="196"/>
      <c r="HT38" s="196"/>
      <c r="HU38" s="196"/>
      <c r="HV38" s="196"/>
      <c r="HW38" s="196"/>
      <c r="HX38" s="196"/>
      <c r="HY38" s="196"/>
      <c r="HZ38" s="196"/>
      <c r="IA38" s="196"/>
      <c r="IB38" s="196"/>
      <c r="IC38" s="196"/>
      <c r="ID38" s="196"/>
      <c r="IE38" s="196"/>
      <c r="IF38" s="196"/>
      <c r="IG38" s="196"/>
      <c r="IH38" s="196"/>
      <c r="II38" s="196"/>
      <c r="IJ38" s="196"/>
      <c r="IK38" s="196"/>
      <c r="IL38" s="196"/>
      <c r="IM38" s="196"/>
      <c r="IN38" s="196"/>
      <c r="IO38" s="196"/>
      <c r="IP38" s="196"/>
      <c r="IQ38" s="196"/>
      <c r="IR38" s="196"/>
    </row>
    <row r="39" spans="1:252" ht="15.6">
      <c r="A39" s="209" t="str">
        <f ca="1">CSHFLO!A10</f>
        <v xml:space="preserve">    Capacity Charges</v>
      </c>
      <c r="B39" s="207"/>
      <c r="C39" s="612">
        <f t="shared" ref="C39:V39" si="10">IF(C23&gt;0,+C23/C17*100,0)</f>
        <v>4.5614874319591259</v>
      </c>
      <c r="D39" s="612">
        <f t="shared" si="10"/>
        <v>4.3759741274723387</v>
      </c>
      <c r="E39" s="612">
        <f t="shared" si="10"/>
        <v>4.0755690282378731</v>
      </c>
      <c r="F39" s="612">
        <f t="shared" si="10"/>
        <v>4.0466403007430714</v>
      </c>
      <c r="G39" s="612">
        <f t="shared" si="10"/>
        <v>4.3497473479035911</v>
      </c>
      <c r="H39" s="612">
        <f t="shared" si="10"/>
        <v>3.351410672557821</v>
      </c>
      <c r="I39" s="612">
        <f t="shared" si="10"/>
        <v>4.2164126805368705</v>
      </c>
      <c r="J39" s="612">
        <f t="shared" si="10"/>
        <v>5.1494870809260522</v>
      </c>
      <c r="K39" s="612">
        <f t="shared" si="10"/>
        <v>5.3138933551562264</v>
      </c>
      <c r="L39" s="612">
        <f t="shared" si="10"/>
        <v>5.1005065458263665</v>
      </c>
      <c r="M39" s="612">
        <f t="shared" si="10"/>
        <v>5.245552449069657</v>
      </c>
      <c r="N39" s="612">
        <f t="shared" si="10"/>
        <v>5.0458634087193799</v>
      </c>
      <c r="O39" s="612">
        <f t="shared" si="10"/>
        <v>4.7886877957209517</v>
      </c>
      <c r="P39" s="612">
        <f t="shared" si="10"/>
        <v>4.4655291406360673</v>
      </c>
      <c r="Q39" s="612">
        <f t="shared" si="10"/>
        <v>5.2117023538733687</v>
      </c>
      <c r="R39" s="612">
        <f t="shared" si="10"/>
        <v>6.1585284055475098</v>
      </c>
      <c r="S39" s="612">
        <f t="shared" si="10"/>
        <v>6.8925849787477373</v>
      </c>
      <c r="T39" s="612">
        <f t="shared" si="10"/>
        <v>6.9881599647093919</v>
      </c>
      <c r="U39" s="612">
        <f t="shared" si="10"/>
        <v>7.2163289356897478</v>
      </c>
      <c r="V39" s="612">
        <f t="shared" si="10"/>
        <v>6.3051709301280097</v>
      </c>
      <c r="W39" s="596"/>
      <c r="X39" s="579"/>
      <c r="Y39" s="579"/>
      <c r="Z39" s="579"/>
      <c r="AA39" s="579"/>
      <c r="AB39" s="579"/>
      <c r="AC39" s="579"/>
      <c r="AD39" s="579"/>
      <c r="AE39" s="579"/>
      <c r="AF39" s="579"/>
      <c r="AG39" s="579"/>
      <c r="AH39" s="579"/>
      <c r="AI39" s="579"/>
      <c r="AJ39" s="579"/>
      <c r="AK39" s="579"/>
      <c r="AL39" s="579"/>
      <c r="AM39" s="579"/>
      <c r="AN39" s="579"/>
      <c r="AO39" s="579"/>
      <c r="AP39" s="584"/>
      <c r="AQ39" s="584"/>
      <c r="AR39" s="584"/>
      <c r="AS39" s="584"/>
      <c r="AT39" s="584"/>
      <c r="AU39" s="584"/>
      <c r="AV39" s="584"/>
      <c r="AW39" s="584"/>
      <c r="AX39" s="584"/>
      <c r="AY39" s="584"/>
      <c r="AZ39" s="196"/>
      <c r="BA39" s="196"/>
      <c r="BB39" s="196"/>
      <c r="BC39" s="196"/>
      <c r="BD39" s="196"/>
      <c r="BE39" s="196"/>
      <c r="BF39" s="196"/>
      <c r="BG39" s="196"/>
      <c r="BH39" s="196"/>
      <c r="BI39" s="196"/>
      <c r="BJ39" s="196"/>
      <c r="BK39" s="196"/>
      <c r="BL39" s="196"/>
      <c r="BM39" s="196"/>
      <c r="BN39" s="196"/>
      <c r="BO39" s="196"/>
      <c r="BP39" s="196"/>
      <c r="BQ39" s="196"/>
      <c r="BR39" s="196"/>
      <c r="BS39" s="196"/>
      <c r="BT39" s="196"/>
      <c r="BU39" s="196"/>
      <c r="BV39" s="196"/>
      <c r="BW39" s="196"/>
      <c r="BX39" s="196"/>
      <c r="BY39" s="196"/>
      <c r="BZ39" s="196"/>
      <c r="CA39" s="196"/>
      <c r="CB39" s="196"/>
      <c r="CC39" s="196"/>
      <c r="CD39" s="196"/>
      <c r="CE39" s="196"/>
      <c r="CF39" s="196"/>
      <c r="CG39" s="196"/>
      <c r="CH39" s="196"/>
      <c r="CI39" s="196"/>
      <c r="CJ39" s="196"/>
      <c r="CK39" s="196"/>
      <c r="CL39" s="196"/>
      <c r="CM39" s="196"/>
      <c r="CN39" s="196"/>
      <c r="CO39" s="196"/>
      <c r="CP39" s="196"/>
      <c r="CQ39" s="196"/>
      <c r="CR39" s="196"/>
      <c r="CS39" s="196"/>
      <c r="CT39" s="196"/>
      <c r="CU39" s="196"/>
      <c r="CV39" s="196"/>
      <c r="CW39" s="196"/>
      <c r="CX39" s="196"/>
      <c r="CY39" s="196"/>
      <c r="CZ39" s="196"/>
      <c r="DA39" s="196"/>
      <c r="DB39" s="196"/>
      <c r="DC39" s="196"/>
      <c r="DD39" s="196"/>
      <c r="DE39" s="196"/>
      <c r="DF39" s="196"/>
      <c r="DG39" s="196"/>
      <c r="DH39" s="196"/>
      <c r="DI39" s="196"/>
      <c r="DJ39" s="196"/>
      <c r="DK39" s="196"/>
      <c r="DL39" s="196"/>
      <c r="DM39" s="196"/>
      <c r="DN39" s="196"/>
      <c r="DO39" s="196"/>
      <c r="DP39" s="196"/>
      <c r="DQ39" s="196"/>
      <c r="DR39" s="196"/>
      <c r="DS39" s="196"/>
      <c r="DT39" s="196"/>
      <c r="DU39" s="196"/>
      <c r="DV39" s="196"/>
      <c r="DW39" s="196"/>
      <c r="DX39" s="196"/>
      <c r="DY39" s="196"/>
      <c r="DZ39" s="196"/>
      <c r="EA39" s="196"/>
      <c r="EB39" s="196"/>
      <c r="EC39" s="196"/>
      <c r="ED39" s="196"/>
      <c r="EE39" s="196"/>
      <c r="EF39" s="196"/>
      <c r="EG39" s="196"/>
      <c r="EH39" s="196"/>
      <c r="EI39" s="196"/>
      <c r="EJ39" s="196"/>
      <c r="EK39" s="196"/>
      <c r="EL39" s="196"/>
      <c r="EM39" s="196"/>
      <c r="EN39" s="196"/>
      <c r="EO39" s="196"/>
      <c r="EP39" s="196"/>
      <c r="EQ39" s="196"/>
      <c r="ER39" s="196"/>
      <c r="ES39" s="196"/>
      <c r="ET39" s="196"/>
      <c r="EU39" s="196"/>
      <c r="EV39" s="196"/>
      <c r="EW39" s="196"/>
      <c r="EX39" s="196"/>
      <c r="EY39" s="196"/>
      <c r="EZ39" s="196"/>
      <c r="FA39" s="196"/>
      <c r="FB39" s="196"/>
      <c r="FC39" s="196"/>
      <c r="FD39" s="196"/>
      <c r="FE39" s="196"/>
      <c r="FF39" s="196"/>
      <c r="FG39" s="196"/>
      <c r="FH39" s="196"/>
      <c r="FI39" s="196"/>
      <c r="FJ39" s="196"/>
      <c r="FK39" s="196"/>
      <c r="FL39" s="196"/>
      <c r="FM39" s="196"/>
      <c r="FN39" s="196"/>
      <c r="FO39" s="196"/>
      <c r="FP39" s="196"/>
      <c r="FQ39" s="196"/>
      <c r="FR39" s="196"/>
      <c r="FS39" s="196"/>
      <c r="FT39" s="196"/>
      <c r="FU39" s="196"/>
      <c r="FV39" s="196"/>
      <c r="FW39" s="196"/>
      <c r="FX39" s="196"/>
      <c r="FY39" s="196"/>
      <c r="FZ39" s="196"/>
      <c r="GA39" s="196"/>
      <c r="GB39" s="196"/>
      <c r="GC39" s="196"/>
      <c r="GD39" s="196"/>
      <c r="GE39" s="196"/>
      <c r="GF39" s="196"/>
      <c r="GG39" s="196"/>
      <c r="GH39" s="196"/>
      <c r="GI39" s="196"/>
      <c r="GJ39" s="196"/>
      <c r="GK39" s="196"/>
      <c r="GL39" s="196"/>
      <c r="GM39" s="196"/>
      <c r="GN39" s="196"/>
      <c r="GO39" s="196"/>
      <c r="GP39" s="196"/>
      <c r="GQ39" s="196"/>
      <c r="GR39" s="196"/>
      <c r="GS39" s="196"/>
      <c r="GT39" s="196"/>
      <c r="GU39" s="196"/>
      <c r="GV39" s="196"/>
      <c r="GW39" s="196"/>
      <c r="GX39" s="196"/>
      <c r="GY39" s="196"/>
      <c r="GZ39" s="196"/>
      <c r="HA39" s="196"/>
      <c r="HB39" s="196"/>
      <c r="HC39" s="196"/>
      <c r="HD39" s="196"/>
      <c r="HE39" s="196"/>
      <c r="HF39" s="196"/>
      <c r="HG39" s="196"/>
      <c r="HH39" s="196"/>
      <c r="HI39" s="196"/>
      <c r="HJ39" s="196"/>
      <c r="HK39" s="196"/>
      <c r="HL39" s="196"/>
      <c r="HM39" s="196"/>
      <c r="HN39" s="196"/>
      <c r="HO39" s="196"/>
      <c r="HP39" s="196"/>
      <c r="HQ39" s="196"/>
      <c r="HR39" s="196"/>
      <c r="HS39" s="196"/>
      <c r="HT39" s="196"/>
      <c r="HU39" s="196"/>
      <c r="HV39" s="196"/>
      <c r="HW39" s="196"/>
      <c r="HX39" s="196"/>
      <c r="HY39" s="196"/>
      <c r="HZ39" s="196"/>
      <c r="IA39" s="196"/>
      <c r="IB39" s="196"/>
      <c r="IC39" s="196"/>
      <c r="ID39" s="196"/>
      <c r="IE39" s="196"/>
      <c r="IF39" s="196"/>
      <c r="IG39" s="196"/>
      <c r="IH39" s="196"/>
      <c r="II39" s="196"/>
      <c r="IJ39" s="196"/>
      <c r="IK39" s="196"/>
      <c r="IL39" s="196"/>
      <c r="IM39" s="196"/>
      <c r="IN39" s="196"/>
      <c r="IO39" s="196"/>
      <c r="IP39" s="196"/>
      <c r="IQ39" s="196"/>
      <c r="IR39" s="196"/>
    </row>
    <row r="40" spans="1:252" ht="15.6">
      <c r="A40" s="210" t="str">
        <f>'Co IS'!A11</f>
        <v xml:space="preserve">    Option Revenue</v>
      </c>
      <c r="B40" s="204"/>
      <c r="C40" s="613">
        <f t="shared" ref="C40:V40" si="11">IF(C29&gt;0,+C29/C17*100,0)</f>
        <v>5.1727315891981327</v>
      </c>
      <c r="D40" s="613">
        <f t="shared" si="11"/>
        <v>4.0568713054878351</v>
      </c>
      <c r="E40" s="613">
        <f t="shared" si="11"/>
        <v>3.6134331966671747</v>
      </c>
      <c r="F40" s="613">
        <f t="shared" si="11"/>
        <v>3.6887936787241067</v>
      </c>
      <c r="G40" s="613">
        <f t="shared" si="11"/>
        <v>3.8892517277697713</v>
      </c>
      <c r="H40" s="613">
        <f t="shared" si="11"/>
        <v>2.9513023245905616</v>
      </c>
      <c r="I40" s="613">
        <f t="shared" si="11"/>
        <v>3.7491976311509383</v>
      </c>
      <c r="J40" s="613">
        <f t="shared" si="11"/>
        <v>4.7121344383596639</v>
      </c>
      <c r="K40" s="613">
        <f t="shared" si="11"/>
        <v>4.8017251441208026</v>
      </c>
      <c r="L40" s="613">
        <f t="shared" si="11"/>
        <v>4.5208793660371391</v>
      </c>
      <c r="M40" s="613">
        <f t="shared" si="11"/>
        <v>4.6233565634770821</v>
      </c>
      <c r="N40" s="613">
        <f t="shared" si="11"/>
        <v>4.4270601486731298</v>
      </c>
      <c r="O40" s="613">
        <f t="shared" si="11"/>
        <v>4.3327586815313754</v>
      </c>
      <c r="P40" s="613">
        <f t="shared" si="11"/>
        <v>3.9902552183792523</v>
      </c>
      <c r="Q40" s="613">
        <f t="shared" si="11"/>
        <v>4.6471427285542566</v>
      </c>
      <c r="R40" s="613">
        <f t="shared" si="11"/>
        <v>5.6599121518608193</v>
      </c>
      <c r="S40" s="613">
        <f t="shared" si="11"/>
        <v>6.4220404090082921</v>
      </c>
      <c r="T40" s="613">
        <f t="shared" si="11"/>
        <v>6.5392759540674472</v>
      </c>
      <c r="U40" s="613">
        <f t="shared" si="11"/>
        <v>6.795792467291351</v>
      </c>
      <c r="V40" s="613">
        <f t="shared" si="11"/>
        <v>5.72912296698623</v>
      </c>
      <c r="W40" s="596"/>
      <c r="X40" s="579"/>
      <c r="Y40" s="579"/>
      <c r="Z40" s="579"/>
      <c r="AA40" s="579"/>
      <c r="AB40" s="579"/>
      <c r="AC40" s="579"/>
      <c r="AD40" s="579"/>
      <c r="AE40" s="579"/>
      <c r="AF40" s="579"/>
      <c r="AG40" s="579"/>
      <c r="AH40" s="579"/>
      <c r="AI40" s="579"/>
      <c r="AJ40" s="579"/>
      <c r="AK40" s="579"/>
      <c r="AL40" s="579"/>
      <c r="AM40" s="579"/>
      <c r="AN40" s="579"/>
      <c r="AO40" s="579"/>
      <c r="AP40" s="584"/>
      <c r="AQ40" s="584"/>
      <c r="AR40" s="584"/>
      <c r="AS40" s="584"/>
      <c r="AT40" s="584"/>
      <c r="AU40" s="584"/>
      <c r="AV40" s="584"/>
      <c r="AW40" s="584"/>
      <c r="AX40" s="584"/>
      <c r="AY40" s="584"/>
      <c r="AZ40" s="196"/>
      <c r="BA40" s="196"/>
      <c r="BB40" s="196"/>
      <c r="BC40" s="196"/>
      <c r="BD40" s="196"/>
      <c r="BE40" s="196"/>
      <c r="BF40" s="196"/>
      <c r="BG40" s="196"/>
      <c r="BH40" s="196"/>
      <c r="BI40" s="196"/>
      <c r="BJ40" s="196"/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6"/>
      <c r="BZ40" s="196"/>
      <c r="CA40" s="196"/>
      <c r="CB40" s="196"/>
      <c r="CC40" s="196"/>
      <c r="CD40" s="196"/>
      <c r="CE40" s="196"/>
      <c r="CF40" s="196"/>
      <c r="CG40" s="196"/>
      <c r="CH40" s="196"/>
      <c r="CI40" s="196"/>
      <c r="CJ40" s="196"/>
      <c r="CK40" s="196"/>
      <c r="CL40" s="196"/>
      <c r="CM40" s="196"/>
      <c r="CN40" s="196"/>
      <c r="CO40" s="196"/>
      <c r="CP40" s="196"/>
      <c r="CQ40" s="196"/>
      <c r="CR40" s="196"/>
      <c r="CS40" s="196"/>
      <c r="CT40" s="196"/>
      <c r="CU40" s="196"/>
      <c r="CV40" s="196"/>
      <c r="CW40" s="196"/>
      <c r="CX40" s="196"/>
      <c r="CY40" s="196"/>
      <c r="CZ40" s="196"/>
      <c r="DA40" s="196"/>
      <c r="DB40" s="196"/>
      <c r="DC40" s="196"/>
      <c r="DD40" s="196"/>
      <c r="DE40" s="196"/>
      <c r="DF40" s="196"/>
      <c r="DG40" s="196"/>
      <c r="DH40" s="196"/>
      <c r="DI40" s="196"/>
      <c r="DJ40" s="196"/>
      <c r="DK40" s="196"/>
      <c r="DL40" s="196"/>
      <c r="DM40" s="196"/>
      <c r="DN40" s="196"/>
      <c r="DO40" s="196"/>
      <c r="DP40" s="196"/>
      <c r="DQ40" s="196"/>
      <c r="DR40" s="196"/>
      <c r="DS40" s="196"/>
      <c r="DT40" s="196"/>
      <c r="DU40" s="196"/>
      <c r="DV40" s="196"/>
      <c r="DW40" s="196"/>
      <c r="DX40" s="196"/>
      <c r="DY40" s="196"/>
      <c r="DZ40" s="196"/>
      <c r="EA40" s="196"/>
      <c r="EB40" s="196"/>
      <c r="EC40" s="196"/>
      <c r="ED40" s="196"/>
      <c r="EE40" s="196"/>
      <c r="EF40" s="196"/>
      <c r="EG40" s="196"/>
      <c r="EH40" s="196"/>
      <c r="EI40" s="196"/>
      <c r="EJ40" s="196"/>
      <c r="EK40" s="196"/>
      <c r="EL40" s="196"/>
      <c r="EM40" s="196"/>
      <c r="EN40" s="196"/>
      <c r="EO40" s="196"/>
      <c r="EP40" s="196"/>
      <c r="EQ40" s="196"/>
      <c r="ER40" s="196"/>
      <c r="ES40" s="196"/>
      <c r="ET40" s="196"/>
      <c r="EU40" s="196"/>
      <c r="EV40" s="196"/>
      <c r="EW40" s="196"/>
      <c r="EX40" s="196"/>
      <c r="EY40" s="196"/>
      <c r="EZ40" s="196"/>
      <c r="FA40" s="196"/>
      <c r="FB40" s="196"/>
      <c r="FC40" s="196"/>
      <c r="FD40" s="196"/>
      <c r="FE40" s="196"/>
      <c r="FF40" s="196"/>
      <c r="FG40" s="196"/>
      <c r="FH40" s="196"/>
      <c r="FI40" s="196"/>
      <c r="FJ40" s="196"/>
      <c r="FK40" s="196"/>
      <c r="FL40" s="196"/>
      <c r="FM40" s="196"/>
      <c r="FN40" s="196"/>
      <c r="FO40" s="196"/>
      <c r="FP40" s="196"/>
      <c r="FQ40" s="196"/>
      <c r="FR40" s="196"/>
      <c r="FS40" s="196"/>
      <c r="FT40" s="196"/>
      <c r="FU40" s="196"/>
      <c r="FV40" s="196"/>
      <c r="FW40" s="196"/>
      <c r="FX40" s="196"/>
      <c r="FY40" s="196"/>
      <c r="FZ40" s="196"/>
      <c r="GA40" s="196"/>
      <c r="GB40" s="196"/>
      <c r="GC40" s="196"/>
      <c r="GD40" s="196"/>
      <c r="GE40" s="196"/>
      <c r="GF40" s="196"/>
      <c r="GG40" s="196"/>
      <c r="GH40" s="196"/>
      <c r="GI40" s="196"/>
      <c r="GJ40" s="196"/>
      <c r="GK40" s="196"/>
      <c r="GL40" s="196"/>
      <c r="GM40" s="196"/>
      <c r="GN40" s="196"/>
      <c r="GO40" s="196"/>
      <c r="GP40" s="196"/>
      <c r="GQ40" s="196"/>
      <c r="GR40" s="196"/>
      <c r="GS40" s="196"/>
      <c r="GT40" s="196"/>
      <c r="GU40" s="196"/>
      <c r="GV40" s="196"/>
      <c r="GW40" s="196"/>
      <c r="GX40" s="196"/>
      <c r="GY40" s="196"/>
      <c r="GZ40" s="196"/>
      <c r="HA40" s="196"/>
      <c r="HB40" s="196"/>
      <c r="HC40" s="196"/>
      <c r="HD40" s="196"/>
      <c r="HE40" s="196"/>
      <c r="HF40" s="196"/>
      <c r="HG40" s="196"/>
      <c r="HH40" s="196"/>
      <c r="HI40" s="196"/>
      <c r="HJ40" s="196"/>
      <c r="HK40" s="196"/>
      <c r="HL40" s="196"/>
      <c r="HM40" s="196"/>
      <c r="HN40" s="196"/>
      <c r="HO40" s="196"/>
      <c r="HP40" s="196"/>
      <c r="HQ40" s="196"/>
      <c r="HR40" s="196"/>
      <c r="HS40" s="196"/>
      <c r="HT40" s="196"/>
      <c r="HU40" s="196"/>
      <c r="HV40" s="196"/>
      <c r="HW40" s="196"/>
      <c r="HX40" s="196"/>
      <c r="HY40" s="196"/>
      <c r="HZ40" s="196"/>
      <c r="IA40" s="196"/>
      <c r="IB40" s="196"/>
      <c r="IC40" s="196"/>
      <c r="ID40" s="196"/>
      <c r="IE40" s="196"/>
      <c r="IF40" s="196"/>
      <c r="IG40" s="196"/>
      <c r="IH40" s="196"/>
      <c r="II40" s="196"/>
      <c r="IJ40" s="196"/>
      <c r="IK40" s="196"/>
      <c r="IL40" s="196"/>
      <c r="IM40" s="196"/>
      <c r="IN40" s="196"/>
      <c r="IO40" s="196"/>
      <c r="IP40" s="196"/>
      <c r="IQ40" s="196"/>
      <c r="IR40" s="196"/>
    </row>
    <row r="41" spans="1:252" ht="15.6">
      <c r="A41" s="210" t="s">
        <v>232</v>
      </c>
      <c r="B41" s="204"/>
      <c r="C41" s="614">
        <f t="shared" ref="C41:V41" si="12">IF(C34&gt;0,+C34/C17*100,0)</f>
        <v>15.537994502756233</v>
      </c>
      <c r="D41" s="614">
        <f t="shared" si="12"/>
        <v>12.801789176908738</v>
      </c>
      <c r="E41" s="614">
        <f t="shared" si="12"/>
        <v>11.778143440666094</v>
      </c>
      <c r="F41" s="614">
        <f t="shared" si="12"/>
        <v>11.859195783403585</v>
      </c>
      <c r="G41" s="614">
        <f t="shared" si="12"/>
        <v>12.511461883150826</v>
      </c>
      <c r="H41" s="614">
        <f t="shared" si="12"/>
        <v>11.155605678223086</v>
      </c>
      <c r="I41" s="614">
        <f t="shared" si="12"/>
        <v>12.680281165398249</v>
      </c>
      <c r="J41" s="614">
        <f t="shared" si="12"/>
        <v>14.281143260883274</v>
      </c>
      <c r="K41" s="614">
        <f t="shared" si="12"/>
        <v>14.572571827764394</v>
      </c>
      <c r="L41" s="614">
        <f t="shared" si="12"/>
        <v>14.489584365060779</v>
      </c>
      <c r="M41" s="614">
        <f t="shared" si="12"/>
        <v>14.898145860324034</v>
      </c>
      <c r="N41" s="614">
        <f t="shared" si="12"/>
        <v>14.842361469884583</v>
      </c>
      <c r="O41" s="614">
        <f t="shared" si="12"/>
        <v>14.772357977971737</v>
      </c>
      <c r="P41" s="614">
        <f t="shared" si="12"/>
        <v>14.40436730265402</v>
      </c>
      <c r="Q41" s="614">
        <f t="shared" si="12"/>
        <v>15.650352046222135</v>
      </c>
      <c r="R41" s="614">
        <f t="shared" si="12"/>
        <v>17.456247846486839</v>
      </c>
      <c r="S41" s="614">
        <f t="shared" si="12"/>
        <v>18.729155002566987</v>
      </c>
      <c r="T41" s="614">
        <f t="shared" si="12"/>
        <v>19.172601116712549</v>
      </c>
      <c r="U41" s="614">
        <f t="shared" si="12"/>
        <v>19.858247604457475</v>
      </c>
      <c r="V41" s="614">
        <f t="shared" si="12"/>
        <v>18.718903773372968</v>
      </c>
      <c r="W41" s="596"/>
      <c r="X41" s="579"/>
      <c r="Y41" s="579"/>
      <c r="Z41" s="579"/>
      <c r="AA41" s="579"/>
      <c r="AB41" s="579"/>
      <c r="AC41" s="579"/>
      <c r="AD41" s="579"/>
      <c r="AE41" s="579"/>
      <c r="AF41" s="579"/>
      <c r="AG41" s="579"/>
      <c r="AH41" s="579"/>
      <c r="AI41" s="579"/>
      <c r="AJ41" s="579"/>
      <c r="AK41" s="579"/>
      <c r="AL41" s="579"/>
      <c r="AM41" s="579"/>
      <c r="AN41" s="579"/>
      <c r="AO41" s="579"/>
      <c r="AP41" s="584"/>
      <c r="AQ41" s="584"/>
      <c r="AR41" s="584"/>
      <c r="AS41" s="584"/>
      <c r="AT41" s="584"/>
      <c r="AU41" s="584"/>
      <c r="AV41" s="584"/>
      <c r="AW41" s="584"/>
      <c r="AX41" s="584"/>
      <c r="AY41" s="584"/>
      <c r="AZ41" s="196"/>
      <c r="BA41" s="196"/>
      <c r="BB41" s="196"/>
      <c r="BC41" s="196"/>
      <c r="BD41" s="196"/>
      <c r="BE41" s="196"/>
      <c r="BF41" s="196"/>
      <c r="BG41" s="196"/>
      <c r="BH41" s="196"/>
      <c r="BI41" s="196"/>
      <c r="BJ41" s="196"/>
      <c r="BK41" s="196"/>
      <c r="BL41" s="196"/>
      <c r="BM41" s="196"/>
      <c r="BN41" s="196"/>
      <c r="BO41" s="196"/>
      <c r="BP41" s="196"/>
      <c r="BQ41" s="196"/>
      <c r="BR41" s="196"/>
      <c r="BS41" s="196"/>
      <c r="BT41" s="196"/>
      <c r="BU41" s="196"/>
      <c r="BV41" s="196"/>
      <c r="BW41" s="196"/>
      <c r="BX41" s="196"/>
      <c r="BY41" s="196"/>
      <c r="BZ41" s="196"/>
      <c r="CA41" s="196"/>
      <c r="CB41" s="196"/>
      <c r="CC41" s="196"/>
      <c r="CD41" s="196"/>
      <c r="CE41" s="196"/>
      <c r="CF41" s="196"/>
      <c r="CG41" s="196"/>
      <c r="CH41" s="196"/>
      <c r="CI41" s="196"/>
      <c r="CJ41" s="196"/>
      <c r="CK41" s="196"/>
      <c r="CL41" s="196"/>
      <c r="CM41" s="196"/>
      <c r="CN41" s="196"/>
      <c r="CO41" s="196"/>
      <c r="CP41" s="196"/>
      <c r="CQ41" s="196"/>
      <c r="CR41" s="196"/>
      <c r="CS41" s="196"/>
      <c r="CT41" s="196"/>
      <c r="CU41" s="196"/>
      <c r="CV41" s="196"/>
      <c r="CW41" s="196"/>
      <c r="CX41" s="196"/>
      <c r="CY41" s="196"/>
      <c r="CZ41" s="196"/>
      <c r="DA41" s="196"/>
      <c r="DB41" s="196"/>
      <c r="DC41" s="196"/>
      <c r="DD41" s="196"/>
      <c r="DE41" s="196"/>
      <c r="DF41" s="196"/>
      <c r="DG41" s="196"/>
      <c r="DH41" s="196"/>
      <c r="DI41" s="196"/>
      <c r="DJ41" s="196"/>
      <c r="DK41" s="196"/>
      <c r="DL41" s="196"/>
      <c r="DM41" s="196"/>
      <c r="DN41" s="196"/>
      <c r="DO41" s="196"/>
      <c r="DP41" s="196"/>
      <c r="DQ41" s="196"/>
      <c r="DR41" s="196"/>
      <c r="DS41" s="196"/>
      <c r="DT41" s="196"/>
      <c r="DU41" s="196"/>
      <c r="DV41" s="196"/>
      <c r="DW41" s="196"/>
      <c r="DX41" s="196"/>
      <c r="DY41" s="196"/>
      <c r="DZ41" s="196"/>
      <c r="EA41" s="196"/>
      <c r="EB41" s="196"/>
      <c r="EC41" s="196"/>
      <c r="ED41" s="196"/>
      <c r="EE41" s="196"/>
      <c r="EF41" s="196"/>
      <c r="EG41" s="196"/>
      <c r="EH41" s="196"/>
      <c r="EI41" s="196"/>
      <c r="EJ41" s="196"/>
      <c r="EK41" s="196"/>
      <c r="EL41" s="196"/>
      <c r="EM41" s="196"/>
      <c r="EN41" s="196"/>
      <c r="EO41" s="196"/>
      <c r="EP41" s="196"/>
      <c r="EQ41" s="196"/>
      <c r="ER41" s="196"/>
      <c r="ES41" s="196"/>
      <c r="ET41" s="196"/>
      <c r="EU41" s="196"/>
      <c r="EV41" s="196"/>
      <c r="EW41" s="196"/>
      <c r="EX41" s="196"/>
      <c r="EY41" s="196"/>
      <c r="EZ41" s="196"/>
      <c r="FA41" s="196"/>
      <c r="FB41" s="196"/>
      <c r="FC41" s="196"/>
      <c r="FD41" s="196"/>
      <c r="FE41" s="196"/>
      <c r="FF41" s="196"/>
      <c r="FG41" s="196"/>
      <c r="FH41" s="196"/>
      <c r="FI41" s="196"/>
      <c r="FJ41" s="196"/>
      <c r="FK41" s="196"/>
      <c r="FL41" s="196"/>
      <c r="FM41" s="196"/>
      <c r="FN41" s="196"/>
      <c r="FO41" s="196"/>
      <c r="FP41" s="196"/>
      <c r="FQ41" s="196"/>
      <c r="FR41" s="196"/>
      <c r="FS41" s="196"/>
      <c r="FT41" s="196"/>
      <c r="FU41" s="196"/>
      <c r="FV41" s="196"/>
      <c r="FW41" s="196"/>
      <c r="FX41" s="196"/>
      <c r="FY41" s="196"/>
      <c r="FZ41" s="196"/>
      <c r="GA41" s="196"/>
      <c r="GB41" s="196"/>
      <c r="GC41" s="196"/>
      <c r="GD41" s="196"/>
      <c r="GE41" s="196"/>
      <c r="GF41" s="196"/>
      <c r="GG41" s="196"/>
      <c r="GH41" s="196"/>
      <c r="GI41" s="196"/>
      <c r="GJ41" s="196"/>
      <c r="GK41" s="196"/>
      <c r="GL41" s="196"/>
      <c r="GM41" s="196"/>
      <c r="GN41" s="196"/>
      <c r="GO41" s="196"/>
      <c r="GP41" s="196"/>
      <c r="GQ41" s="196"/>
      <c r="GR41" s="196"/>
      <c r="GS41" s="196"/>
      <c r="GT41" s="196"/>
      <c r="GU41" s="196"/>
      <c r="GV41" s="196"/>
      <c r="GW41" s="196"/>
      <c r="GX41" s="196"/>
      <c r="GY41" s="196"/>
      <c r="GZ41" s="196"/>
      <c r="HA41" s="196"/>
      <c r="HB41" s="196"/>
      <c r="HC41" s="196"/>
      <c r="HD41" s="196"/>
      <c r="HE41" s="196"/>
      <c r="HF41" s="196"/>
      <c r="HG41" s="196"/>
      <c r="HH41" s="196"/>
      <c r="HI41" s="196"/>
      <c r="HJ41" s="196"/>
      <c r="HK41" s="196"/>
      <c r="HL41" s="196"/>
      <c r="HM41" s="196"/>
      <c r="HN41" s="196"/>
      <c r="HO41" s="196"/>
      <c r="HP41" s="196"/>
      <c r="HQ41" s="196"/>
      <c r="HR41" s="196"/>
      <c r="HS41" s="196"/>
      <c r="HT41" s="196"/>
      <c r="HU41" s="196"/>
      <c r="HV41" s="196"/>
      <c r="HW41" s="196"/>
      <c r="HX41" s="196"/>
      <c r="HY41" s="196"/>
      <c r="HZ41" s="196"/>
      <c r="IA41" s="196"/>
      <c r="IB41" s="196"/>
      <c r="IC41" s="196"/>
      <c r="ID41" s="196"/>
      <c r="IE41" s="196"/>
      <c r="IF41" s="196"/>
      <c r="IG41" s="196"/>
      <c r="IH41" s="196"/>
      <c r="II41" s="196"/>
      <c r="IJ41" s="196"/>
      <c r="IK41" s="196"/>
      <c r="IL41" s="196"/>
      <c r="IM41" s="196"/>
      <c r="IN41" s="196"/>
      <c r="IO41" s="196"/>
      <c r="IP41" s="196"/>
      <c r="IQ41" s="196"/>
      <c r="IR41" s="196"/>
    </row>
    <row r="42" spans="1:252" ht="15.6">
      <c r="A42" s="210" t="s">
        <v>233</v>
      </c>
      <c r="B42" s="204"/>
      <c r="C42" s="613">
        <f t="shared" ref="C42:V42" si="13">SUM(C39:C41)</f>
        <v>25.272213523913493</v>
      </c>
      <c r="D42" s="613">
        <f t="shared" si="13"/>
        <v>21.234634609868912</v>
      </c>
      <c r="E42" s="613">
        <f t="shared" si="13"/>
        <v>19.467145665571142</v>
      </c>
      <c r="F42" s="613">
        <f t="shared" si="13"/>
        <v>19.594629762870763</v>
      </c>
      <c r="G42" s="613">
        <f t="shared" si="13"/>
        <v>20.750460958824188</v>
      </c>
      <c r="H42" s="613">
        <f t="shared" si="13"/>
        <v>17.458318675371469</v>
      </c>
      <c r="I42" s="613">
        <f t="shared" si="13"/>
        <v>20.645891477086057</v>
      </c>
      <c r="J42" s="613">
        <f t="shared" si="13"/>
        <v>24.142764780168989</v>
      </c>
      <c r="K42" s="613">
        <f t="shared" si="13"/>
        <v>24.688190327041426</v>
      </c>
      <c r="L42" s="613">
        <f t="shared" si="13"/>
        <v>24.110970276924284</v>
      </c>
      <c r="M42" s="613">
        <f t="shared" si="13"/>
        <v>24.767054872870773</v>
      </c>
      <c r="N42" s="613">
        <f t="shared" si="13"/>
        <v>24.315285027277092</v>
      </c>
      <c r="O42" s="613">
        <f t="shared" si="13"/>
        <v>23.893804455224064</v>
      </c>
      <c r="P42" s="613">
        <f t="shared" si="13"/>
        <v>22.860151661669342</v>
      </c>
      <c r="Q42" s="613">
        <f t="shared" si="13"/>
        <v>25.50919712864976</v>
      </c>
      <c r="R42" s="613">
        <f t="shared" si="13"/>
        <v>29.274688403895169</v>
      </c>
      <c r="S42" s="613">
        <f t="shared" si="13"/>
        <v>32.043780390323015</v>
      </c>
      <c r="T42" s="613">
        <f t="shared" si="13"/>
        <v>32.700037035489387</v>
      </c>
      <c r="U42" s="613">
        <f t="shared" si="13"/>
        <v>33.870369007438569</v>
      </c>
      <c r="V42" s="613">
        <f t="shared" si="13"/>
        <v>30.753197670487207</v>
      </c>
      <c r="W42" s="596"/>
      <c r="X42" s="579"/>
      <c r="Y42" s="579"/>
      <c r="Z42" s="579"/>
      <c r="AA42" s="579"/>
      <c r="AB42" s="579"/>
      <c r="AC42" s="579"/>
      <c r="AD42" s="579"/>
      <c r="AE42" s="579"/>
      <c r="AF42" s="579"/>
      <c r="AG42" s="579"/>
      <c r="AH42" s="579"/>
      <c r="AI42" s="579"/>
      <c r="AJ42" s="579"/>
      <c r="AK42" s="579"/>
      <c r="AL42" s="579"/>
      <c r="AM42" s="579"/>
      <c r="AN42" s="579"/>
      <c r="AO42" s="579"/>
      <c r="AP42" s="584"/>
      <c r="AQ42" s="584"/>
      <c r="AR42" s="584"/>
      <c r="AS42" s="584"/>
      <c r="AT42" s="584"/>
      <c r="AU42" s="584"/>
      <c r="AV42" s="584"/>
      <c r="AW42" s="584"/>
      <c r="AX42" s="584"/>
      <c r="AY42" s="584"/>
      <c r="AZ42" s="196"/>
      <c r="BA42" s="196"/>
      <c r="BB42" s="196"/>
      <c r="BC42" s="196"/>
      <c r="BD42" s="196"/>
      <c r="BE42" s="196"/>
      <c r="BF42" s="196"/>
      <c r="BG42" s="196"/>
      <c r="BH42" s="196"/>
      <c r="BI42" s="196"/>
      <c r="BJ42" s="196"/>
      <c r="BK42" s="196"/>
      <c r="BL42" s="196"/>
      <c r="BM42" s="196"/>
      <c r="BN42" s="196"/>
      <c r="BO42" s="196"/>
      <c r="BP42" s="196"/>
      <c r="BQ42" s="196"/>
      <c r="BR42" s="196"/>
      <c r="BS42" s="196"/>
      <c r="BT42" s="196"/>
      <c r="BU42" s="196"/>
      <c r="BV42" s="196"/>
      <c r="BW42" s="196"/>
      <c r="BX42" s="196"/>
      <c r="BY42" s="196"/>
      <c r="BZ42" s="196"/>
      <c r="CA42" s="196"/>
      <c r="CB42" s="196"/>
      <c r="CC42" s="196"/>
      <c r="CD42" s="196"/>
      <c r="CE42" s="196"/>
      <c r="CF42" s="196"/>
      <c r="CG42" s="196"/>
      <c r="CH42" s="196"/>
      <c r="CI42" s="196"/>
      <c r="CJ42" s="196"/>
      <c r="CK42" s="196"/>
      <c r="CL42" s="196"/>
      <c r="CM42" s="196"/>
      <c r="CN42" s="196"/>
      <c r="CO42" s="196"/>
      <c r="CP42" s="196"/>
      <c r="CQ42" s="196"/>
      <c r="CR42" s="196"/>
      <c r="CS42" s="196"/>
      <c r="CT42" s="196"/>
      <c r="CU42" s="196"/>
      <c r="CV42" s="196"/>
      <c r="CW42" s="196"/>
      <c r="CX42" s="196"/>
      <c r="CY42" s="196"/>
      <c r="CZ42" s="196"/>
      <c r="DA42" s="196"/>
      <c r="DB42" s="196"/>
      <c r="DC42" s="196"/>
      <c r="DD42" s="196"/>
      <c r="DE42" s="196"/>
      <c r="DF42" s="196"/>
      <c r="DG42" s="196"/>
      <c r="DH42" s="196"/>
      <c r="DI42" s="196"/>
      <c r="DJ42" s="196"/>
      <c r="DK42" s="196"/>
      <c r="DL42" s="196"/>
      <c r="DM42" s="196"/>
      <c r="DN42" s="196"/>
      <c r="DO42" s="196"/>
      <c r="DP42" s="196"/>
      <c r="DQ42" s="196"/>
      <c r="DR42" s="196"/>
      <c r="DS42" s="196"/>
      <c r="DT42" s="196"/>
      <c r="DU42" s="196"/>
      <c r="DV42" s="196"/>
      <c r="DW42" s="196"/>
      <c r="DX42" s="196"/>
      <c r="DY42" s="196"/>
      <c r="DZ42" s="196"/>
      <c r="EA42" s="196"/>
      <c r="EB42" s="196"/>
      <c r="EC42" s="196"/>
      <c r="ED42" s="196"/>
      <c r="EE42" s="196"/>
      <c r="EF42" s="196"/>
      <c r="EG42" s="196"/>
      <c r="EH42" s="196"/>
      <c r="EI42" s="196"/>
      <c r="EJ42" s="196"/>
      <c r="EK42" s="196"/>
      <c r="EL42" s="196"/>
      <c r="EM42" s="196"/>
      <c r="EN42" s="196"/>
      <c r="EO42" s="196"/>
      <c r="EP42" s="196"/>
      <c r="EQ42" s="196"/>
      <c r="ER42" s="196"/>
      <c r="ES42" s="196"/>
      <c r="ET42" s="196"/>
      <c r="EU42" s="196"/>
      <c r="EV42" s="196"/>
      <c r="EW42" s="196"/>
      <c r="EX42" s="196"/>
      <c r="EY42" s="196"/>
      <c r="EZ42" s="196"/>
      <c r="FA42" s="196"/>
      <c r="FB42" s="196"/>
      <c r="FC42" s="196"/>
      <c r="FD42" s="196"/>
      <c r="FE42" s="196"/>
      <c r="FF42" s="196"/>
      <c r="FG42" s="196"/>
      <c r="FH42" s="196"/>
      <c r="FI42" s="196"/>
      <c r="FJ42" s="196"/>
      <c r="FK42" s="196"/>
      <c r="FL42" s="196"/>
      <c r="FM42" s="196"/>
      <c r="FN42" s="196"/>
      <c r="FO42" s="196"/>
      <c r="FP42" s="196"/>
      <c r="FQ42" s="196"/>
      <c r="FR42" s="196"/>
      <c r="FS42" s="196"/>
      <c r="FT42" s="196"/>
      <c r="FU42" s="196"/>
      <c r="FV42" s="196"/>
      <c r="FW42" s="196"/>
      <c r="FX42" s="196"/>
      <c r="FY42" s="196"/>
      <c r="FZ42" s="196"/>
      <c r="GA42" s="196"/>
      <c r="GB42" s="196"/>
      <c r="GC42" s="196"/>
      <c r="GD42" s="196"/>
      <c r="GE42" s="196"/>
      <c r="GF42" s="196"/>
      <c r="GG42" s="196"/>
      <c r="GH42" s="196"/>
      <c r="GI42" s="196"/>
      <c r="GJ42" s="196"/>
      <c r="GK42" s="196"/>
      <c r="GL42" s="196"/>
      <c r="GM42" s="196"/>
      <c r="GN42" s="196"/>
      <c r="GO42" s="196"/>
      <c r="GP42" s="196"/>
      <c r="GQ42" s="196"/>
      <c r="GR42" s="196"/>
      <c r="GS42" s="196"/>
      <c r="GT42" s="196"/>
      <c r="GU42" s="196"/>
      <c r="GV42" s="196"/>
      <c r="GW42" s="196"/>
      <c r="GX42" s="196"/>
      <c r="GY42" s="196"/>
      <c r="GZ42" s="196"/>
      <c r="HA42" s="196"/>
      <c r="HB42" s="196"/>
      <c r="HC42" s="196"/>
      <c r="HD42" s="196"/>
      <c r="HE42" s="196"/>
      <c r="HF42" s="196"/>
      <c r="HG42" s="196"/>
      <c r="HH42" s="196"/>
      <c r="HI42" s="196"/>
      <c r="HJ42" s="196"/>
      <c r="HK42" s="196"/>
      <c r="HL42" s="196"/>
      <c r="HM42" s="196"/>
      <c r="HN42" s="196"/>
      <c r="HO42" s="196"/>
      <c r="HP42" s="196"/>
      <c r="HQ42" s="196"/>
      <c r="HR42" s="196"/>
      <c r="HS42" s="196"/>
      <c r="HT42" s="196"/>
      <c r="HU42" s="196"/>
      <c r="HV42" s="196"/>
      <c r="HW42" s="196"/>
      <c r="HX42" s="196"/>
      <c r="HY42" s="196"/>
      <c r="HZ42" s="196"/>
      <c r="IA42" s="196"/>
      <c r="IB42" s="196"/>
      <c r="IC42" s="196"/>
      <c r="ID42" s="196"/>
      <c r="IE42" s="196"/>
      <c r="IF42" s="196"/>
      <c r="IG42" s="196"/>
      <c r="IH42" s="196"/>
      <c r="II42" s="196"/>
      <c r="IJ42" s="196"/>
      <c r="IK42" s="196"/>
      <c r="IL42" s="196"/>
      <c r="IM42" s="196"/>
      <c r="IN42" s="196"/>
      <c r="IO42" s="196"/>
      <c r="IP42" s="196"/>
      <c r="IQ42" s="196"/>
      <c r="IR42" s="196"/>
    </row>
    <row r="43" spans="1:252" ht="15.6">
      <c r="A43" s="193"/>
      <c r="B43" s="193"/>
      <c r="C43" s="615"/>
      <c r="D43" s="615"/>
      <c r="E43" s="615"/>
      <c r="F43" s="615"/>
      <c r="G43" s="615"/>
      <c r="H43" s="615"/>
      <c r="I43" s="615"/>
      <c r="J43" s="615"/>
      <c r="K43" s="615"/>
      <c r="L43" s="615"/>
      <c r="M43" s="615"/>
      <c r="N43" s="615"/>
      <c r="O43" s="615"/>
      <c r="P43" s="615"/>
      <c r="Q43" s="615"/>
      <c r="R43" s="616"/>
      <c r="S43" s="616"/>
      <c r="T43" s="616"/>
      <c r="U43" s="616"/>
      <c r="V43" s="616"/>
      <c r="W43" s="579"/>
      <c r="X43" s="579"/>
      <c r="Y43" s="579"/>
      <c r="Z43" s="579"/>
      <c r="AA43" s="579"/>
      <c r="AB43" s="579"/>
      <c r="AC43" s="579"/>
      <c r="AD43" s="579"/>
      <c r="AE43" s="579"/>
      <c r="AF43" s="579"/>
      <c r="AG43" s="579"/>
      <c r="AH43" s="579"/>
      <c r="AI43" s="579"/>
      <c r="AJ43" s="579"/>
      <c r="AK43" s="579"/>
      <c r="AL43" s="579"/>
      <c r="AM43" s="579"/>
      <c r="AN43" s="579"/>
      <c r="AO43" s="579"/>
      <c r="AP43" s="584"/>
      <c r="AQ43" s="584"/>
      <c r="AR43" s="584"/>
      <c r="AS43" s="584"/>
      <c r="AT43" s="584"/>
      <c r="AU43" s="584"/>
      <c r="AV43" s="584"/>
      <c r="AW43" s="584"/>
      <c r="AX43" s="584"/>
      <c r="AY43" s="584"/>
      <c r="AZ43" s="196"/>
      <c r="BA43" s="196"/>
      <c r="BB43" s="196"/>
      <c r="BC43" s="196"/>
      <c r="BD43" s="196"/>
      <c r="BE43" s="196"/>
      <c r="BF43" s="196"/>
      <c r="BG43" s="196"/>
      <c r="BH43" s="196"/>
      <c r="BI43" s="196"/>
      <c r="BJ43" s="196"/>
      <c r="BK43" s="196"/>
      <c r="BL43" s="196"/>
      <c r="BM43" s="196"/>
      <c r="BN43" s="196"/>
      <c r="BO43" s="196"/>
      <c r="BP43" s="196"/>
      <c r="BQ43" s="196"/>
      <c r="BR43" s="196"/>
      <c r="BS43" s="196"/>
      <c r="BT43" s="196"/>
      <c r="BU43" s="196"/>
      <c r="BV43" s="196"/>
      <c r="BW43" s="196"/>
      <c r="BX43" s="196"/>
      <c r="BY43" s="196"/>
      <c r="BZ43" s="196"/>
      <c r="CA43" s="196"/>
      <c r="CB43" s="196"/>
      <c r="CC43" s="196"/>
      <c r="CD43" s="196"/>
      <c r="CE43" s="196"/>
      <c r="CF43" s="196"/>
      <c r="CG43" s="196"/>
      <c r="CH43" s="196"/>
      <c r="CI43" s="196"/>
      <c r="CJ43" s="196"/>
      <c r="CK43" s="196"/>
      <c r="CL43" s="196"/>
      <c r="CM43" s="196"/>
      <c r="CN43" s="196"/>
      <c r="CO43" s="196"/>
      <c r="CP43" s="196"/>
      <c r="CQ43" s="196"/>
      <c r="CR43" s="196"/>
      <c r="CS43" s="196"/>
      <c r="CT43" s="196"/>
      <c r="CU43" s="196"/>
      <c r="CV43" s="196"/>
      <c r="CW43" s="196"/>
      <c r="CX43" s="196"/>
      <c r="CY43" s="196"/>
      <c r="CZ43" s="196"/>
      <c r="DA43" s="196"/>
      <c r="DB43" s="196"/>
      <c r="DC43" s="196"/>
      <c r="DD43" s="196"/>
      <c r="DE43" s="196"/>
      <c r="DF43" s="196"/>
      <c r="DG43" s="196"/>
      <c r="DH43" s="196"/>
      <c r="DI43" s="196"/>
      <c r="DJ43" s="196"/>
      <c r="DK43" s="196"/>
      <c r="DL43" s="196"/>
      <c r="DM43" s="196"/>
      <c r="DN43" s="196"/>
      <c r="DO43" s="196"/>
      <c r="DP43" s="196"/>
      <c r="DQ43" s="196"/>
      <c r="DR43" s="196"/>
      <c r="DS43" s="196"/>
      <c r="DT43" s="196"/>
      <c r="DU43" s="196"/>
      <c r="DV43" s="196"/>
      <c r="DW43" s="196"/>
      <c r="DX43" s="196"/>
      <c r="DY43" s="196"/>
      <c r="DZ43" s="196"/>
      <c r="EA43" s="196"/>
      <c r="EB43" s="196"/>
      <c r="EC43" s="196"/>
      <c r="ED43" s="196"/>
      <c r="EE43" s="196"/>
      <c r="EF43" s="196"/>
      <c r="EG43" s="196"/>
      <c r="EH43" s="196"/>
      <c r="EI43" s="196"/>
      <c r="EJ43" s="196"/>
      <c r="EK43" s="196"/>
      <c r="EL43" s="196"/>
      <c r="EM43" s="196"/>
      <c r="EN43" s="196"/>
      <c r="EO43" s="196"/>
      <c r="EP43" s="196"/>
      <c r="EQ43" s="196"/>
      <c r="ER43" s="196"/>
      <c r="ES43" s="196"/>
      <c r="ET43" s="196"/>
      <c r="EU43" s="196"/>
      <c r="EV43" s="196"/>
      <c r="EW43" s="196"/>
      <c r="EX43" s="196"/>
      <c r="EY43" s="196"/>
      <c r="EZ43" s="196"/>
      <c r="FA43" s="196"/>
      <c r="FB43" s="196"/>
      <c r="FC43" s="196"/>
      <c r="FD43" s="196"/>
      <c r="FE43" s="196"/>
      <c r="FF43" s="196"/>
      <c r="FG43" s="196"/>
      <c r="FH43" s="196"/>
      <c r="FI43" s="196"/>
      <c r="FJ43" s="196"/>
      <c r="FK43" s="196"/>
      <c r="FL43" s="196"/>
      <c r="FM43" s="196"/>
      <c r="FN43" s="196"/>
      <c r="FO43" s="196"/>
      <c r="FP43" s="196"/>
      <c r="FQ43" s="196"/>
      <c r="FR43" s="196"/>
      <c r="FS43" s="196"/>
      <c r="FT43" s="196"/>
      <c r="FU43" s="196"/>
      <c r="FV43" s="196"/>
      <c r="FW43" s="196"/>
      <c r="FX43" s="196"/>
      <c r="FY43" s="196"/>
      <c r="FZ43" s="196"/>
      <c r="GA43" s="196"/>
      <c r="GB43" s="196"/>
      <c r="GC43" s="196"/>
      <c r="GD43" s="196"/>
      <c r="GE43" s="196"/>
      <c r="GF43" s="196"/>
      <c r="GG43" s="196"/>
      <c r="GH43" s="196"/>
      <c r="GI43" s="196"/>
      <c r="GJ43" s="196"/>
      <c r="GK43" s="196"/>
      <c r="GL43" s="196"/>
      <c r="GM43" s="196"/>
      <c r="GN43" s="196"/>
      <c r="GO43" s="196"/>
      <c r="GP43" s="196"/>
      <c r="GQ43" s="196"/>
      <c r="GR43" s="196"/>
      <c r="GS43" s="196"/>
      <c r="GT43" s="196"/>
      <c r="GU43" s="196"/>
      <c r="GV43" s="196"/>
      <c r="GW43" s="196"/>
      <c r="GX43" s="196"/>
      <c r="GY43" s="196"/>
      <c r="GZ43" s="196"/>
      <c r="HA43" s="196"/>
      <c r="HB43" s="196"/>
      <c r="HC43" s="196"/>
      <c r="HD43" s="196"/>
      <c r="HE43" s="196"/>
      <c r="HF43" s="196"/>
      <c r="HG43" s="196"/>
      <c r="HH43" s="196"/>
      <c r="HI43" s="196"/>
      <c r="HJ43" s="196"/>
      <c r="HK43" s="196"/>
      <c r="HL43" s="196"/>
      <c r="HM43" s="196"/>
      <c r="HN43" s="196"/>
      <c r="HO43" s="196"/>
      <c r="HP43" s="196"/>
      <c r="HQ43" s="196"/>
      <c r="HR43" s="196"/>
      <c r="HS43" s="196"/>
      <c r="HT43" s="196"/>
      <c r="HU43" s="196"/>
      <c r="HV43" s="196"/>
      <c r="HW43" s="196"/>
      <c r="HX43" s="196"/>
      <c r="HY43" s="196"/>
      <c r="HZ43" s="196"/>
      <c r="IA43" s="196"/>
      <c r="IB43" s="196"/>
      <c r="IC43" s="196"/>
      <c r="ID43" s="196"/>
      <c r="IE43" s="196"/>
      <c r="IF43" s="196"/>
      <c r="IG43" s="196"/>
      <c r="IH43" s="196"/>
      <c r="II43" s="196"/>
      <c r="IJ43" s="196"/>
      <c r="IK43" s="196"/>
      <c r="IL43" s="196"/>
      <c r="IM43" s="196"/>
      <c r="IN43" s="196"/>
      <c r="IO43" s="196"/>
      <c r="IP43" s="196"/>
      <c r="IQ43" s="196"/>
      <c r="IR43" s="196"/>
    </row>
    <row r="44" spans="1:252" ht="15.6">
      <c r="A44" s="196" t="s">
        <v>234</v>
      </c>
      <c r="B44" s="196"/>
      <c r="C44" s="603">
        <f>SUM('Co IS'!C10:L12)/SUM(C17:L17)*100</f>
        <v>21.468516774640367</v>
      </c>
      <c r="D44" s="584"/>
      <c r="E44" s="584"/>
      <c r="F44" s="584"/>
      <c r="G44" s="584"/>
      <c r="H44" s="584"/>
      <c r="I44" s="584"/>
      <c r="J44" s="584"/>
      <c r="K44" s="584"/>
      <c r="L44" s="584"/>
      <c r="N44" s="584"/>
      <c r="O44" s="584"/>
      <c r="P44" s="584"/>
      <c r="Q44" s="584"/>
      <c r="R44" s="579"/>
      <c r="S44" s="579"/>
      <c r="T44" s="579"/>
      <c r="U44" s="579"/>
      <c r="V44" s="579"/>
      <c r="W44" s="579"/>
      <c r="X44" s="579"/>
      <c r="Y44" s="579"/>
      <c r="Z44" s="579"/>
      <c r="AA44" s="579"/>
      <c r="AB44" s="579"/>
      <c r="AC44" s="579"/>
      <c r="AD44" s="579"/>
      <c r="AE44" s="579"/>
      <c r="AF44" s="579"/>
      <c r="AG44" s="579"/>
      <c r="AH44" s="579"/>
      <c r="AI44" s="579"/>
      <c r="AJ44" s="579"/>
      <c r="AK44" s="579"/>
      <c r="AL44" s="579"/>
      <c r="AM44" s="579"/>
      <c r="AN44" s="579"/>
      <c r="AO44" s="579"/>
      <c r="AP44" s="584"/>
      <c r="AQ44" s="584"/>
      <c r="AR44" s="584"/>
      <c r="AS44" s="584"/>
      <c r="AT44" s="584"/>
      <c r="AU44" s="584"/>
      <c r="AV44" s="584"/>
      <c r="AW44" s="584"/>
      <c r="AX44" s="584"/>
      <c r="AY44" s="584"/>
      <c r="AZ44" s="196"/>
      <c r="BA44" s="196"/>
      <c r="BB44" s="196"/>
      <c r="BC44" s="196"/>
      <c r="BD44" s="196"/>
      <c r="BE44" s="196"/>
      <c r="BF44" s="196"/>
      <c r="BG44" s="196"/>
      <c r="BH44" s="196"/>
      <c r="BI44" s="196"/>
      <c r="BJ44" s="196"/>
      <c r="BK44" s="196"/>
      <c r="BL44" s="196"/>
      <c r="BM44" s="196"/>
      <c r="BN44" s="196"/>
      <c r="BO44" s="196"/>
      <c r="BP44" s="196"/>
      <c r="BQ44" s="196"/>
      <c r="BR44" s="196"/>
      <c r="BS44" s="196"/>
      <c r="BT44" s="196"/>
      <c r="BU44" s="196"/>
      <c r="BV44" s="196"/>
      <c r="BW44" s="196"/>
      <c r="BX44" s="196"/>
      <c r="BY44" s="196"/>
      <c r="BZ44" s="196"/>
      <c r="CA44" s="196"/>
      <c r="CB44" s="196"/>
      <c r="CC44" s="196"/>
      <c r="CD44" s="196"/>
      <c r="CE44" s="196"/>
      <c r="CF44" s="196"/>
      <c r="CG44" s="196"/>
      <c r="CH44" s="196"/>
      <c r="CI44" s="196"/>
      <c r="CJ44" s="196"/>
      <c r="CK44" s="196"/>
      <c r="CL44" s="196"/>
      <c r="CM44" s="196"/>
      <c r="CN44" s="196"/>
      <c r="CO44" s="196"/>
      <c r="CP44" s="196"/>
      <c r="CQ44" s="196"/>
      <c r="CR44" s="196"/>
      <c r="CS44" s="196"/>
      <c r="CT44" s="196"/>
      <c r="CU44" s="196"/>
      <c r="CV44" s="196"/>
      <c r="CW44" s="196"/>
      <c r="CX44" s="196"/>
      <c r="CY44" s="196"/>
      <c r="CZ44" s="196"/>
      <c r="DA44" s="196"/>
      <c r="DB44" s="196"/>
      <c r="DC44" s="196"/>
      <c r="DD44" s="196"/>
      <c r="DE44" s="196"/>
      <c r="DF44" s="196"/>
      <c r="DG44" s="196"/>
      <c r="DH44" s="196"/>
      <c r="DI44" s="196"/>
      <c r="DJ44" s="196"/>
      <c r="DK44" s="196"/>
      <c r="DL44" s="196"/>
      <c r="DM44" s="196"/>
      <c r="DN44" s="196"/>
      <c r="DO44" s="196"/>
      <c r="DP44" s="196"/>
      <c r="DQ44" s="196"/>
      <c r="DR44" s="196"/>
      <c r="DS44" s="196"/>
      <c r="DT44" s="196"/>
      <c r="DU44" s="196"/>
      <c r="DV44" s="196"/>
      <c r="DW44" s="196"/>
      <c r="DX44" s="196"/>
      <c r="DY44" s="196"/>
      <c r="DZ44" s="196"/>
      <c r="EA44" s="196"/>
      <c r="EB44" s="196"/>
      <c r="EC44" s="196"/>
      <c r="ED44" s="196"/>
      <c r="EE44" s="196"/>
      <c r="EF44" s="196"/>
      <c r="EG44" s="196"/>
      <c r="EH44" s="196"/>
      <c r="EI44" s="196"/>
      <c r="EJ44" s="196"/>
      <c r="EK44" s="196"/>
      <c r="EL44" s="196"/>
      <c r="EM44" s="196"/>
      <c r="EN44" s="196"/>
      <c r="EO44" s="196"/>
      <c r="EP44" s="196"/>
      <c r="EQ44" s="196"/>
      <c r="ER44" s="196"/>
      <c r="ES44" s="196"/>
      <c r="ET44" s="196"/>
      <c r="EU44" s="196"/>
      <c r="EV44" s="196"/>
      <c r="EW44" s="196"/>
      <c r="EX44" s="196"/>
      <c r="EY44" s="196"/>
      <c r="EZ44" s="196"/>
      <c r="FA44" s="196"/>
      <c r="FB44" s="196"/>
      <c r="FC44" s="196"/>
      <c r="FD44" s="196"/>
      <c r="FE44" s="196"/>
      <c r="FF44" s="196"/>
      <c r="FG44" s="196"/>
      <c r="FH44" s="196"/>
      <c r="FI44" s="196"/>
      <c r="FJ44" s="196"/>
      <c r="FK44" s="196"/>
      <c r="FL44" s="196"/>
      <c r="FM44" s="196"/>
      <c r="FN44" s="196"/>
      <c r="FO44" s="196"/>
      <c r="FP44" s="196"/>
      <c r="FQ44" s="196"/>
      <c r="FR44" s="196"/>
      <c r="FS44" s="196"/>
      <c r="FT44" s="196"/>
      <c r="FU44" s="196"/>
      <c r="FV44" s="196"/>
      <c r="FW44" s="196"/>
      <c r="FX44" s="196"/>
      <c r="FY44" s="196"/>
      <c r="FZ44" s="196"/>
      <c r="GA44" s="196"/>
      <c r="GB44" s="196"/>
      <c r="GC44" s="196"/>
      <c r="GD44" s="196"/>
      <c r="GE44" s="196"/>
      <c r="GF44" s="196"/>
      <c r="GG44" s="196"/>
      <c r="GH44" s="196"/>
      <c r="GI44" s="196"/>
      <c r="GJ44" s="196"/>
      <c r="GK44" s="196"/>
      <c r="GL44" s="196"/>
      <c r="GM44" s="196"/>
      <c r="GN44" s="196"/>
      <c r="GO44" s="196"/>
      <c r="GP44" s="196"/>
      <c r="GQ44" s="196"/>
      <c r="GR44" s="196"/>
      <c r="GS44" s="196"/>
      <c r="GT44" s="196"/>
      <c r="GU44" s="196"/>
      <c r="GV44" s="196"/>
      <c r="GW44" s="196"/>
      <c r="GX44" s="196"/>
      <c r="GY44" s="196"/>
      <c r="GZ44" s="196"/>
      <c r="HA44" s="196"/>
      <c r="HB44" s="196"/>
      <c r="HC44" s="196"/>
      <c r="HD44" s="196"/>
      <c r="HE44" s="196"/>
      <c r="HF44" s="196"/>
      <c r="HG44" s="196"/>
      <c r="HH44" s="196"/>
      <c r="HI44" s="196"/>
      <c r="HJ44" s="196"/>
      <c r="HK44" s="196"/>
      <c r="HL44" s="196"/>
      <c r="HM44" s="196"/>
      <c r="HN44" s="196"/>
      <c r="HO44" s="196"/>
      <c r="HP44" s="196"/>
      <c r="HQ44" s="196"/>
      <c r="HR44" s="196"/>
      <c r="HS44" s="196"/>
      <c r="HT44" s="196"/>
      <c r="HU44" s="196"/>
      <c r="HV44" s="196"/>
      <c r="HW44" s="196"/>
      <c r="HX44" s="196"/>
      <c r="HY44" s="196"/>
      <c r="HZ44" s="196"/>
      <c r="IA44" s="196"/>
      <c r="IB44" s="196"/>
      <c r="IC44" s="196"/>
      <c r="ID44" s="196"/>
      <c r="IE44" s="196"/>
      <c r="IF44" s="196"/>
      <c r="IG44" s="196"/>
      <c r="IH44" s="196"/>
      <c r="II44" s="196"/>
      <c r="IJ44" s="196"/>
      <c r="IK44" s="196"/>
      <c r="IL44" s="196"/>
      <c r="IM44" s="196"/>
      <c r="IN44" s="196"/>
      <c r="IO44" s="196"/>
      <c r="IP44" s="196"/>
      <c r="IQ44" s="196"/>
      <c r="IR44" s="196"/>
    </row>
    <row r="45" spans="1:252" ht="15.6">
      <c r="A45" s="196" t="s">
        <v>235</v>
      </c>
      <c r="B45" s="196"/>
      <c r="C45" s="603">
        <f>SUM('Co IS'!M10:V12)/SUM(M17:V17)*100</f>
        <v>27.961216777282171</v>
      </c>
      <c r="D45" s="584"/>
      <c r="E45" s="584"/>
      <c r="F45" s="584"/>
      <c r="G45" s="584"/>
      <c r="H45" s="584"/>
      <c r="I45" s="584"/>
      <c r="J45" s="584"/>
      <c r="K45" s="584"/>
      <c r="L45" s="584"/>
      <c r="M45" s="584"/>
      <c r="N45" s="584"/>
      <c r="O45" s="584"/>
      <c r="P45" s="584"/>
      <c r="Q45" s="584"/>
      <c r="R45" s="579"/>
      <c r="S45" s="579"/>
      <c r="T45" s="579"/>
      <c r="U45" s="579"/>
      <c r="V45" s="579"/>
      <c r="W45" s="579"/>
      <c r="X45" s="579"/>
      <c r="Y45" s="579"/>
      <c r="Z45" s="579"/>
      <c r="AA45" s="579"/>
      <c r="AB45" s="579"/>
      <c r="AC45" s="579"/>
      <c r="AD45" s="579"/>
      <c r="AE45" s="579"/>
      <c r="AF45" s="579"/>
      <c r="AG45" s="579"/>
      <c r="AH45" s="579"/>
      <c r="AI45" s="579"/>
      <c r="AJ45" s="579"/>
      <c r="AK45" s="579"/>
      <c r="AL45" s="579"/>
      <c r="AM45" s="579"/>
      <c r="AN45" s="579"/>
      <c r="AO45" s="579"/>
      <c r="AP45" s="584"/>
      <c r="AQ45" s="584"/>
      <c r="AR45" s="584"/>
      <c r="AS45" s="584"/>
      <c r="AT45" s="584"/>
      <c r="AU45" s="584"/>
      <c r="AV45" s="584"/>
      <c r="AW45" s="584"/>
      <c r="AX45" s="584"/>
      <c r="AY45" s="584"/>
      <c r="AZ45" s="196"/>
      <c r="BA45" s="196"/>
      <c r="BB45" s="196"/>
      <c r="BC45" s="196"/>
      <c r="BD45" s="196"/>
      <c r="BE45" s="196"/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  <c r="CB45" s="196"/>
      <c r="CC45" s="196"/>
      <c r="CD45" s="196"/>
      <c r="CE45" s="196"/>
      <c r="CF45" s="196"/>
      <c r="CG45" s="196"/>
      <c r="CH45" s="196"/>
      <c r="CI45" s="196"/>
      <c r="CJ45" s="196"/>
      <c r="CK45" s="196"/>
      <c r="CL45" s="196"/>
      <c r="CM45" s="196"/>
      <c r="CN45" s="196"/>
      <c r="CO45" s="196"/>
      <c r="CP45" s="196"/>
      <c r="CQ45" s="196"/>
      <c r="CR45" s="196"/>
      <c r="CS45" s="196"/>
      <c r="CT45" s="196"/>
      <c r="CU45" s="196"/>
      <c r="CV45" s="196"/>
      <c r="CW45" s="196"/>
      <c r="CX45" s="196"/>
      <c r="CY45" s="196"/>
      <c r="CZ45" s="196"/>
      <c r="DA45" s="196"/>
      <c r="DB45" s="196"/>
      <c r="DC45" s="196"/>
      <c r="DD45" s="196"/>
      <c r="DE45" s="196"/>
      <c r="DF45" s="196"/>
      <c r="DG45" s="196"/>
      <c r="DH45" s="196"/>
      <c r="DI45" s="196"/>
      <c r="DJ45" s="196"/>
      <c r="DK45" s="196"/>
      <c r="DL45" s="196"/>
      <c r="DM45" s="196"/>
      <c r="DN45" s="196"/>
      <c r="DO45" s="196"/>
      <c r="DP45" s="196"/>
      <c r="DQ45" s="196"/>
      <c r="DR45" s="196"/>
      <c r="DS45" s="196"/>
      <c r="DT45" s="196"/>
      <c r="DU45" s="196"/>
      <c r="DV45" s="196"/>
      <c r="DW45" s="196"/>
      <c r="DX45" s="196"/>
      <c r="DY45" s="196"/>
      <c r="DZ45" s="196"/>
      <c r="EA45" s="196"/>
      <c r="EB45" s="196"/>
      <c r="EC45" s="196"/>
      <c r="ED45" s="196"/>
      <c r="EE45" s="196"/>
      <c r="EF45" s="196"/>
      <c r="EG45" s="196"/>
      <c r="EH45" s="196"/>
      <c r="EI45" s="196"/>
      <c r="EJ45" s="196"/>
      <c r="EK45" s="196"/>
      <c r="EL45" s="196"/>
      <c r="EM45" s="196"/>
      <c r="EN45" s="196"/>
      <c r="EO45" s="196"/>
      <c r="EP45" s="196"/>
      <c r="EQ45" s="196"/>
      <c r="ER45" s="196"/>
      <c r="ES45" s="196"/>
      <c r="ET45" s="196"/>
      <c r="EU45" s="196"/>
      <c r="EV45" s="196"/>
      <c r="EW45" s="196"/>
      <c r="EX45" s="196"/>
      <c r="EY45" s="196"/>
      <c r="EZ45" s="196"/>
      <c r="FA45" s="196"/>
      <c r="FB45" s="196"/>
      <c r="FC45" s="196"/>
      <c r="FD45" s="196"/>
      <c r="FE45" s="196"/>
      <c r="FF45" s="196"/>
      <c r="FG45" s="196"/>
      <c r="FH45" s="196"/>
      <c r="FI45" s="196"/>
      <c r="FJ45" s="196"/>
      <c r="FK45" s="196"/>
      <c r="FL45" s="196"/>
      <c r="FM45" s="196"/>
      <c r="FN45" s="196"/>
      <c r="FO45" s="196"/>
      <c r="FP45" s="196"/>
      <c r="FQ45" s="196"/>
      <c r="FR45" s="196"/>
      <c r="FS45" s="196"/>
      <c r="FT45" s="196"/>
      <c r="FU45" s="196"/>
      <c r="FV45" s="196"/>
      <c r="FW45" s="196"/>
      <c r="FX45" s="196"/>
      <c r="FY45" s="196"/>
      <c r="FZ45" s="196"/>
      <c r="GA45" s="196"/>
      <c r="GB45" s="196"/>
      <c r="GC45" s="196"/>
      <c r="GD45" s="196"/>
      <c r="GE45" s="196"/>
      <c r="GF45" s="196"/>
      <c r="GG45" s="196"/>
      <c r="GH45" s="196"/>
      <c r="GI45" s="196"/>
      <c r="GJ45" s="196"/>
      <c r="GK45" s="196"/>
      <c r="GL45" s="196"/>
      <c r="GM45" s="196"/>
      <c r="GN45" s="196"/>
      <c r="GO45" s="196"/>
      <c r="GP45" s="196"/>
      <c r="GQ45" s="196"/>
      <c r="GR45" s="196"/>
      <c r="GS45" s="196"/>
      <c r="GT45" s="196"/>
      <c r="GU45" s="196"/>
      <c r="GV45" s="196"/>
      <c r="GW45" s="196"/>
      <c r="GX45" s="196"/>
      <c r="GY45" s="196"/>
      <c r="GZ45" s="196"/>
      <c r="HA45" s="196"/>
      <c r="HB45" s="196"/>
      <c r="HC45" s="196"/>
      <c r="HD45" s="196"/>
      <c r="HE45" s="196"/>
      <c r="HF45" s="196"/>
      <c r="HG45" s="196"/>
      <c r="HH45" s="196"/>
      <c r="HI45" s="196"/>
      <c r="HJ45" s="196"/>
      <c r="HK45" s="196"/>
      <c r="HL45" s="196"/>
      <c r="HM45" s="196"/>
      <c r="HN45" s="196"/>
      <c r="HO45" s="196"/>
      <c r="HP45" s="196"/>
      <c r="HQ45" s="196"/>
      <c r="HR45" s="196"/>
      <c r="HS45" s="196"/>
      <c r="HT45" s="196"/>
      <c r="HU45" s="196"/>
      <c r="HV45" s="196"/>
      <c r="HW45" s="196"/>
      <c r="HX45" s="196"/>
      <c r="HY45" s="196"/>
      <c r="HZ45" s="196"/>
      <c r="IA45" s="196"/>
      <c r="IB45" s="196"/>
      <c r="IC45" s="196"/>
      <c r="ID45" s="196"/>
      <c r="IE45" s="196"/>
      <c r="IF45" s="196"/>
      <c r="IG45" s="196"/>
      <c r="IH45" s="196"/>
      <c r="II45" s="196"/>
      <c r="IJ45" s="196"/>
      <c r="IK45" s="196"/>
      <c r="IL45" s="196"/>
      <c r="IM45" s="196"/>
      <c r="IN45" s="196"/>
      <c r="IO45" s="196"/>
      <c r="IP45" s="196"/>
      <c r="IQ45" s="196"/>
      <c r="IR45" s="196"/>
    </row>
    <row r="46" spans="1:252" ht="15.6">
      <c r="A46" s="196"/>
      <c r="B46" s="196"/>
      <c r="C46" s="584"/>
      <c r="D46" s="584"/>
      <c r="E46" s="584"/>
      <c r="F46" s="584"/>
      <c r="G46" s="584"/>
      <c r="H46" s="584"/>
      <c r="I46" s="584"/>
      <c r="J46" s="584"/>
      <c r="K46" s="584"/>
      <c r="L46" s="584"/>
      <c r="M46" s="584"/>
      <c r="N46" s="584"/>
      <c r="O46" s="584"/>
      <c r="P46" s="584"/>
      <c r="Q46" s="584"/>
      <c r="R46" s="579"/>
      <c r="S46" s="579"/>
      <c r="T46" s="579"/>
      <c r="U46" s="579"/>
      <c r="V46" s="579"/>
      <c r="W46" s="579"/>
      <c r="X46" s="579"/>
      <c r="Y46" s="579"/>
      <c r="Z46" s="579"/>
      <c r="AA46" s="579"/>
      <c r="AB46" s="579"/>
      <c r="AC46" s="579"/>
      <c r="AD46" s="579"/>
      <c r="AE46" s="579"/>
      <c r="AF46" s="579"/>
      <c r="AG46" s="579"/>
      <c r="AH46" s="579"/>
      <c r="AI46" s="579"/>
      <c r="AJ46" s="579"/>
      <c r="AK46" s="579"/>
      <c r="AL46" s="579"/>
      <c r="AM46" s="579"/>
      <c r="AN46" s="579"/>
      <c r="AO46" s="579"/>
      <c r="AP46" s="584"/>
      <c r="AQ46" s="584"/>
      <c r="AR46" s="584"/>
      <c r="AS46" s="584"/>
      <c r="AT46" s="584"/>
      <c r="AU46" s="584"/>
      <c r="AV46" s="584"/>
      <c r="AW46" s="584"/>
      <c r="AX46" s="584"/>
      <c r="AY46" s="584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  <c r="BJ46" s="196"/>
      <c r="BK46" s="196"/>
      <c r="BL46" s="196"/>
      <c r="BM46" s="196"/>
      <c r="BN46" s="196"/>
      <c r="BO46" s="196"/>
      <c r="BP46" s="196"/>
      <c r="BQ46" s="196"/>
      <c r="BR46" s="196"/>
      <c r="BS46" s="196"/>
      <c r="BT46" s="196"/>
      <c r="BU46" s="196"/>
      <c r="BV46" s="196"/>
      <c r="BW46" s="196"/>
      <c r="BX46" s="196"/>
      <c r="BY46" s="196"/>
      <c r="BZ46" s="196"/>
      <c r="CA46" s="196"/>
      <c r="CB46" s="196"/>
      <c r="CC46" s="196"/>
      <c r="CD46" s="196"/>
      <c r="CE46" s="196"/>
      <c r="CF46" s="196"/>
      <c r="CG46" s="196"/>
      <c r="CH46" s="196"/>
      <c r="CI46" s="196"/>
      <c r="CJ46" s="196"/>
      <c r="CK46" s="196"/>
      <c r="CL46" s="196"/>
      <c r="CM46" s="196"/>
      <c r="CN46" s="196"/>
      <c r="CO46" s="196"/>
      <c r="CP46" s="196"/>
      <c r="CQ46" s="196"/>
      <c r="CR46" s="196"/>
      <c r="CS46" s="196"/>
      <c r="CT46" s="196"/>
      <c r="CU46" s="196"/>
      <c r="CV46" s="196"/>
      <c r="CW46" s="196"/>
      <c r="CX46" s="196"/>
      <c r="CY46" s="196"/>
      <c r="CZ46" s="196"/>
      <c r="DA46" s="196"/>
      <c r="DB46" s="196"/>
      <c r="DC46" s="196"/>
      <c r="DD46" s="196"/>
      <c r="DE46" s="196"/>
      <c r="DF46" s="196"/>
      <c r="DG46" s="196"/>
      <c r="DH46" s="196"/>
      <c r="DI46" s="196"/>
      <c r="DJ46" s="196"/>
      <c r="DK46" s="196"/>
      <c r="DL46" s="196"/>
      <c r="DM46" s="196"/>
      <c r="DN46" s="196"/>
      <c r="DO46" s="196"/>
      <c r="DP46" s="196"/>
      <c r="DQ46" s="196"/>
      <c r="DR46" s="196"/>
      <c r="DS46" s="196"/>
      <c r="DT46" s="196"/>
      <c r="DU46" s="196"/>
      <c r="DV46" s="196"/>
      <c r="DW46" s="196"/>
      <c r="DX46" s="196"/>
      <c r="DY46" s="196"/>
      <c r="DZ46" s="196"/>
      <c r="EA46" s="196"/>
      <c r="EB46" s="196"/>
      <c r="EC46" s="196"/>
      <c r="ED46" s="196"/>
      <c r="EE46" s="196"/>
      <c r="EF46" s="196"/>
      <c r="EG46" s="196"/>
      <c r="EH46" s="196"/>
      <c r="EI46" s="196"/>
      <c r="EJ46" s="196"/>
      <c r="EK46" s="196"/>
      <c r="EL46" s="196"/>
      <c r="EM46" s="196"/>
      <c r="EN46" s="196"/>
      <c r="EO46" s="196"/>
      <c r="EP46" s="196"/>
      <c r="EQ46" s="196"/>
      <c r="ER46" s="196"/>
      <c r="ES46" s="196"/>
      <c r="ET46" s="196"/>
      <c r="EU46" s="196"/>
      <c r="EV46" s="196"/>
      <c r="EW46" s="196"/>
      <c r="EX46" s="196"/>
      <c r="EY46" s="196"/>
      <c r="EZ46" s="196"/>
      <c r="FA46" s="196"/>
      <c r="FB46" s="196"/>
      <c r="FC46" s="196"/>
      <c r="FD46" s="196"/>
      <c r="FE46" s="196"/>
      <c r="FF46" s="196"/>
      <c r="FG46" s="196"/>
      <c r="FH46" s="196"/>
      <c r="FI46" s="196"/>
      <c r="FJ46" s="196"/>
      <c r="FK46" s="196"/>
      <c r="FL46" s="196"/>
      <c r="FM46" s="196"/>
      <c r="FN46" s="196"/>
      <c r="FO46" s="196"/>
      <c r="FP46" s="196"/>
      <c r="FQ46" s="196"/>
      <c r="FR46" s="196"/>
      <c r="FS46" s="196"/>
      <c r="FT46" s="196"/>
      <c r="FU46" s="196"/>
      <c r="FV46" s="196"/>
      <c r="FW46" s="196"/>
      <c r="FX46" s="196"/>
      <c r="FY46" s="196"/>
      <c r="FZ46" s="196"/>
      <c r="GA46" s="196"/>
      <c r="GB46" s="196"/>
      <c r="GC46" s="196"/>
      <c r="GD46" s="196"/>
      <c r="GE46" s="196"/>
      <c r="GF46" s="196"/>
      <c r="GG46" s="196"/>
      <c r="GH46" s="196"/>
      <c r="GI46" s="196"/>
      <c r="GJ46" s="196"/>
      <c r="GK46" s="196"/>
      <c r="GL46" s="196"/>
      <c r="GM46" s="196"/>
      <c r="GN46" s="196"/>
      <c r="GO46" s="196"/>
      <c r="GP46" s="196"/>
      <c r="GQ46" s="196"/>
      <c r="GR46" s="196"/>
      <c r="GS46" s="196"/>
      <c r="GT46" s="196"/>
      <c r="GU46" s="196"/>
      <c r="GV46" s="196"/>
      <c r="GW46" s="196"/>
      <c r="GX46" s="196"/>
      <c r="GY46" s="196"/>
      <c r="GZ46" s="196"/>
      <c r="HA46" s="196"/>
      <c r="HB46" s="196"/>
      <c r="HC46" s="196"/>
      <c r="HD46" s="196"/>
      <c r="HE46" s="196"/>
      <c r="HF46" s="196"/>
      <c r="HG46" s="196"/>
      <c r="HH46" s="196"/>
      <c r="HI46" s="196"/>
      <c r="HJ46" s="196"/>
      <c r="HK46" s="196"/>
      <c r="HL46" s="196"/>
      <c r="HM46" s="196"/>
      <c r="HN46" s="196"/>
      <c r="HO46" s="196"/>
      <c r="HP46" s="196"/>
      <c r="HQ46" s="196"/>
      <c r="HR46" s="196"/>
      <c r="HS46" s="196"/>
      <c r="HT46" s="196"/>
      <c r="HU46" s="196"/>
      <c r="HV46" s="196"/>
      <c r="HW46" s="196"/>
      <c r="HX46" s="196"/>
      <c r="HY46" s="196"/>
      <c r="HZ46" s="196"/>
      <c r="IA46" s="196"/>
      <c r="IB46" s="196"/>
      <c r="IC46" s="196"/>
      <c r="ID46" s="196"/>
      <c r="IE46" s="196"/>
      <c r="IF46" s="196"/>
      <c r="IG46" s="196"/>
      <c r="IH46" s="196"/>
      <c r="II46" s="196"/>
      <c r="IJ46" s="196"/>
      <c r="IK46" s="196"/>
      <c r="IL46" s="196"/>
      <c r="IM46" s="196"/>
      <c r="IN46" s="196"/>
      <c r="IO46" s="196"/>
      <c r="IP46" s="196"/>
      <c r="IQ46" s="196"/>
      <c r="IR46" s="196"/>
    </row>
    <row r="47" spans="1:252" ht="15.6">
      <c r="A47" s="196"/>
      <c r="B47" s="196"/>
      <c r="C47" s="584"/>
      <c r="D47" s="584"/>
      <c r="E47" s="584"/>
      <c r="F47" s="584"/>
      <c r="G47" s="584"/>
      <c r="H47" s="584"/>
      <c r="I47" s="584"/>
      <c r="J47" s="584"/>
      <c r="K47" s="584"/>
      <c r="L47" s="584"/>
      <c r="M47" s="584"/>
      <c r="N47" s="584"/>
      <c r="O47" s="584"/>
      <c r="P47" s="584"/>
      <c r="Q47" s="584"/>
      <c r="R47" s="579"/>
      <c r="S47" s="579"/>
      <c r="T47" s="579"/>
      <c r="U47" s="579"/>
      <c r="V47" s="579"/>
      <c r="W47" s="579"/>
      <c r="X47" s="579"/>
      <c r="Y47" s="579"/>
      <c r="Z47" s="579"/>
      <c r="AA47" s="579"/>
      <c r="AB47" s="579"/>
      <c r="AC47" s="579"/>
      <c r="AD47" s="579"/>
      <c r="AE47" s="579"/>
      <c r="AF47" s="579"/>
      <c r="AG47" s="579"/>
      <c r="AH47" s="579"/>
      <c r="AI47" s="579"/>
      <c r="AJ47" s="579"/>
      <c r="AK47" s="579"/>
      <c r="AL47" s="579"/>
      <c r="AM47" s="579"/>
      <c r="AN47" s="579"/>
      <c r="AO47" s="579"/>
      <c r="AP47" s="584"/>
      <c r="AQ47" s="584"/>
      <c r="AR47" s="584"/>
      <c r="AS47" s="584"/>
      <c r="AT47" s="584"/>
      <c r="AU47" s="584"/>
      <c r="AV47" s="584"/>
      <c r="AW47" s="584"/>
      <c r="AX47" s="584"/>
      <c r="AY47" s="584"/>
      <c r="AZ47" s="196"/>
      <c r="BA47" s="196"/>
      <c r="BB47" s="196"/>
      <c r="BC47" s="196"/>
      <c r="BD47" s="196"/>
      <c r="BE47" s="196"/>
      <c r="BF47" s="196"/>
      <c r="BG47" s="196"/>
      <c r="BH47" s="196"/>
      <c r="BI47" s="196"/>
      <c r="BJ47" s="196"/>
      <c r="BK47" s="196"/>
      <c r="BL47" s="196"/>
      <c r="BM47" s="196"/>
      <c r="BN47" s="196"/>
      <c r="BO47" s="196"/>
      <c r="BP47" s="196"/>
      <c r="BQ47" s="196"/>
      <c r="BR47" s="196"/>
      <c r="BS47" s="196"/>
      <c r="BT47" s="196"/>
      <c r="BU47" s="196"/>
      <c r="BV47" s="196"/>
      <c r="BW47" s="196"/>
      <c r="BX47" s="196"/>
      <c r="BY47" s="196"/>
      <c r="BZ47" s="196"/>
      <c r="CA47" s="196"/>
      <c r="CB47" s="196"/>
      <c r="CC47" s="196"/>
      <c r="CD47" s="196"/>
      <c r="CE47" s="196"/>
      <c r="CF47" s="196"/>
      <c r="CG47" s="196"/>
      <c r="CH47" s="196"/>
      <c r="CI47" s="196"/>
      <c r="CJ47" s="196"/>
      <c r="CK47" s="196"/>
      <c r="CL47" s="196"/>
      <c r="CM47" s="196"/>
      <c r="CN47" s="196"/>
      <c r="CO47" s="196"/>
      <c r="CP47" s="196"/>
      <c r="CQ47" s="196"/>
      <c r="CR47" s="196"/>
      <c r="CS47" s="196"/>
      <c r="CT47" s="196"/>
      <c r="CU47" s="196"/>
      <c r="CV47" s="196"/>
      <c r="CW47" s="196"/>
      <c r="CX47" s="196"/>
      <c r="CY47" s="196"/>
      <c r="CZ47" s="196"/>
      <c r="DA47" s="196"/>
      <c r="DB47" s="196"/>
      <c r="DC47" s="196"/>
      <c r="DD47" s="196"/>
      <c r="DE47" s="196"/>
      <c r="DF47" s="196"/>
      <c r="DG47" s="196"/>
      <c r="DH47" s="196"/>
      <c r="DI47" s="196"/>
      <c r="DJ47" s="196"/>
      <c r="DK47" s="196"/>
      <c r="DL47" s="196"/>
      <c r="DM47" s="196"/>
      <c r="DN47" s="196"/>
      <c r="DO47" s="196"/>
      <c r="DP47" s="196"/>
      <c r="DQ47" s="196"/>
      <c r="DR47" s="196"/>
      <c r="DS47" s="196"/>
      <c r="DT47" s="196"/>
      <c r="DU47" s="196"/>
      <c r="DV47" s="196"/>
      <c r="DW47" s="196"/>
      <c r="DX47" s="196"/>
      <c r="DY47" s="196"/>
      <c r="DZ47" s="196"/>
      <c r="EA47" s="196"/>
      <c r="EB47" s="196"/>
      <c r="EC47" s="196"/>
      <c r="ED47" s="196"/>
      <c r="EE47" s="196"/>
      <c r="EF47" s="196"/>
      <c r="EG47" s="196"/>
      <c r="EH47" s="196"/>
      <c r="EI47" s="196"/>
      <c r="EJ47" s="196"/>
      <c r="EK47" s="196"/>
      <c r="EL47" s="196"/>
      <c r="EM47" s="196"/>
      <c r="EN47" s="196"/>
      <c r="EO47" s="196"/>
      <c r="EP47" s="196"/>
      <c r="EQ47" s="196"/>
      <c r="ER47" s="196"/>
      <c r="ES47" s="196"/>
      <c r="ET47" s="196"/>
      <c r="EU47" s="196"/>
      <c r="EV47" s="196"/>
      <c r="EW47" s="196"/>
      <c r="EX47" s="196"/>
      <c r="EY47" s="196"/>
      <c r="EZ47" s="196"/>
      <c r="FA47" s="196"/>
      <c r="FB47" s="196"/>
      <c r="FC47" s="196"/>
      <c r="FD47" s="196"/>
      <c r="FE47" s="196"/>
      <c r="FF47" s="196"/>
      <c r="FG47" s="196"/>
      <c r="FH47" s="196"/>
      <c r="FI47" s="196"/>
      <c r="FJ47" s="196"/>
      <c r="FK47" s="196"/>
      <c r="FL47" s="196"/>
      <c r="FM47" s="196"/>
      <c r="FN47" s="196"/>
      <c r="FO47" s="196"/>
      <c r="FP47" s="196"/>
      <c r="FQ47" s="196"/>
      <c r="FR47" s="196"/>
      <c r="FS47" s="196"/>
      <c r="FT47" s="196"/>
      <c r="FU47" s="196"/>
      <c r="FV47" s="196"/>
      <c r="FW47" s="196"/>
      <c r="FX47" s="196"/>
      <c r="FY47" s="196"/>
      <c r="FZ47" s="196"/>
      <c r="GA47" s="196"/>
      <c r="GB47" s="196"/>
      <c r="GC47" s="196"/>
      <c r="GD47" s="196"/>
      <c r="GE47" s="196"/>
      <c r="GF47" s="196"/>
      <c r="GG47" s="196"/>
      <c r="GH47" s="196"/>
      <c r="GI47" s="196"/>
      <c r="GJ47" s="196"/>
      <c r="GK47" s="196"/>
      <c r="GL47" s="196"/>
      <c r="GM47" s="196"/>
      <c r="GN47" s="196"/>
      <c r="GO47" s="196"/>
      <c r="GP47" s="196"/>
      <c r="GQ47" s="196"/>
      <c r="GR47" s="196"/>
      <c r="GS47" s="196"/>
      <c r="GT47" s="196"/>
      <c r="GU47" s="196"/>
      <c r="GV47" s="196"/>
      <c r="GW47" s="196"/>
      <c r="GX47" s="196"/>
      <c r="GY47" s="196"/>
      <c r="GZ47" s="196"/>
      <c r="HA47" s="196"/>
      <c r="HB47" s="196"/>
      <c r="HC47" s="196"/>
      <c r="HD47" s="196"/>
      <c r="HE47" s="196"/>
      <c r="HF47" s="196"/>
      <c r="HG47" s="196"/>
      <c r="HH47" s="196"/>
      <c r="HI47" s="196"/>
      <c r="HJ47" s="196"/>
      <c r="HK47" s="196"/>
      <c r="HL47" s="196"/>
      <c r="HM47" s="196"/>
      <c r="HN47" s="196"/>
      <c r="HO47" s="196"/>
      <c r="HP47" s="196"/>
      <c r="HQ47" s="196"/>
      <c r="HR47" s="196"/>
      <c r="HS47" s="196"/>
      <c r="HT47" s="196"/>
      <c r="HU47" s="196"/>
      <c r="HV47" s="196"/>
      <c r="HW47" s="196"/>
      <c r="HX47" s="196"/>
      <c r="HY47" s="196"/>
      <c r="HZ47" s="196"/>
      <c r="IA47" s="196"/>
      <c r="IB47" s="196"/>
      <c r="IC47" s="196"/>
      <c r="ID47" s="196"/>
      <c r="IE47" s="196"/>
      <c r="IF47" s="196"/>
      <c r="IG47" s="196"/>
      <c r="IH47" s="196"/>
      <c r="II47" s="196"/>
      <c r="IJ47" s="196"/>
      <c r="IK47" s="196"/>
      <c r="IL47" s="196"/>
      <c r="IM47" s="196"/>
      <c r="IN47" s="196"/>
      <c r="IO47" s="196"/>
      <c r="IP47" s="196"/>
      <c r="IQ47" s="196"/>
      <c r="IR47" s="196"/>
    </row>
    <row r="48" spans="1:252" ht="15.6">
      <c r="A48" s="196"/>
      <c r="B48" s="196"/>
      <c r="C48" s="584"/>
      <c r="D48" s="584"/>
      <c r="E48" s="584"/>
      <c r="F48" s="584"/>
      <c r="G48" s="584"/>
      <c r="H48" s="584"/>
      <c r="I48" s="584"/>
      <c r="J48" s="584"/>
      <c r="K48" s="584"/>
      <c r="L48" s="584"/>
      <c r="M48" s="584"/>
      <c r="N48" s="584"/>
      <c r="O48" s="584"/>
      <c r="P48" s="584"/>
      <c r="Q48" s="584"/>
      <c r="R48" s="584"/>
      <c r="S48" s="584"/>
      <c r="T48" s="584"/>
      <c r="U48" s="584"/>
      <c r="V48" s="584"/>
      <c r="W48" s="579"/>
      <c r="X48" s="579"/>
      <c r="Y48" s="579"/>
      <c r="Z48" s="579"/>
      <c r="AA48" s="579"/>
      <c r="AB48" s="579"/>
      <c r="AC48" s="579"/>
      <c r="AD48" s="579"/>
      <c r="AE48" s="579"/>
      <c r="AF48" s="579"/>
      <c r="AG48" s="579"/>
      <c r="AH48" s="579"/>
      <c r="AI48" s="579"/>
      <c r="AJ48" s="579"/>
      <c r="AK48" s="579"/>
      <c r="AL48" s="579"/>
      <c r="AM48" s="579"/>
      <c r="AN48" s="579"/>
      <c r="AO48" s="579"/>
      <c r="AP48" s="584"/>
      <c r="AQ48" s="584"/>
      <c r="AR48" s="584"/>
      <c r="AS48" s="584"/>
      <c r="AT48" s="584"/>
      <c r="AU48" s="584"/>
      <c r="AV48" s="584"/>
      <c r="AW48" s="584"/>
      <c r="AX48" s="584"/>
      <c r="AY48" s="584"/>
      <c r="AZ48" s="196"/>
      <c r="BA48" s="196"/>
      <c r="BB48" s="196"/>
      <c r="BC48" s="196"/>
      <c r="BD48" s="196"/>
      <c r="BE48" s="196"/>
      <c r="BF48" s="196"/>
      <c r="BG48" s="196"/>
      <c r="BH48" s="196"/>
      <c r="BI48" s="196"/>
      <c r="BJ48" s="196"/>
      <c r="BK48" s="196"/>
      <c r="BL48" s="196"/>
      <c r="BM48" s="196"/>
      <c r="BN48" s="196"/>
      <c r="BO48" s="196"/>
      <c r="BP48" s="196"/>
      <c r="BQ48" s="196"/>
      <c r="BR48" s="196"/>
      <c r="BS48" s="196"/>
      <c r="BT48" s="196"/>
      <c r="BU48" s="196"/>
      <c r="BV48" s="196"/>
      <c r="BW48" s="196"/>
      <c r="BX48" s="196"/>
      <c r="BY48" s="196"/>
      <c r="BZ48" s="196"/>
      <c r="CA48" s="196"/>
      <c r="CB48" s="196"/>
      <c r="CC48" s="196"/>
      <c r="CD48" s="196"/>
      <c r="CE48" s="196"/>
      <c r="CF48" s="196"/>
      <c r="CG48" s="196"/>
      <c r="CH48" s="196"/>
      <c r="CI48" s="196"/>
      <c r="CJ48" s="196"/>
      <c r="CK48" s="196"/>
      <c r="CL48" s="196"/>
      <c r="CM48" s="196"/>
      <c r="CN48" s="196"/>
      <c r="CO48" s="196"/>
      <c r="CP48" s="196"/>
      <c r="CQ48" s="196"/>
      <c r="CR48" s="196"/>
      <c r="CS48" s="196"/>
      <c r="CT48" s="196"/>
      <c r="CU48" s="196"/>
      <c r="CV48" s="196"/>
      <c r="CW48" s="196"/>
      <c r="CX48" s="196"/>
      <c r="CY48" s="196"/>
      <c r="CZ48" s="196"/>
      <c r="DA48" s="196"/>
      <c r="DB48" s="196"/>
      <c r="DC48" s="196"/>
      <c r="DD48" s="196"/>
      <c r="DE48" s="196"/>
      <c r="DF48" s="196"/>
      <c r="DG48" s="196"/>
      <c r="DH48" s="196"/>
      <c r="DI48" s="196"/>
      <c r="DJ48" s="196"/>
      <c r="DK48" s="196"/>
      <c r="DL48" s="196"/>
      <c r="DM48" s="196"/>
      <c r="DN48" s="196"/>
      <c r="DO48" s="196"/>
      <c r="DP48" s="196"/>
      <c r="DQ48" s="196"/>
      <c r="DR48" s="196"/>
      <c r="DS48" s="196"/>
      <c r="DT48" s="196"/>
      <c r="DU48" s="196"/>
      <c r="DV48" s="196"/>
      <c r="DW48" s="196"/>
      <c r="DX48" s="196"/>
      <c r="DY48" s="196"/>
      <c r="DZ48" s="196"/>
      <c r="EA48" s="196"/>
      <c r="EB48" s="196"/>
      <c r="EC48" s="196"/>
      <c r="ED48" s="196"/>
      <c r="EE48" s="196"/>
      <c r="EF48" s="196"/>
      <c r="EG48" s="196"/>
      <c r="EH48" s="196"/>
      <c r="EI48" s="196"/>
      <c r="EJ48" s="196"/>
      <c r="EK48" s="196"/>
      <c r="EL48" s="196"/>
      <c r="EM48" s="196"/>
      <c r="EN48" s="196"/>
      <c r="EO48" s="196"/>
      <c r="EP48" s="196"/>
      <c r="EQ48" s="196"/>
      <c r="ER48" s="196"/>
      <c r="ES48" s="196"/>
      <c r="ET48" s="196"/>
      <c r="EU48" s="196"/>
      <c r="EV48" s="196"/>
      <c r="EW48" s="196"/>
      <c r="EX48" s="196"/>
      <c r="EY48" s="196"/>
      <c r="EZ48" s="196"/>
      <c r="FA48" s="196"/>
      <c r="FB48" s="196"/>
      <c r="FC48" s="196"/>
      <c r="FD48" s="196"/>
      <c r="FE48" s="196"/>
      <c r="FF48" s="196"/>
      <c r="FG48" s="196"/>
      <c r="FH48" s="196"/>
      <c r="FI48" s="196"/>
      <c r="FJ48" s="196"/>
      <c r="FK48" s="196"/>
      <c r="FL48" s="196"/>
      <c r="FM48" s="196"/>
      <c r="FN48" s="196"/>
      <c r="FO48" s="196"/>
      <c r="FP48" s="196"/>
      <c r="FQ48" s="196"/>
      <c r="FR48" s="196"/>
      <c r="FS48" s="196"/>
      <c r="FT48" s="196"/>
      <c r="FU48" s="196"/>
      <c r="FV48" s="196"/>
      <c r="FW48" s="196"/>
      <c r="FX48" s="196"/>
      <c r="FY48" s="196"/>
      <c r="FZ48" s="196"/>
      <c r="GA48" s="196"/>
      <c r="GB48" s="196"/>
      <c r="GC48" s="196"/>
      <c r="GD48" s="196"/>
      <c r="GE48" s="196"/>
      <c r="GF48" s="196"/>
      <c r="GG48" s="196"/>
      <c r="GH48" s="196"/>
      <c r="GI48" s="196"/>
      <c r="GJ48" s="196"/>
      <c r="GK48" s="196"/>
      <c r="GL48" s="196"/>
      <c r="GM48" s="196"/>
      <c r="GN48" s="196"/>
      <c r="GO48" s="196"/>
      <c r="GP48" s="196"/>
      <c r="GQ48" s="196"/>
      <c r="GR48" s="196"/>
      <c r="GS48" s="196"/>
      <c r="GT48" s="196"/>
      <c r="GU48" s="196"/>
      <c r="GV48" s="196"/>
      <c r="GW48" s="196"/>
      <c r="GX48" s="196"/>
      <c r="GY48" s="196"/>
      <c r="GZ48" s="196"/>
      <c r="HA48" s="196"/>
      <c r="HB48" s="196"/>
      <c r="HC48" s="196"/>
      <c r="HD48" s="196"/>
      <c r="HE48" s="196"/>
      <c r="HF48" s="196"/>
      <c r="HG48" s="196"/>
      <c r="HH48" s="196"/>
      <c r="HI48" s="196"/>
      <c r="HJ48" s="196"/>
      <c r="HK48" s="196"/>
      <c r="HL48" s="196"/>
      <c r="HM48" s="196"/>
      <c r="HN48" s="196"/>
      <c r="HO48" s="196"/>
      <c r="HP48" s="196"/>
      <c r="HQ48" s="196"/>
      <c r="HR48" s="196"/>
      <c r="HS48" s="196"/>
      <c r="HT48" s="196"/>
      <c r="HU48" s="196"/>
      <c r="HV48" s="196"/>
      <c r="HW48" s="196"/>
      <c r="HX48" s="196"/>
      <c r="HY48" s="196"/>
      <c r="HZ48" s="196"/>
      <c r="IA48" s="196"/>
      <c r="IB48" s="196"/>
      <c r="IC48" s="196"/>
      <c r="ID48" s="196"/>
      <c r="IE48" s="196"/>
      <c r="IF48" s="196"/>
      <c r="IG48" s="196"/>
      <c r="IH48" s="196"/>
      <c r="II48" s="196"/>
      <c r="IJ48" s="196"/>
      <c r="IK48" s="196"/>
      <c r="IL48" s="196"/>
      <c r="IM48" s="196"/>
      <c r="IN48" s="196"/>
      <c r="IO48" s="196"/>
      <c r="IP48" s="196"/>
      <c r="IQ48" s="196"/>
      <c r="IR48" s="196"/>
    </row>
    <row r="49" spans="1:252" ht="15.6">
      <c r="A49" s="196"/>
      <c r="B49" s="196"/>
      <c r="C49" s="584"/>
      <c r="D49" s="584"/>
      <c r="E49" s="584"/>
      <c r="F49" s="584"/>
      <c r="G49" s="584"/>
      <c r="H49" s="584"/>
      <c r="I49" s="584"/>
      <c r="J49" s="584"/>
      <c r="K49" s="584"/>
      <c r="L49" s="584"/>
      <c r="M49" s="584"/>
      <c r="N49" s="584"/>
      <c r="O49" s="584"/>
      <c r="P49" s="584"/>
      <c r="Q49" s="584"/>
      <c r="R49" s="579"/>
      <c r="S49" s="579"/>
      <c r="T49" s="579"/>
      <c r="U49" s="579"/>
      <c r="V49" s="579"/>
      <c r="W49" s="579"/>
      <c r="X49" s="579"/>
      <c r="Y49" s="579"/>
      <c r="Z49" s="579"/>
      <c r="AA49" s="579"/>
      <c r="AB49" s="579"/>
      <c r="AC49" s="579"/>
      <c r="AD49" s="579"/>
      <c r="AE49" s="579"/>
      <c r="AF49" s="579"/>
      <c r="AG49" s="579"/>
      <c r="AH49" s="579"/>
      <c r="AI49" s="579"/>
      <c r="AJ49" s="579"/>
      <c r="AK49" s="579"/>
      <c r="AL49" s="579"/>
      <c r="AM49" s="579"/>
      <c r="AN49" s="579"/>
      <c r="AO49" s="579"/>
      <c r="AP49" s="584"/>
      <c r="AQ49" s="584"/>
      <c r="AR49" s="584"/>
      <c r="AS49" s="584"/>
      <c r="AT49" s="584"/>
      <c r="AU49" s="584"/>
      <c r="AV49" s="584"/>
      <c r="AW49" s="584"/>
      <c r="AX49" s="584"/>
      <c r="AY49" s="584"/>
      <c r="AZ49" s="196"/>
      <c r="BA49" s="196"/>
      <c r="BB49" s="196"/>
      <c r="BC49" s="196"/>
      <c r="BD49" s="196"/>
      <c r="BE49" s="196"/>
      <c r="BF49" s="196"/>
      <c r="BG49" s="196"/>
      <c r="BH49" s="196"/>
      <c r="BI49" s="196"/>
      <c r="BJ49" s="196"/>
      <c r="BK49" s="196"/>
      <c r="BL49" s="196"/>
      <c r="BM49" s="196"/>
      <c r="BN49" s="196"/>
      <c r="BO49" s="196"/>
      <c r="BP49" s="196"/>
      <c r="BQ49" s="196"/>
      <c r="BR49" s="196"/>
      <c r="BS49" s="196"/>
      <c r="BT49" s="196"/>
      <c r="BU49" s="196"/>
      <c r="BV49" s="196"/>
      <c r="BW49" s="196"/>
      <c r="BX49" s="196"/>
      <c r="BY49" s="196"/>
      <c r="BZ49" s="196"/>
      <c r="CA49" s="196"/>
      <c r="CB49" s="196"/>
      <c r="CC49" s="196"/>
      <c r="CD49" s="196"/>
      <c r="CE49" s="196"/>
      <c r="CF49" s="196"/>
      <c r="CG49" s="196"/>
      <c r="CH49" s="196"/>
      <c r="CI49" s="196"/>
      <c r="CJ49" s="196"/>
      <c r="CK49" s="196"/>
      <c r="CL49" s="196"/>
      <c r="CM49" s="196"/>
      <c r="CN49" s="196"/>
      <c r="CO49" s="196"/>
      <c r="CP49" s="196"/>
      <c r="CQ49" s="196"/>
      <c r="CR49" s="196"/>
      <c r="CS49" s="196"/>
      <c r="CT49" s="196"/>
      <c r="CU49" s="196"/>
      <c r="CV49" s="196"/>
      <c r="CW49" s="196"/>
      <c r="CX49" s="196"/>
      <c r="CY49" s="196"/>
      <c r="CZ49" s="196"/>
      <c r="DA49" s="196"/>
      <c r="DB49" s="196"/>
      <c r="DC49" s="196"/>
      <c r="DD49" s="196"/>
      <c r="DE49" s="196"/>
      <c r="DF49" s="196"/>
      <c r="DG49" s="196"/>
      <c r="DH49" s="196"/>
      <c r="DI49" s="196"/>
      <c r="DJ49" s="196"/>
      <c r="DK49" s="196"/>
      <c r="DL49" s="196"/>
      <c r="DM49" s="196"/>
      <c r="DN49" s="196"/>
      <c r="DO49" s="196"/>
      <c r="DP49" s="196"/>
      <c r="DQ49" s="196"/>
      <c r="DR49" s="196"/>
      <c r="DS49" s="196"/>
      <c r="DT49" s="196"/>
      <c r="DU49" s="196"/>
      <c r="DV49" s="196"/>
      <c r="DW49" s="196"/>
      <c r="DX49" s="196"/>
      <c r="DY49" s="196"/>
      <c r="DZ49" s="196"/>
      <c r="EA49" s="196"/>
      <c r="EB49" s="196"/>
      <c r="EC49" s="196"/>
      <c r="ED49" s="196"/>
      <c r="EE49" s="196"/>
      <c r="EF49" s="196"/>
      <c r="EG49" s="196"/>
      <c r="EH49" s="196"/>
      <c r="EI49" s="196"/>
      <c r="EJ49" s="196"/>
      <c r="EK49" s="196"/>
      <c r="EL49" s="196"/>
      <c r="EM49" s="196"/>
      <c r="EN49" s="196"/>
      <c r="EO49" s="196"/>
      <c r="EP49" s="196"/>
      <c r="EQ49" s="196"/>
      <c r="ER49" s="196"/>
      <c r="ES49" s="196"/>
      <c r="ET49" s="196"/>
      <c r="EU49" s="196"/>
      <c r="EV49" s="196"/>
      <c r="EW49" s="196"/>
      <c r="EX49" s="196"/>
      <c r="EY49" s="196"/>
      <c r="EZ49" s="196"/>
      <c r="FA49" s="196"/>
      <c r="FB49" s="196"/>
      <c r="FC49" s="196"/>
      <c r="FD49" s="196"/>
      <c r="FE49" s="196"/>
      <c r="FF49" s="196"/>
      <c r="FG49" s="196"/>
      <c r="FH49" s="196"/>
      <c r="FI49" s="196"/>
      <c r="FJ49" s="196"/>
      <c r="FK49" s="196"/>
      <c r="FL49" s="196"/>
      <c r="FM49" s="196"/>
      <c r="FN49" s="196"/>
      <c r="FO49" s="196"/>
      <c r="FP49" s="196"/>
      <c r="FQ49" s="196"/>
      <c r="FR49" s="196"/>
      <c r="FS49" s="196"/>
      <c r="FT49" s="196"/>
      <c r="FU49" s="196"/>
      <c r="FV49" s="196"/>
      <c r="FW49" s="196"/>
      <c r="FX49" s="196"/>
      <c r="FY49" s="196"/>
      <c r="FZ49" s="196"/>
      <c r="GA49" s="196"/>
      <c r="GB49" s="196"/>
      <c r="GC49" s="196"/>
      <c r="GD49" s="196"/>
      <c r="GE49" s="196"/>
      <c r="GF49" s="196"/>
      <c r="GG49" s="196"/>
      <c r="GH49" s="196"/>
      <c r="GI49" s="196"/>
      <c r="GJ49" s="196"/>
      <c r="GK49" s="196"/>
      <c r="GL49" s="196"/>
      <c r="GM49" s="196"/>
      <c r="GN49" s="196"/>
      <c r="GO49" s="196"/>
      <c r="GP49" s="196"/>
      <c r="GQ49" s="196"/>
      <c r="GR49" s="196"/>
      <c r="GS49" s="196"/>
      <c r="GT49" s="196"/>
      <c r="GU49" s="196"/>
      <c r="GV49" s="196"/>
      <c r="GW49" s="196"/>
      <c r="GX49" s="196"/>
      <c r="GY49" s="196"/>
      <c r="GZ49" s="196"/>
      <c r="HA49" s="196"/>
      <c r="HB49" s="196"/>
      <c r="HC49" s="196"/>
      <c r="HD49" s="196"/>
      <c r="HE49" s="196"/>
      <c r="HF49" s="196"/>
      <c r="HG49" s="196"/>
      <c r="HH49" s="196"/>
      <c r="HI49" s="196"/>
      <c r="HJ49" s="196"/>
      <c r="HK49" s="196"/>
      <c r="HL49" s="196"/>
      <c r="HM49" s="196"/>
      <c r="HN49" s="196"/>
      <c r="HO49" s="196"/>
      <c r="HP49" s="196"/>
      <c r="HQ49" s="196"/>
      <c r="HR49" s="196"/>
      <c r="HS49" s="196"/>
      <c r="HT49" s="196"/>
      <c r="HU49" s="196"/>
      <c r="HV49" s="196"/>
      <c r="HW49" s="196"/>
      <c r="HX49" s="196"/>
      <c r="HY49" s="196"/>
      <c r="HZ49" s="196"/>
      <c r="IA49" s="196"/>
      <c r="IB49" s="196"/>
      <c r="IC49" s="196"/>
      <c r="ID49" s="196"/>
      <c r="IE49" s="196"/>
      <c r="IF49" s="196"/>
      <c r="IG49" s="196"/>
      <c r="IH49" s="196"/>
      <c r="II49" s="196"/>
      <c r="IJ49" s="196"/>
      <c r="IK49" s="196"/>
      <c r="IL49" s="196"/>
      <c r="IM49" s="196"/>
      <c r="IN49" s="196"/>
      <c r="IO49" s="196"/>
      <c r="IP49" s="196"/>
      <c r="IQ49" s="196"/>
      <c r="IR49" s="196"/>
    </row>
    <row r="50" spans="1:252" ht="15.6">
      <c r="A50" s="196"/>
      <c r="B50" s="196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7"/>
      <c r="P50" s="587"/>
      <c r="Q50" s="587"/>
      <c r="R50" s="587"/>
      <c r="S50" s="587"/>
      <c r="T50" s="587"/>
      <c r="U50" s="587"/>
      <c r="V50" s="587"/>
      <c r="W50" s="587"/>
      <c r="X50" s="579"/>
      <c r="Y50" s="579"/>
      <c r="Z50" s="579"/>
      <c r="AA50" s="579"/>
      <c r="AB50" s="579"/>
      <c r="AC50" s="579"/>
      <c r="AD50" s="579"/>
      <c r="AE50" s="579"/>
      <c r="AF50" s="579"/>
      <c r="AG50" s="579"/>
      <c r="AH50" s="579"/>
      <c r="AI50" s="579"/>
      <c r="AJ50" s="579"/>
      <c r="AK50" s="579"/>
      <c r="AL50" s="579"/>
      <c r="AM50" s="579"/>
      <c r="AN50" s="579"/>
      <c r="AO50" s="579"/>
      <c r="AP50" s="584"/>
      <c r="AQ50" s="584"/>
      <c r="AR50" s="584"/>
      <c r="AS50" s="584"/>
      <c r="AT50" s="584"/>
      <c r="AU50" s="584"/>
      <c r="AV50" s="584"/>
      <c r="AW50" s="584"/>
      <c r="AX50" s="584"/>
      <c r="AY50" s="584"/>
      <c r="AZ50" s="196"/>
      <c r="BA50" s="196"/>
      <c r="BB50" s="196"/>
      <c r="BC50" s="196"/>
      <c r="BD50" s="196"/>
      <c r="BE50" s="196"/>
      <c r="BF50" s="196"/>
      <c r="BG50" s="196"/>
      <c r="BH50" s="196"/>
      <c r="BI50" s="196"/>
      <c r="BJ50" s="196"/>
      <c r="BK50" s="196"/>
      <c r="BL50" s="196"/>
      <c r="BM50" s="196"/>
      <c r="BN50" s="196"/>
      <c r="BO50" s="196"/>
      <c r="BP50" s="196"/>
      <c r="BQ50" s="196"/>
      <c r="BR50" s="196"/>
      <c r="BS50" s="196"/>
      <c r="BT50" s="196"/>
      <c r="BU50" s="196"/>
      <c r="BV50" s="196"/>
      <c r="BW50" s="196"/>
      <c r="BX50" s="196"/>
      <c r="BY50" s="196"/>
      <c r="BZ50" s="196"/>
      <c r="CA50" s="196"/>
      <c r="CB50" s="196"/>
      <c r="CC50" s="196"/>
      <c r="CD50" s="196"/>
      <c r="CE50" s="196"/>
      <c r="CF50" s="196"/>
      <c r="CG50" s="196"/>
      <c r="CH50" s="196"/>
      <c r="CI50" s="196"/>
      <c r="CJ50" s="196"/>
      <c r="CK50" s="196"/>
      <c r="CL50" s="196"/>
      <c r="CM50" s="196"/>
      <c r="CN50" s="196"/>
      <c r="CO50" s="196"/>
      <c r="CP50" s="196"/>
      <c r="CQ50" s="196"/>
      <c r="CR50" s="196"/>
      <c r="CS50" s="196"/>
      <c r="CT50" s="196"/>
      <c r="CU50" s="196"/>
      <c r="CV50" s="196"/>
      <c r="CW50" s="196"/>
      <c r="CX50" s="196"/>
      <c r="CY50" s="196"/>
      <c r="CZ50" s="196"/>
      <c r="DA50" s="196"/>
      <c r="DB50" s="196"/>
      <c r="DC50" s="196"/>
      <c r="DD50" s="196"/>
      <c r="DE50" s="196"/>
      <c r="DF50" s="196"/>
      <c r="DG50" s="196"/>
      <c r="DH50" s="196"/>
      <c r="DI50" s="196"/>
      <c r="DJ50" s="196"/>
      <c r="DK50" s="196"/>
      <c r="DL50" s="196"/>
      <c r="DM50" s="196"/>
      <c r="DN50" s="196"/>
      <c r="DO50" s="196"/>
      <c r="DP50" s="196"/>
      <c r="DQ50" s="196"/>
      <c r="DR50" s="196"/>
      <c r="DS50" s="196"/>
      <c r="DT50" s="196"/>
      <c r="DU50" s="196"/>
      <c r="DV50" s="196"/>
      <c r="DW50" s="196"/>
      <c r="DX50" s="196"/>
      <c r="DY50" s="196"/>
      <c r="DZ50" s="196"/>
      <c r="EA50" s="196"/>
      <c r="EB50" s="196"/>
      <c r="EC50" s="196"/>
      <c r="ED50" s="196"/>
      <c r="EE50" s="196"/>
      <c r="EF50" s="196"/>
      <c r="EG50" s="196"/>
      <c r="EH50" s="196"/>
      <c r="EI50" s="196"/>
      <c r="EJ50" s="196"/>
      <c r="EK50" s="196"/>
      <c r="EL50" s="196"/>
      <c r="EM50" s="196"/>
      <c r="EN50" s="196"/>
      <c r="EO50" s="196"/>
      <c r="EP50" s="196"/>
      <c r="EQ50" s="196"/>
      <c r="ER50" s="196"/>
      <c r="ES50" s="196"/>
      <c r="ET50" s="196"/>
      <c r="EU50" s="196"/>
      <c r="EV50" s="196"/>
      <c r="EW50" s="196"/>
      <c r="EX50" s="196"/>
      <c r="EY50" s="196"/>
      <c r="EZ50" s="196"/>
      <c r="FA50" s="196"/>
      <c r="FB50" s="196"/>
      <c r="FC50" s="196"/>
      <c r="FD50" s="196"/>
      <c r="FE50" s="196"/>
      <c r="FF50" s="196"/>
      <c r="FG50" s="196"/>
      <c r="FH50" s="196"/>
      <c r="FI50" s="196"/>
      <c r="FJ50" s="196"/>
      <c r="FK50" s="196"/>
      <c r="FL50" s="196"/>
      <c r="FM50" s="196"/>
      <c r="FN50" s="196"/>
      <c r="FO50" s="196"/>
      <c r="FP50" s="196"/>
      <c r="FQ50" s="196"/>
      <c r="FR50" s="196"/>
      <c r="FS50" s="196"/>
      <c r="FT50" s="196"/>
      <c r="FU50" s="196"/>
      <c r="FV50" s="196"/>
      <c r="FW50" s="196"/>
      <c r="FX50" s="196"/>
      <c r="FY50" s="196"/>
      <c r="FZ50" s="196"/>
      <c r="GA50" s="196"/>
      <c r="GB50" s="196"/>
      <c r="GC50" s="196"/>
      <c r="GD50" s="196"/>
      <c r="GE50" s="196"/>
      <c r="GF50" s="196"/>
      <c r="GG50" s="196"/>
      <c r="GH50" s="196"/>
      <c r="GI50" s="196"/>
      <c r="GJ50" s="196"/>
      <c r="GK50" s="196"/>
      <c r="GL50" s="196"/>
      <c r="GM50" s="196"/>
      <c r="GN50" s="196"/>
      <c r="GO50" s="196"/>
      <c r="GP50" s="196"/>
      <c r="GQ50" s="196"/>
      <c r="GR50" s="196"/>
      <c r="GS50" s="196"/>
      <c r="GT50" s="196"/>
      <c r="GU50" s="196"/>
      <c r="GV50" s="196"/>
      <c r="GW50" s="196"/>
      <c r="GX50" s="196"/>
      <c r="GY50" s="196"/>
      <c r="GZ50" s="196"/>
      <c r="HA50" s="196"/>
      <c r="HB50" s="196"/>
      <c r="HC50" s="196"/>
      <c r="HD50" s="196"/>
      <c r="HE50" s="196"/>
      <c r="HF50" s="196"/>
      <c r="HG50" s="196"/>
      <c r="HH50" s="196"/>
      <c r="HI50" s="196"/>
      <c r="HJ50" s="196"/>
      <c r="HK50" s="196"/>
      <c r="HL50" s="196"/>
      <c r="HM50" s="196"/>
      <c r="HN50" s="196"/>
      <c r="HO50" s="196"/>
      <c r="HP50" s="196"/>
      <c r="HQ50" s="196"/>
      <c r="HR50" s="196"/>
      <c r="HS50" s="196"/>
      <c r="HT50" s="196"/>
      <c r="HU50" s="196"/>
      <c r="HV50" s="196"/>
      <c r="HW50" s="196"/>
      <c r="HX50" s="196"/>
      <c r="HY50" s="196"/>
      <c r="HZ50" s="196"/>
      <c r="IA50" s="196"/>
      <c r="IB50" s="196"/>
      <c r="IC50" s="196"/>
      <c r="ID50" s="196"/>
      <c r="IE50" s="196"/>
      <c r="IF50" s="196"/>
      <c r="IG50" s="196"/>
      <c r="IH50" s="196"/>
      <c r="II50" s="196"/>
      <c r="IJ50" s="196"/>
      <c r="IK50" s="196"/>
      <c r="IL50" s="196"/>
      <c r="IM50" s="196"/>
      <c r="IN50" s="196"/>
      <c r="IO50" s="196"/>
      <c r="IP50" s="196"/>
      <c r="IQ50" s="196"/>
      <c r="IR50" s="196"/>
    </row>
    <row r="51" spans="1:252" ht="15.6">
      <c r="A51" s="196"/>
      <c r="B51" s="196"/>
      <c r="C51" s="587"/>
      <c r="D51" s="584"/>
      <c r="E51" s="584"/>
      <c r="F51" s="584"/>
      <c r="G51" s="584"/>
      <c r="H51" s="584"/>
      <c r="I51" s="584"/>
      <c r="J51" s="584"/>
      <c r="K51" s="584"/>
      <c r="L51" s="584"/>
      <c r="M51" s="584"/>
      <c r="N51" s="584"/>
      <c r="O51" s="584"/>
      <c r="P51" s="584"/>
      <c r="Q51" s="584"/>
      <c r="R51" s="579"/>
      <c r="S51" s="579"/>
      <c r="T51" s="579"/>
      <c r="U51" s="579"/>
      <c r="V51" s="579"/>
      <c r="W51" s="579"/>
      <c r="X51" s="579"/>
      <c r="Y51" s="579"/>
      <c r="Z51" s="579"/>
      <c r="AA51" s="579"/>
      <c r="AB51" s="579"/>
      <c r="AC51" s="579"/>
      <c r="AD51" s="579"/>
      <c r="AE51" s="579"/>
      <c r="AF51" s="579"/>
      <c r="AG51" s="579"/>
      <c r="AH51" s="579"/>
      <c r="AI51" s="579"/>
      <c r="AJ51" s="579"/>
      <c r="AK51" s="579"/>
      <c r="AL51" s="579"/>
      <c r="AM51" s="579"/>
      <c r="AN51" s="579"/>
      <c r="AO51" s="579"/>
      <c r="AP51" s="584"/>
      <c r="AQ51" s="584"/>
      <c r="AR51" s="584"/>
      <c r="AS51" s="584"/>
      <c r="AT51" s="584"/>
      <c r="AU51" s="584"/>
      <c r="AV51" s="584"/>
      <c r="AW51" s="584"/>
      <c r="AX51" s="584"/>
      <c r="AY51" s="584"/>
      <c r="AZ51" s="196"/>
      <c r="BA51" s="196"/>
      <c r="BB51" s="196"/>
      <c r="BC51" s="196"/>
      <c r="BD51" s="196"/>
      <c r="BE51" s="196"/>
      <c r="BF51" s="196"/>
      <c r="BG51" s="196"/>
      <c r="BH51" s="196"/>
      <c r="BI51" s="196"/>
      <c r="BJ51" s="196"/>
      <c r="BK51" s="196"/>
      <c r="BL51" s="196"/>
      <c r="BM51" s="196"/>
      <c r="BN51" s="196"/>
      <c r="BO51" s="196"/>
      <c r="BP51" s="196"/>
      <c r="BQ51" s="196"/>
      <c r="BR51" s="196"/>
      <c r="BS51" s="196"/>
      <c r="BT51" s="196"/>
      <c r="BU51" s="196"/>
      <c r="BV51" s="196"/>
      <c r="BW51" s="196"/>
      <c r="BX51" s="196"/>
      <c r="BY51" s="196"/>
      <c r="BZ51" s="196"/>
      <c r="CA51" s="196"/>
      <c r="CB51" s="196"/>
      <c r="CC51" s="196"/>
      <c r="CD51" s="196"/>
      <c r="CE51" s="196"/>
      <c r="CF51" s="196"/>
      <c r="CG51" s="196"/>
      <c r="CH51" s="196"/>
      <c r="CI51" s="196"/>
      <c r="CJ51" s="196"/>
      <c r="CK51" s="196"/>
      <c r="CL51" s="196"/>
      <c r="CM51" s="196"/>
      <c r="CN51" s="196"/>
      <c r="CO51" s="196"/>
      <c r="CP51" s="196"/>
      <c r="CQ51" s="196"/>
      <c r="CR51" s="196"/>
      <c r="CS51" s="196"/>
      <c r="CT51" s="196"/>
      <c r="CU51" s="196"/>
      <c r="CV51" s="196"/>
      <c r="CW51" s="196"/>
      <c r="CX51" s="196"/>
      <c r="CY51" s="196"/>
      <c r="CZ51" s="196"/>
      <c r="DA51" s="196"/>
      <c r="DB51" s="196"/>
      <c r="DC51" s="196"/>
      <c r="DD51" s="196"/>
      <c r="DE51" s="196"/>
      <c r="DF51" s="196"/>
      <c r="DG51" s="196"/>
      <c r="DH51" s="196"/>
      <c r="DI51" s="196"/>
      <c r="DJ51" s="196"/>
      <c r="DK51" s="196"/>
      <c r="DL51" s="196"/>
      <c r="DM51" s="196"/>
      <c r="DN51" s="196"/>
      <c r="DO51" s="196"/>
      <c r="DP51" s="196"/>
      <c r="DQ51" s="196"/>
      <c r="DR51" s="196"/>
      <c r="DS51" s="196"/>
      <c r="DT51" s="196"/>
      <c r="DU51" s="196"/>
      <c r="DV51" s="196"/>
      <c r="DW51" s="196"/>
      <c r="DX51" s="196"/>
      <c r="DY51" s="196"/>
      <c r="DZ51" s="196"/>
      <c r="EA51" s="196"/>
      <c r="EB51" s="196"/>
      <c r="EC51" s="196"/>
      <c r="ED51" s="196"/>
      <c r="EE51" s="196"/>
      <c r="EF51" s="196"/>
      <c r="EG51" s="196"/>
      <c r="EH51" s="196"/>
      <c r="EI51" s="196"/>
      <c r="EJ51" s="196"/>
      <c r="EK51" s="196"/>
      <c r="EL51" s="196"/>
      <c r="EM51" s="196"/>
      <c r="EN51" s="196"/>
      <c r="EO51" s="196"/>
      <c r="EP51" s="196"/>
      <c r="EQ51" s="196"/>
      <c r="ER51" s="196"/>
      <c r="ES51" s="196"/>
      <c r="ET51" s="196"/>
      <c r="EU51" s="196"/>
      <c r="EV51" s="196"/>
      <c r="EW51" s="196"/>
      <c r="EX51" s="196"/>
      <c r="EY51" s="196"/>
      <c r="EZ51" s="196"/>
      <c r="FA51" s="196"/>
      <c r="FB51" s="196"/>
      <c r="FC51" s="196"/>
      <c r="FD51" s="196"/>
      <c r="FE51" s="196"/>
      <c r="FF51" s="196"/>
      <c r="FG51" s="196"/>
      <c r="FH51" s="196"/>
      <c r="FI51" s="196"/>
      <c r="FJ51" s="196"/>
      <c r="FK51" s="196"/>
      <c r="FL51" s="196"/>
      <c r="FM51" s="196"/>
      <c r="FN51" s="196"/>
      <c r="FO51" s="196"/>
      <c r="FP51" s="196"/>
      <c r="FQ51" s="196"/>
      <c r="FR51" s="196"/>
      <c r="FS51" s="196"/>
      <c r="FT51" s="196"/>
      <c r="FU51" s="196"/>
      <c r="FV51" s="196"/>
      <c r="FW51" s="196"/>
      <c r="FX51" s="196"/>
      <c r="FY51" s="196"/>
      <c r="FZ51" s="196"/>
      <c r="GA51" s="196"/>
      <c r="GB51" s="196"/>
      <c r="GC51" s="196"/>
      <c r="GD51" s="196"/>
      <c r="GE51" s="196"/>
      <c r="GF51" s="196"/>
      <c r="GG51" s="196"/>
      <c r="GH51" s="196"/>
      <c r="GI51" s="196"/>
      <c r="GJ51" s="196"/>
      <c r="GK51" s="196"/>
      <c r="GL51" s="196"/>
      <c r="GM51" s="196"/>
      <c r="GN51" s="196"/>
      <c r="GO51" s="196"/>
      <c r="GP51" s="196"/>
      <c r="GQ51" s="196"/>
      <c r="GR51" s="196"/>
      <c r="GS51" s="196"/>
      <c r="GT51" s="196"/>
      <c r="GU51" s="196"/>
      <c r="GV51" s="196"/>
      <c r="GW51" s="196"/>
      <c r="GX51" s="196"/>
      <c r="GY51" s="196"/>
      <c r="GZ51" s="196"/>
      <c r="HA51" s="196"/>
      <c r="HB51" s="196"/>
      <c r="HC51" s="196"/>
      <c r="HD51" s="196"/>
      <c r="HE51" s="196"/>
      <c r="HF51" s="196"/>
      <c r="HG51" s="196"/>
      <c r="HH51" s="196"/>
      <c r="HI51" s="196"/>
      <c r="HJ51" s="196"/>
      <c r="HK51" s="196"/>
      <c r="HL51" s="196"/>
      <c r="HM51" s="196"/>
      <c r="HN51" s="196"/>
      <c r="HO51" s="196"/>
      <c r="HP51" s="196"/>
      <c r="HQ51" s="196"/>
      <c r="HR51" s="196"/>
      <c r="HS51" s="196"/>
      <c r="HT51" s="196"/>
      <c r="HU51" s="196"/>
      <c r="HV51" s="196"/>
      <c r="HW51" s="196"/>
      <c r="HX51" s="196"/>
      <c r="HY51" s="196"/>
      <c r="HZ51" s="196"/>
      <c r="IA51" s="196"/>
      <c r="IB51" s="196"/>
      <c r="IC51" s="196"/>
      <c r="ID51" s="196"/>
      <c r="IE51" s="196"/>
      <c r="IF51" s="196"/>
      <c r="IG51" s="196"/>
      <c r="IH51" s="196"/>
      <c r="II51" s="196"/>
      <c r="IJ51" s="196"/>
      <c r="IK51" s="196"/>
      <c r="IL51" s="196"/>
      <c r="IM51" s="196"/>
      <c r="IN51" s="196"/>
      <c r="IO51" s="196"/>
      <c r="IP51" s="196"/>
      <c r="IQ51" s="196"/>
      <c r="IR51" s="196"/>
    </row>
    <row r="52" spans="1:252" ht="15.6">
      <c r="A52" s="196"/>
      <c r="B52" s="196"/>
      <c r="C52" s="587"/>
      <c r="D52" s="584"/>
      <c r="E52" s="584"/>
      <c r="F52" s="584"/>
      <c r="G52" s="584"/>
      <c r="H52" s="584"/>
      <c r="I52" s="584"/>
      <c r="J52" s="584"/>
      <c r="K52" s="584"/>
      <c r="L52" s="584"/>
      <c r="M52" s="584"/>
      <c r="N52" s="584"/>
      <c r="O52" s="584"/>
      <c r="P52" s="584"/>
      <c r="Q52" s="584"/>
      <c r="R52" s="579"/>
      <c r="S52" s="579"/>
      <c r="T52" s="579"/>
      <c r="U52" s="579"/>
      <c r="V52" s="579"/>
      <c r="W52" s="579"/>
      <c r="X52" s="579"/>
      <c r="Y52" s="579"/>
      <c r="Z52" s="579"/>
      <c r="AA52" s="579"/>
      <c r="AB52" s="579"/>
      <c r="AC52" s="579"/>
      <c r="AD52" s="579"/>
      <c r="AE52" s="579"/>
      <c r="AF52" s="579"/>
      <c r="AG52" s="579"/>
      <c r="AH52" s="579"/>
      <c r="AI52" s="579"/>
      <c r="AJ52" s="579"/>
      <c r="AK52" s="579"/>
      <c r="AL52" s="579"/>
      <c r="AM52" s="579"/>
      <c r="AN52" s="579"/>
      <c r="AO52" s="579"/>
      <c r="AP52" s="584"/>
      <c r="AQ52" s="584"/>
      <c r="AR52" s="584"/>
      <c r="AS52" s="584"/>
      <c r="AT52" s="584"/>
      <c r="AU52" s="584"/>
      <c r="AV52" s="584"/>
      <c r="AW52" s="584"/>
      <c r="AX52" s="584"/>
      <c r="AY52" s="584"/>
      <c r="AZ52" s="196"/>
      <c r="BA52" s="196"/>
      <c r="BB52" s="196"/>
      <c r="BC52" s="196"/>
      <c r="BD52" s="196"/>
      <c r="BE52" s="196"/>
      <c r="BF52" s="196"/>
      <c r="BG52" s="196"/>
      <c r="BH52" s="196"/>
      <c r="BI52" s="196"/>
      <c r="BJ52" s="196"/>
      <c r="BK52" s="196"/>
      <c r="BL52" s="196"/>
      <c r="BM52" s="196"/>
      <c r="BN52" s="196"/>
      <c r="BO52" s="196"/>
      <c r="BP52" s="196"/>
      <c r="BQ52" s="196"/>
      <c r="BR52" s="196"/>
      <c r="BS52" s="196"/>
      <c r="BT52" s="196"/>
      <c r="BU52" s="196"/>
      <c r="BV52" s="196"/>
      <c r="BW52" s="196"/>
      <c r="BX52" s="196"/>
      <c r="BY52" s="196"/>
      <c r="BZ52" s="196"/>
      <c r="CA52" s="196"/>
      <c r="CB52" s="196"/>
      <c r="CC52" s="196"/>
      <c r="CD52" s="196"/>
      <c r="CE52" s="196"/>
      <c r="CF52" s="196"/>
      <c r="CG52" s="196"/>
      <c r="CH52" s="196"/>
      <c r="CI52" s="196"/>
      <c r="CJ52" s="196"/>
      <c r="CK52" s="196"/>
      <c r="CL52" s="196"/>
      <c r="CM52" s="196"/>
      <c r="CN52" s="196"/>
      <c r="CO52" s="196"/>
      <c r="CP52" s="196"/>
      <c r="CQ52" s="196"/>
      <c r="CR52" s="196"/>
      <c r="CS52" s="196"/>
      <c r="CT52" s="196"/>
      <c r="CU52" s="196"/>
      <c r="CV52" s="196"/>
      <c r="CW52" s="196"/>
      <c r="CX52" s="196"/>
      <c r="CY52" s="196"/>
      <c r="CZ52" s="196"/>
      <c r="DA52" s="196"/>
      <c r="DB52" s="196"/>
      <c r="DC52" s="196"/>
      <c r="DD52" s="196"/>
      <c r="DE52" s="196"/>
      <c r="DF52" s="196"/>
      <c r="DG52" s="196"/>
      <c r="DH52" s="196"/>
      <c r="DI52" s="196"/>
      <c r="DJ52" s="196"/>
      <c r="DK52" s="196"/>
      <c r="DL52" s="196"/>
      <c r="DM52" s="196"/>
      <c r="DN52" s="196"/>
      <c r="DO52" s="196"/>
      <c r="DP52" s="196"/>
      <c r="DQ52" s="196"/>
      <c r="DR52" s="196"/>
      <c r="DS52" s="196"/>
      <c r="DT52" s="196"/>
      <c r="DU52" s="196"/>
      <c r="DV52" s="196"/>
      <c r="DW52" s="196"/>
      <c r="DX52" s="196"/>
      <c r="DY52" s="196"/>
      <c r="DZ52" s="196"/>
      <c r="EA52" s="196"/>
      <c r="EB52" s="196"/>
      <c r="EC52" s="196"/>
      <c r="ED52" s="196"/>
      <c r="EE52" s="196"/>
      <c r="EF52" s="196"/>
      <c r="EG52" s="196"/>
      <c r="EH52" s="196"/>
      <c r="EI52" s="196"/>
      <c r="EJ52" s="196"/>
      <c r="EK52" s="196"/>
      <c r="EL52" s="196"/>
      <c r="EM52" s="196"/>
      <c r="EN52" s="196"/>
      <c r="EO52" s="196"/>
      <c r="EP52" s="196"/>
      <c r="EQ52" s="196"/>
      <c r="ER52" s="196"/>
      <c r="ES52" s="196"/>
      <c r="ET52" s="196"/>
      <c r="EU52" s="196"/>
      <c r="EV52" s="196"/>
      <c r="EW52" s="196"/>
      <c r="EX52" s="196"/>
      <c r="EY52" s="196"/>
      <c r="EZ52" s="196"/>
      <c r="FA52" s="196"/>
      <c r="FB52" s="196"/>
      <c r="FC52" s="196"/>
      <c r="FD52" s="196"/>
      <c r="FE52" s="196"/>
      <c r="FF52" s="196"/>
      <c r="FG52" s="196"/>
      <c r="FH52" s="196"/>
      <c r="FI52" s="196"/>
      <c r="FJ52" s="196"/>
      <c r="FK52" s="196"/>
      <c r="FL52" s="196"/>
      <c r="FM52" s="196"/>
      <c r="FN52" s="196"/>
      <c r="FO52" s="196"/>
      <c r="FP52" s="196"/>
      <c r="FQ52" s="196"/>
      <c r="FR52" s="196"/>
      <c r="FS52" s="196"/>
      <c r="FT52" s="196"/>
      <c r="FU52" s="196"/>
      <c r="FV52" s="196"/>
      <c r="FW52" s="196"/>
      <c r="FX52" s="196"/>
      <c r="FY52" s="196"/>
      <c r="FZ52" s="196"/>
      <c r="GA52" s="196"/>
      <c r="GB52" s="196"/>
      <c r="GC52" s="196"/>
      <c r="GD52" s="196"/>
      <c r="GE52" s="196"/>
      <c r="GF52" s="196"/>
      <c r="GG52" s="196"/>
      <c r="GH52" s="196"/>
      <c r="GI52" s="196"/>
      <c r="GJ52" s="196"/>
      <c r="GK52" s="196"/>
      <c r="GL52" s="196"/>
      <c r="GM52" s="196"/>
      <c r="GN52" s="196"/>
      <c r="GO52" s="196"/>
      <c r="GP52" s="196"/>
      <c r="GQ52" s="196"/>
      <c r="GR52" s="196"/>
      <c r="GS52" s="196"/>
      <c r="GT52" s="196"/>
      <c r="GU52" s="196"/>
      <c r="GV52" s="196"/>
      <c r="GW52" s="196"/>
      <c r="GX52" s="196"/>
      <c r="GY52" s="196"/>
      <c r="GZ52" s="196"/>
      <c r="HA52" s="196"/>
      <c r="HB52" s="196"/>
      <c r="HC52" s="196"/>
      <c r="HD52" s="196"/>
      <c r="HE52" s="196"/>
      <c r="HF52" s="196"/>
      <c r="HG52" s="196"/>
      <c r="HH52" s="196"/>
      <c r="HI52" s="196"/>
      <c r="HJ52" s="196"/>
      <c r="HK52" s="196"/>
      <c r="HL52" s="196"/>
      <c r="HM52" s="196"/>
      <c r="HN52" s="196"/>
      <c r="HO52" s="196"/>
      <c r="HP52" s="196"/>
      <c r="HQ52" s="196"/>
      <c r="HR52" s="196"/>
      <c r="HS52" s="196"/>
      <c r="HT52" s="196"/>
      <c r="HU52" s="196"/>
      <c r="HV52" s="196"/>
      <c r="HW52" s="196"/>
      <c r="HX52" s="196"/>
      <c r="HY52" s="196"/>
      <c r="HZ52" s="196"/>
      <c r="IA52" s="196"/>
      <c r="IB52" s="196"/>
      <c r="IC52" s="196"/>
      <c r="ID52" s="196"/>
      <c r="IE52" s="196"/>
      <c r="IF52" s="196"/>
      <c r="IG52" s="196"/>
      <c r="IH52" s="196"/>
      <c r="II52" s="196"/>
      <c r="IJ52" s="196"/>
      <c r="IK52" s="196"/>
      <c r="IL52" s="196"/>
      <c r="IM52" s="196"/>
      <c r="IN52" s="196"/>
      <c r="IO52" s="196"/>
      <c r="IP52" s="196"/>
      <c r="IQ52" s="196"/>
      <c r="IR52" s="196"/>
    </row>
    <row r="53" spans="1:252" ht="15.6">
      <c r="A53" s="196"/>
      <c r="B53" s="196"/>
      <c r="C53" s="587"/>
      <c r="D53" s="584"/>
      <c r="E53" s="584"/>
      <c r="F53" s="584"/>
      <c r="G53" s="584"/>
      <c r="H53" s="584"/>
      <c r="I53" s="584"/>
      <c r="J53" s="584"/>
      <c r="K53" s="584"/>
      <c r="L53" s="584"/>
      <c r="M53" s="584"/>
      <c r="N53" s="584"/>
      <c r="O53" s="584"/>
      <c r="P53" s="584"/>
      <c r="Q53" s="584"/>
      <c r="R53" s="579"/>
      <c r="S53" s="579"/>
      <c r="T53" s="579"/>
      <c r="U53" s="579"/>
      <c r="V53" s="579"/>
      <c r="W53" s="579"/>
      <c r="X53" s="579"/>
      <c r="Y53" s="579"/>
      <c r="Z53" s="579"/>
      <c r="AA53" s="579"/>
      <c r="AB53" s="579"/>
      <c r="AC53" s="579"/>
      <c r="AD53" s="579"/>
      <c r="AE53" s="579"/>
      <c r="AF53" s="579"/>
      <c r="AG53" s="579"/>
      <c r="AH53" s="579"/>
      <c r="AI53" s="579"/>
      <c r="AJ53" s="579"/>
      <c r="AK53" s="579"/>
      <c r="AL53" s="579"/>
      <c r="AM53" s="579"/>
      <c r="AN53" s="579"/>
      <c r="AO53" s="579"/>
      <c r="AP53" s="584"/>
      <c r="AQ53" s="584"/>
      <c r="AR53" s="584"/>
      <c r="AS53" s="584"/>
      <c r="AT53" s="584"/>
      <c r="AU53" s="584"/>
      <c r="AV53" s="584"/>
      <c r="AW53" s="584"/>
      <c r="AX53" s="584"/>
      <c r="AY53" s="584"/>
      <c r="AZ53" s="196"/>
      <c r="BA53" s="196"/>
      <c r="BB53" s="196"/>
      <c r="BC53" s="196"/>
      <c r="BD53" s="196"/>
      <c r="BE53" s="196"/>
      <c r="BF53" s="196"/>
      <c r="BG53" s="196"/>
      <c r="BH53" s="196"/>
      <c r="BI53" s="196"/>
      <c r="BJ53" s="196"/>
      <c r="BK53" s="196"/>
      <c r="BL53" s="196"/>
      <c r="BM53" s="196"/>
      <c r="BN53" s="196"/>
      <c r="BO53" s="196"/>
      <c r="BP53" s="196"/>
      <c r="BQ53" s="196"/>
      <c r="BR53" s="196"/>
      <c r="BS53" s="196"/>
      <c r="BT53" s="196"/>
      <c r="BU53" s="196"/>
      <c r="BV53" s="196"/>
      <c r="BW53" s="196"/>
      <c r="BX53" s="196"/>
      <c r="BY53" s="196"/>
      <c r="BZ53" s="196"/>
      <c r="CA53" s="196"/>
      <c r="CB53" s="196"/>
      <c r="CC53" s="196"/>
      <c r="CD53" s="196"/>
      <c r="CE53" s="196"/>
      <c r="CF53" s="196"/>
      <c r="CG53" s="196"/>
      <c r="CH53" s="196"/>
      <c r="CI53" s="196"/>
      <c r="CJ53" s="196"/>
      <c r="CK53" s="196"/>
      <c r="CL53" s="196"/>
      <c r="CM53" s="196"/>
      <c r="CN53" s="196"/>
      <c r="CO53" s="196"/>
      <c r="CP53" s="196"/>
      <c r="CQ53" s="196"/>
      <c r="CR53" s="196"/>
      <c r="CS53" s="196"/>
      <c r="CT53" s="196"/>
      <c r="CU53" s="196"/>
      <c r="CV53" s="196"/>
      <c r="CW53" s="196"/>
      <c r="CX53" s="196"/>
      <c r="CY53" s="196"/>
      <c r="CZ53" s="196"/>
      <c r="DA53" s="196"/>
      <c r="DB53" s="196"/>
      <c r="DC53" s="196"/>
      <c r="DD53" s="196"/>
      <c r="DE53" s="196"/>
      <c r="DF53" s="196"/>
      <c r="DG53" s="196"/>
      <c r="DH53" s="196"/>
      <c r="DI53" s="196"/>
      <c r="DJ53" s="196"/>
      <c r="DK53" s="196"/>
      <c r="DL53" s="196"/>
      <c r="DM53" s="196"/>
      <c r="DN53" s="196"/>
      <c r="DO53" s="196"/>
      <c r="DP53" s="196"/>
      <c r="DQ53" s="196"/>
      <c r="DR53" s="196"/>
      <c r="DS53" s="196"/>
      <c r="DT53" s="196"/>
      <c r="DU53" s="196"/>
      <c r="DV53" s="196"/>
      <c r="DW53" s="196"/>
      <c r="DX53" s="196"/>
      <c r="DY53" s="196"/>
      <c r="DZ53" s="196"/>
      <c r="EA53" s="196"/>
      <c r="EB53" s="196"/>
      <c r="EC53" s="196"/>
      <c r="ED53" s="196"/>
      <c r="EE53" s="196"/>
      <c r="EF53" s="196"/>
      <c r="EG53" s="196"/>
      <c r="EH53" s="196"/>
      <c r="EI53" s="196"/>
      <c r="EJ53" s="196"/>
      <c r="EK53" s="196"/>
      <c r="EL53" s="196"/>
      <c r="EM53" s="196"/>
      <c r="EN53" s="196"/>
      <c r="EO53" s="196"/>
      <c r="EP53" s="196"/>
      <c r="EQ53" s="196"/>
      <c r="ER53" s="196"/>
      <c r="ES53" s="196"/>
      <c r="ET53" s="196"/>
      <c r="EU53" s="196"/>
      <c r="EV53" s="196"/>
      <c r="EW53" s="196"/>
      <c r="EX53" s="196"/>
      <c r="EY53" s="196"/>
      <c r="EZ53" s="196"/>
      <c r="FA53" s="196"/>
      <c r="FB53" s="196"/>
      <c r="FC53" s="196"/>
      <c r="FD53" s="196"/>
      <c r="FE53" s="196"/>
      <c r="FF53" s="196"/>
      <c r="FG53" s="196"/>
      <c r="FH53" s="196"/>
      <c r="FI53" s="196"/>
      <c r="FJ53" s="196"/>
      <c r="FK53" s="196"/>
      <c r="FL53" s="196"/>
      <c r="FM53" s="196"/>
      <c r="FN53" s="196"/>
      <c r="FO53" s="196"/>
      <c r="FP53" s="196"/>
      <c r="FQ53" s="196"/>
      <c r="FR53" s="196"/>
      <c r="FS53" s="196"/>
      <c r="FT53" s="196"/>
      <c r="FU53" s="196"/>
      <c r="FV53" s="196"/>
      <c r="FW53" s="196"/>
      <c r="FX53" s="196"/>
      <c r="FY53" s="196"/>
      <c r="FZ53" s="196"/>
      <c r="GA53" s="196"/>
      <c r="GB53" s="196"/>
      <c r="GC53" s="196"/>
      <c r="GD53" s="196"/>
      <c r="GE53" s="196"/>
      <c r="GF53" s="196"/>
      <c r="GG53" s="196"/>
      <c r="GH53" s="196"/>
      <c r="GI53" s="196"/>
      <c r="GJ53" s="196"/>
      <c r="GK53" s="196"/>
      <c r="GL53" s="196"/>
      <c r="GM53" s="196"/>
      <c r="GN53" s="196"/>
      <c r="GO53" s="196"/>
      <c r="GP53" s="196"/>
      <c r="GQ53" s="196"/>
      <c r="GR53" s="196"/>
      <c r="GS53" s="196"/>
      <c r="GT53" s="196"/>
      <c r="GU53" s="196"/>
      <c r="GV53" s="196"/>
      <c r="GW53" s="196"/>
      <c r="GX53" s="196"/>
      <c r="GY53" s="196"/>
      <c r="GZ53" s="196"/>
      <c r="HA53" s="196"/>
      <c r="HB53" s="196"/>
      <c r="HC53" s="196"/>
      <c r="HD53" s="196"/>
      <c r="HE53" s="196"/>
      <c r="HF53" s="196"/>
      <c r="HG53" s="196"/>
      <c r="HH53" s="196"/>
      <c r="HI53" s="196"/>
      <c r="HJ53" s="196"/>
      <c r="HK53" s="196"/>
      <c r="HL53" s="196"/>
      <c r="HM53" s="196"/>
      <c r="HN53" s="196"/>
      <c r="HO53" s="196"/>
      <c r="HP53" s="196"/>
      <c r="HQ53" s="196"/>
      <c r="HR53" s="196"/>
      <c r="HS53" s="196"/>
      <c r="HT53" s="196"/>
      <c r="HU53" s="196"/>
      <c r="HV53" s="196"/>
      <c r="HW53" s="196"/>
      <c r="HX53" s="196"/>
      <c r="HY53" s="196"/>
      <c r="HZ53" s="196"/>
      <c r="IA53" s="196"/>
      <c r="IB53" s="196"/>
      <c r="IC53" s="196"/>
      <c r="ID53" s="196"/>
      <c r="IE53" s="196"/>
      <c r="IF53" s="196"/>
      <c r="IG53" s="196"/>
      <c r="IH53" s="196"/>
      <c r="II53" s="196"/>
      <c r="IJ53" s="196"/>
      <c r="IK53" s="196"/>
      <c r="IL53" s="196"/>
      <c r="IM53" s="196"/>
      <c r="IN53" s="196"/>
      <c r="IO53" s="196"/>
      <c r="IP53" s="196"/>
      <c r="IQ53" s="196"/>
      <c r="IR53" s="196"/>
    </row>
    <row r="54" spans="1:252" ht="15.6">
      <c r="A54" s="196"/>
      <c r="B54" s="196"/>
      <c r="C54" s="587"/>
      <c r="D54" s="584"/>
      <c r="E54" s="584"/>
      <c r="F54" s="584"/>
      <c r="G54" s="584"/>
      <c r="H54" s="584"/>
      <c r="I54" s="584"/>
      <c r="J54" s="584"/>
      <c r="K54" s="584"/>
      <c r="L54" s="584"/>
      <c r="M54" s="584"/>
      <c r="N54" s="584"/>
      <c r="O54" s="584"/>
      <c r="P54" s="584"/>
      <c r="Q54" s="584"/>
      <c r="R54" s="579"/>
      <c r="S54" s="579"/>
      <c r="T54" s="579"/>
      <c r="U54" s="579"/>
      <c r="V54" s="579"/>
      <c r="W54" s="579"/>
      <c r="X54" s="579"/>
      <c r="Y54" s="579"/>
      <c r="Z54" s="579"/>
      <c r="AA54" s="579"/>
      <c r="AB54" s="579"/>
      <c r="AC54" s="579"/>
      <c r="AD54" s="579"/>
      <c r="AE54" s="579"/>
      <c r="AF54" s="579"/>
      <c r="AG54" s="579"/>
      <c r="AH54" s="579"/>
      <c r="AI54" s="579"/>
      <c r="AJ54" s="579"/>
      <c r="AK54" s="579"/>
      <c r="AL54" s="579"/>
      <c r="AM54" s="579"/>
      <c r="AN54" s="579"/>
      <c r="AO54" s="579"/>
      <c r="AP54" s="584"/>
      <c r="AQ54" s="584"/>
      <c r="AR54" s="584"/>
      <c r="AS54" s="584"/>
      <c r="AT54" s="584"/>
      <c r="AU54" s="584"/>
      <c r="AV54" s="584"/>
      <c r="AW54" s="584"/>
      <c r="AX54" s="584"/>
      <c r="AY54" s="584"/>
      <c r="AZ54" s="196"/>
      <c r="BA54" s="196"/>
      <c r="BB54" s="196"/>
      <c r="BC54" s="196"/>
      <c r="BD54" s="196"/>
      <c r="BE54" s="196"/>
      <c r="BF54" s="196"/>
      <c r="BG54" s="196"/>
      <c r="BH54" s="196"/>
      <c r="BI54" s="196"/>
      <c r="BJ54" s="196"/>
      <c r="BK54" s="196"/>
      <c r="BL54" s="196"/>
      <c r="BM54" s="196"/>
      <c r="BN54" s="196"/>
      <c r="BO54" s="196"/>
      <c r="BP54" s="196"/>
      <c r="BQ54" s="196"/>
      <c r="BR54" s="196"/>
      <c r="BS54" s="196"/>
      <c r="BT54" s="196"/>
      <c r="BU54" s="196"/>
      <c r="BV54" s="196"/>
      <c r="BW54" s="196"/>
      <c r="BX54" s="196"/>
      <c r="BY54" s="196"/>
      <c r="BZ54" s="196"/>
      <c r="CA54" s="196"/>
      <c r="CB54" s="196"/>
      <c r="CC54" s="196"/>
      <c r="CD54" s="196"/>
      <c r="CE54" s="196"/>
      <c r="CF54" s="196"/>
      <c r="CG54" s="196"/>
      <c r="CH54" s="196"/>
      <c r="CI54" s="196"/>
      <c r="CJ54" s="196"/>
      <c r="CK54" s="196"/>
      <c r="CL54" s="196"/>
      <c r="CM54" s="196"/>
      <c r="CN54" s="196"/>
      <c r="CO54" s="196"/>
      <c r="CP54" s="196"/>
      <c r="CQ54" s="196"/>
      <c r="CR54" s="196"/>
      <c r="CS54" s="196"/>
      <c r="CT54" s="196"/>
      <c r="CU54" s="196"/>
      <c r="CV54" s="196"/>
      <c r="CW54" s="196"/>
      <c r="CX54" s="196"/>
      <c r="CY54" s="196"/>
      <c r="CZ54" s="196"/>
      <c r="DA54" s="196"/>
      <c r="DB54" s="196"/>
      <c r="DC54" s="196"/>
      <c r="DD54" s="196"/>
      <c r="DE54" s="196"/>
      <c r="DF54" s="196"/>
      <c r="DG54" s="196"/>
      <c r="DH54" s="196"/>
      <c r="DI54" s="196"/>
      <c r="DJ54" s="196"/>
      <c r="DK54" s="196"/>
      <c r="DL54" s="196"/>
      <c r="DM54" s="196"/>
      <c r="DN54" s="196"/>
      <c r="DO54" s="196"/>
      <c r="DP54" s="196"/>
      <c r="DQ54" s="196"/>
      <c r="DR54" s="196"/>
      <c r="DS54" s="196"/>
      <c r="DT54" s="196"/>
      <c r="DU54" s="196"/>
      <c r="DV54" s="196"/>
      <c r="DW54" s="196"/>
      <c r="DX54" s="196"/>
      <c r="DY54" s="196"/>
      <c r="DZ54" s="196"/>
      <c r="EA54" s="196"/>
      <c r="EB54" s="196"/>
      <c r="EC54" s="196"/>
      <c r="ED54" s="196"/>
      <c r="EE54" s="196"/>
      <c r="EF54" s="196"/>
      <c r="EG54" s="196"/>
      <c r="EH54" s="196"/>
      <c r="EI54" s="196"/>
      <c r="EJ54" s="196"/>
      <c r="EK54" s="196"/>
      <c r="EL54" s="196"/>
      <c r="EM54" s="196"/>
      <c r="EN54" s="196"/>
      <c r="EO54" s="196"/>
      <c r="EP54" s="196"/>
      <c r="EQ54" s="196"/>
      <c r="ER54" s="196"/>
      <c r="ES54" s="196"/>
      <c r="ET54" s="196"/>
      <c r="EU54" s="196"/>
      <c r="EV54" s="196"/>
      <c r="EW54" s="196"/>
      <c r="EX54" s="196"/>
      <c r="EY54" s="196"/>
      <c r="EZ54" s="196"/>
      <c r="FA54" s="196"/>
      <c r="FB54" s="196"/>
      <c r="FC54" s="196"/>
      <c r="FD54" s="196"/>
      <c r="FE54" s="196"/>
      <c r="FF54" s="196"/>
      <c r="FG54" s="196"/>
      <c r="FH54" s="196"/>
      <c r="FI54" s="196"/>
      <c r="FJ54" s="196"/>
      <c r="FK54" s="196"/>
      <c r="FL54" s="196"/>
      <c r="FM54" s="196"/>
      <c r="FN54" s="196"/>
      <c r="FO54" s="196"/>
      <c r="FP54" s="196"/>
      <c r="FQ54" s="196"/>
      <c r="FR54" s="196"/>
      <c r="FS54" s="196"/>
      <c r="FT54" s="196"/>
      <c r="FU54" s="196"/>
      <c r="FV54" s="196"/>
      <c r="FW54" s="196"/>
      <c r="FX54" s="196"/>
      <c r="FY54" s="196"/>
      <c r="FZ54" s="196"/>
      <c r="GA54" s="196"/>
      <c r="GB54" s="196"/>
      <c r="GC54" s="196"/>
      <c r="GD54" s="196"/>
      <c r="GE54" s="196"/>
      <c r="GF54" s="196"/>
      <c r="GG54" s="196"/>
      <c r="GH54" s="196"/>
      <c r="GI54" s="196"/>
      <c r="GJ54" s="196"/>
      <c r="GK54" s="196"/>
      <c r="GL54" s="196"/>
      <c r="GM54" s="196"/>
      <c r="GN54" s="196"/>
      <c r="GO54" s="196"/>
      <c r="GP54" s="196"/>
      <c r="GQ54" s="196"/>
      <c r="GR54" s="196"/>
      <c r="GS54" s="196"/>
      <c r="GT54" s="196"/>
      <c r="GU54" s="196"/>
      <c r="GV54" s="196"/>
      <c r="GW54" s="196"/>
      <c r="GX54" s="196"/>
      <c r="GY54" s="196"/>
      <c r="GZ54" s="196"/>
      <c r="HA54" s="196"/>
      <c r="HB54" s="196"/>
      <c r="HC54" s="196"/>
      <c r="HD54" s="196"/>
      <c r="HE54" s="196"/>
      <c r="HF54" s="196"/>
      <c r="HG54" s="196"/>
      <c r="HH54" s="196"/>
      <c r="HI54" s="196"/>
      <c r="HJ54" s="196"/>
      <c r="HK54" s="196"/>
      <c r="HL54" s="196"/>
      <c r="HM54" s="196"/>
      <c r="HN54" s="196"/>
      <c r="HO54" s="196"/>
      <c r="HP54" s="196"/>
      <c r="HQ54" s="196"/>
      <c r="HR54" s="196"/>
      <c r="HS54" s="196"/>
      <c r="HT54" s="196"/>
      <c r="HU54" s="196"/>
      <c r="HV54" s="196"/>
      <c r="HW54" s="196"/>
      <c r="HX54" s="196"/>
      <c r="HY54" s="196"/>
      <c r="HZ54" s="196"/>
      <c r="IA54" s="196"/>
      <c r="IB54" s="196"/>
      <c r="IC54" s="196"/>
      <c r="ID54" s="196"/>
      <c r="IE54" s="196"/>
      <c r="IF54" s="196"/>
      <c r="IG54" s="196"/>
      <c r="IH54" s="196"/>
      <c r="II54" s="196"/>
      <c r="IJ54" s="196"/>
      <c r="IK54" s="196"/>
      <c r="IL54" s="196"/>
      <c r="IM54" s="196"/>
      <c r="IN54" s="196"/>
      <c r="IO54" s="196"/>
      <c r="IP54" s="196"/>
      <c r="IQ54" s="196"/>
      <c r="IR54" s="196"/>
    </row>
    <row r="55" spans="1:252" ht="15.6">
      <c r="A55" s="196"/>
      <c r="B55" s="196"/>
      <c r="C55" s="587"/>
      <c r="D55" s="584"/>
      <c r="E55" s="584"/>
      <c r="F55" s="584"/>
      <c r="G55" s="584"/>
      <c r="H55" s="584"/>
      <c r="I55" s="584"/>
      <c r="J55" s="584"/>
      <c r="K55" s="584"/>
      <c r="L55" s="584"/>
      <c r="M55" s="584"/>
      <c r="N55" s="584"/>
      <c r="O55" s="584"/>
      <c r="P55" s="584"/>
      <c r="Q55" s="584"/>
      <c r="R55" s="579"/>
      <c r="S55" s="579"/>
      <c r="T55" s="579"/>
      <c r="U55" s="579"/>
      <c r="V55" s="579"/>
      <c r="W55" s="579"/>
      <c r="X55" s="579"/>
      <c r="Y55" s="579"/>
      <c r="Z55" s="579"/>
      <c r="AA55" s="579"/>
      <c r="AB55" s="579"/>
      <c r="AC55" s="579"/>
      <c r="AD55" s="579"/>
      <c r="AE55" s="579"/>
      <c r="AF55" s="579"/>
      <c r="AG55" s="579"/>
      <c r="AH55" s="579"/>
      <c r="AI55" s="579"/>
      <c r="AJ55" s="579"/>
      <c r="AK55" s="579"/>
      <c r="AL55" s="579"/>
      <c r="AM55" s="579"/>
      <c r="AN55" s="579"/>
      <c r="AO55" s="579"/>
      <c r="AP55" s="584"/>
      <c r="AQ55" s="584"/>
      <c r="AR55" s="584"/>
      <c r="AS55" s="584"/>
      <c r="AT55" s="584"/>
      <c r="AU55" s="584"/>
      <c r="AV55" s="584"/>
      <c r="AW55" s="584"/>
      <c r="AX55" s="584"/>
      <c r="AY55" s="584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  <c r="BJ55" s="196"/>
      <c r="BK55" s="196"/>
      <c r="BL55" s="196"/>
      <c r="BM55" s="196"/>
      <c r="BN55" s="196"/>
      <c r="BO55" s="196"/>
      <c r="BP55" s="196"/>
      <c r="BQ55" s="196"/>
      <c r="BR55" s="196"/>
      <c r="BS55" s="196"/>
      <c r="BT55" s="196"/>
      <c r="BU55" s="196"/>
      <c r="BV55" s="196"/>
      <c r="BW55" s="196"/>
      <c r="BX55" s="196"/>
      <c r="BY55" s="196"/>
      <c r="BZ55" s="196"/>
      <c r="CA55" s="196"/>
      <c r="CB55" s="196"/>
      <c r="CC55" s="196"/>
      <c r="CD55" s="196"/>
      <c r="CE55" s="196"/>
      <c r="CF55" s="196"/>
      <c r="CG55" s="196"/>
      <c r="CH55" s="196"/>
      <c r="CI55" s="196"/>
      <c r="CJ55" s="196"/>
      <c r="CK55" s="196"/>
      <c r="CL55" s="196"/>
      <c r="CM55" s="196"/>
      <c r="CN55" s="196"/>
      <c r="CO55" s="196"/>
      <c r="CP55" s="196"/>
      <c r="CQ55" s="196"/>
      <c r="CR55" s="196"/>
      <c r="CS55" s="196"/>
      <c r="CT55" s="196"/>
      <c r="CU55" s="196"/>
      <c r="CV55" s="196"/>
      <c r="CW55" s="196"/>
      <c r="CX55" s="196"/>
      <c r="CY55" s="196"/>
      <c r="CZ55" s="196"/>
      <c r="DA55" s="196"/>
      <c r="DB55" s="196"/>
      <c r="DC55" s="196"/>
      <c r="DD55" s="196"/>
      <c r="DE55" s="196"/>
      <c r="DF55" s="196"/>
      <c r="DG55" s="196"/>
      <c r="DH55" s="196"/>
      <c r="DI55" s="196"/>
      <c r="DJ55" s="196"/>
      <c r="DK55" s="196"/>
      <c r="DL55" s="196"/>
      <c r="DM55" s="196"/>
      <c r="DN55" s="196"/>
      <c r="DO55" s="196"/>
      <c r="DP55" s="196"/>
      <c r="DQ55" s="196"/>
      <c r="DR55" s="196"/>
      <c r="DS55" s="196"/>
      <c r="DT55" s="196"/>
      <c r="DU55" s="196"/>
      <c r="DV55" s="196"/>
      <c r="DW55" s="196"/>
      <c r="DX55" s="196"/>
      <c r="DY55" s="196"/>
      <c r="DZ55" s="196"/>
      <c r="EA55" s="196"/>
      <c r="EB55" s="196"/>
      <c r="EC55" s="196"/>
      <c r="ED55" s="196"/>
      <c r="EE55" s="196"/>
      <c r="EF55" s="196"/>
      <c r="EG55" s="196"/>
      <c r="EH55" s="196"/>
      <c r="EI55" s="196"/>
      <c r="EJ55" s="196"/>
      <c r="EK55" s="196"/>
      <c r="EL55" s="196"/>
      <c r="EM55" s="196"/>
      <c r="EN55" s="196"/>
      <c r="EO55" s="196"/>
      <c r="EP55" s="196"/>
      <c r="EQ55" s="196"/>
      <c r="ER55" s="196"/>
      <c r="ES55" s="196"/>
      <c r="ET55" s="196"/>
      <c r="EU55" s="196"/>
      <c r="EV55" s="196"/>
      <c r="EW55" s="196"/>
      <c r="EX55" s="196"/>
      <c r="EY55" s="196"/>
      <c r="EZ55" s="196"/>
      <c r="FA55" s="196"/>
      <c r="FB55" s="196"/>
      <c r="FC55" s="196"/>
      <c r="FD55" s="196"/>
      <c r="FE55" s="196"/>
      <c r="FF55" s="196"/>
      <c r="FG55" s="196"/>
      <c r="FH55" s="196"/>
      <c r="FI55" s="196"/>
      <c r="FJ55" s="196"/>
      <c r="FK55" s="196"/>
      <c r="FL55" s="196"/>
      <c r="FM55" s="196"/>
      <c r="FN55" s="196"/>
      <c r="FO55" s="196"/>
      <c r="FP55" s="196"/>
      <c r="FQ55" s="196"/>
      <c r="FR55" s="196"/>
      <c r="FS55" s="196"/>
      <c r="FT55" s="196"/>
      <c r="FU55" s="196"/>
      <c r="FV55" s="196"/>
      <c r="FW55" s="196"/>
      <c r="FX55" s="196"/>
      <c r="FY55" s="196"/>
      <c r="FZ55" s="196"/>
      <c r="GA55" s="196"/>
      <c r="GB55" s="196"/>
      <c r="GC55" s="196"/>
      <c r="GD55" s="196"/>
      <c r="GE55" s="196"/>
      <c r="GF55" s="196"/>
      <c r="GG55" s="196"/>
      <c r="GH55" s="196"/>
      <c r="GI55" s="196"/>
      <c r="GJ55" s="196"/>
      <c r="GK55" s="196"/>
      <c r="GL55" s="196"/>
      <c r="GM55" s="196"/>
      <c r="GN55" s="196"/>
      <c r="GO55" s="196"/>
      <c r="GP55" s="196"/>
      <c r="GQ55" s="196"/>
      <c r="GR55" s="196"/>
      <c r="GS55" s="196"/>
      <c r="GT55" s="196"/>
      <c r="GU55" s="196"/>
      <c r="GV55" s="196"/>
      <c r="GW55" s="196"/>
      <c r="GX55" s="196"/>
      <c r="GY55" s="196"/>
      <c r="GZ55" s="196"/>
      <c r="HA55" s="196"/>
      <c r="HB55" s="196"/>
      <c r="HC55" s="196"/>
      <c r="HD55" s="196"/>
      <c r="HE55" s="196"/>
      <c r="HF55" s="196"/>
      <c r="HG55" s="196"/>
      <c r="HH55" s="196"/>
      <c r="HI55" s="196"/>
      <c r="HJ55" s="196"/>
      <c r="HK55" s="196"/>
      <c r="HL55" s="196"/>
      <c r="HM55" s="196"/>
      <c r="HN55" s="196"/>
      <c r="HO55" s="196"/>
      <c r="HP55" s="196"/>
      <c r="HQ55" s="196"/>
      <c r="HR55" s="196"/>
      <c r="HS55" s="196"/>
      <c r="HT55" s="196"/>
      <c r="HU55" s="196"/>
      <c r="HV55" s="196"/>
      <c r="HW55" s="196"/>
      <c r="HX55" s="196"/>
      <c r="HY55" s="196"/>
      <c r="HZ55" s="196"/>
      <c r="IA55" s="196"/>
      <c r="IB55" s="196"/>
      <c r="IC55" s="196"/>
      <c r="ID55" s="196"/>
      <c r="IE55" s="196"/>
      <c r="IF55" s="196"/>
      <c r="IG55" s="196"/>
      <c r="IH55" s="196"/>
      <c r="II55" s="196"/>
      <c r="IJ55" s="196"/>
      <c r="IK55" s="196"/>
      <c r="IL55" s="196"/>
      <c r="IM55" s="196"/>
      <c r="IN55" s="196"/>
      <c r="IO55" s="196"/>
      <c r="IP55" s="196"/>
      <c r="IQ55" s="196"/>
      <c r="IR55" s="196"/>
    </row>
    <row r="56" spans="1:252" ht="15.6">
      <c r="A56" s="196"/>
      <c r="B56" s="196"/>
      <c r="C56" s="587"/>
      <c r="D56" s="584"/>
      <c r="E56" s="584"/>
      <c r="F56" s="584"/>
      <c r="G56" s="584"/>
      <c r="H56" s="584"/>
      <c r="I56" s="584"/>
      <c r="J56" s="584"/>
      <c r="K56" s="584"/>
      <c r="L56" s="584"/>
      <c r="M56" s="584"/>
      <c r="N56" s="584"/>
      <c r="O56" s="584"/>
      <c r="P56" s="584"/>
      <c r="Q56" s="584"/>
      <c r="R56" s="579"/>
      <c r="S56" s="579"/>
      <c r="T56" s="579"/>
      <c r="U56" s="579"/>
      <c r="V56" s="579"/>
      <c r="W56" s="579"/>
      <c r="X56" s="579"/>
      <c r="Y56" s="579"/>
      <c r="Z56" s="579"/>
      <c r="AA56" s="579"/>
      <c r="AB56" s="579"/>
      <c r="AC56" s="579"/>
      <c r="AD56" s="579"/>
      <c r="AE56" s="579"/>
      <c r="AF56" s="579"/>
      <c r="AG56" s="579"/>
      <c r="AH56" s="579"/>
      <c r="AI56" s="579"/>
      <c r="AJ56" s="579"/>
      <c r="AK56" s="579"/>
      <c r="AL56" s="579"/>
      <c r="AM56" s="579"/>
      <c r="AN56" s="579"/>
      <c r="AO56" s="579"/>
      <c r="AP56" s="584"/>
      <c r="AQ56" s="584"/>
      <c r="AR56" s="584"/>
      <c r="AS56" s="584"/>
      <c r="AT56" s="584"/>
      <c r="AU56" s="584"/>
      <c r="AV56" s="584"/>
      <c r="AW56" s="584"/>
      <c r="AX56" s="584"/>
      <c r="AY56" s="584"/>
      <c r="AZ56" s="196"/>
      <c r="BA56" s="196"/>
      <c r="BB56" s="196"/>
      <c r="BC56" s="196"/>
      <c r="BD56" s="196"/>
      <c r="BE56" s="196"/>
      <c r="BF56" s="196"/>
      <c r="BG56" s="196"/>
      <c r="BH56" s="196"/>
      <c r="BI56" s="196"/>
      <c r="BJ56" s="196"/>
      <c r="BK56" s="196"/>
      <c r="BL56" s="196"/>
      <c r="BM56" s="196"/>
      <c r="BN56" s="196"/>
      <c r="BO56" s="196"/>
      <c r="BP56" s="196"/>
      <c r="BQ56" s="196"/>
      <c r="BR56" s="196"/>
      <c r="BS56" s="196"/>
      <c r="BT56" s="196"/>
      <c r="BU56" s="196"/>
      <c r="BV56" s="196"/>
      <c r="BW56" s="196"/>
      <c r="BX56" s="196"/>
      <c r="BY56" s="196"/>
      <c r="BZ56" s="196"/>
      <c r="CA56" s="196"/>
      <c r="CB56" s="196"/>
      <c r="CC56" s="196"/>
      <c r="CD56" s="196"/>
      <c r="CE56" s="196"/>
      <c r="CF56" s="196"/>
      <c r="CG56" s="196"/>
      <c r="CH56" s="196"/>
      <c r="CI56" s="196"/>
      <c r="CJ56" s="196"/>
      <c r="CK56" s="196"/>
      <c r="CL56" s="196"/>
      <c r="CM56" s="196"/>
      <c r="CN56" s="196"/>
      <c r="CO56" s="196"/>
      <c r="CP56" s="196"/>
      <c r="CQ56" s="196"/>
      <c r="CR56" s="196"/>
      <c r="CS56" s="196"/>
      <c r="CT56" s="196"/>
      <c r="CU56" s="196"/>
      <c r="CV56" s="196"/>
      <c r="CW56" s="196"/>
      <c r="CX56" s="196"/>
      <c r="CY56" s="196"/>
      <c r="CZ56" s="196"/>
      <c r="DA56" s="196"/>
      <c r="DB56" s="196"/>
      <c r="DC56" s="196"/>
      <c r="DD56" s="196"/>
      <c r="DE56" s="196"/>
      <c r="DF56" s="196"/>
      <c r="DG56" s="196"/>
      <c r="DH56" s="196"/>
      <c r="DI56" s="196"/>
      <c r="DJ56" s="196"/>
      <c r="DK56" s="196"/>
      <c r="DL56" s="196"/>
      <c r="DM56" s="196"/>
      <c r="DN56" s="196"/>
      <c r="DO56" s="196"/>
      <c r="DP56" s="196"/>
      <c r="DQ56" s="196"/>
      <c r="DR56" s="196"/>
      <c r="DS56" s="196"/>
      <c r="DT56" s="196"/>
      <c r="DU56" s="196"/>
      <c r="DV56" s="196"/>
      <c r="DW56" s="196"/>
      <c r="DX56" s="196"/>
      <c r="DY56" s="196"/>
      <c r="DZ56" s="196"/>
      <c r="EA56" s="196"/>
      <c r="EB56" s="196"/>
      <c r="EC56" s="196"/>
      <c r="ED56" s="196"/>
      <c r="EE56" s="196"/>
      <c r="EF56" s="196"/>
      <c r="EG56" s="196"/>
      <c r="EH56" s="196"/>
      <c r="EI56" s="196"/>
      <c r="EJ56" s="196"/>
      <c r="EK56" s="196"/>
      <c r="EL56" s="196"/>
      <c r="EM56" s="196"/>
      <c r="EN56" s="196"/>
      <c r="EO56" s="196"/>
      <c r="EP56" s="196"/>
      <c r="EQ56" s="196"/>
      <c r="ER56" s="196"/>
      <c r="ES56" s="196"/>
      <c r="ET56" s="196"/>
      <c r="EU56" s="196"/>
      <c r="EV56" s="196"/>
      <c r="EW56" s="196"/>
      <c r="EX56" s="196"/>
      <c r="EY56" s="196"/>
      <c r="EZ56" s="196"/>
      <c r="FA56" s="196"/>
      <c r="FB56" s="196"/>
      <c r="FC56" s="196"/>
      <c r="FD56" s="196"/>
      <c r="FE56" s="196"/>
      <c r="FF56" s="196"/>
      <c r="FG56" s="196"/>
      <c r="FH56" s="196"/>
      <c r="FI56" s="196"/>
      <c r="FJ56" s="196"/>
      <c r="FK56" s="196"/>
      <c r="FL56" s="196"/>
      <c r="FM56" s="196"/>
      <c r="FN56" s="196"/>
      <c r="FO56" s="196"/>
      <c r="FP56" s="196"/>
      <c r="FQ56" s="196"/>
      <c r="FR56" s="196"/>
      <c r="FS56" s="196"/>
      <c r="FT56" s="196"/>
      <c r="FU56" s="196"/>
      <c r="FV56" s="196"/>
      <c r="FW56" s="196"/>
      <c r="FX56" s="196"/>
      <c r="FY56" s="196"/>
      <c r="FZ56" s="196"/>
      <c r="GA56" s="196"/>
      <c r="GB56" s="196"/>
      <c r="GC56" s="196"/>
      <c r="GD56" s="196"/>
      <c r="GE56" s="196"/>
      <c r="GF56" s="196"/>
      <c r="GG56" s="196"/>
      <c r="GH56" s="196"/>
      <c r="GI56" s="196"/>
      <c r="GJ56" s="196"/>
      <c r="GK56" s="196"/>
      <c r="GL56" s="196"/>
      <c r="GM56" s="196"/>
      <c r="GN56" s="196"/>
      <c r="GO56" s="196"/>
      <c r="GP56" s="196"/>
      <c r="GQ56" s="196"/>
      <c r="GR56" s="196"/>
      <c r="GS56" s="196"/>
      <c r="GT56" s="196"/>
      <c r="GU56" s="196"/>
      <c r="GV56" s="196"/>
      <c r="GW56" s="196"/>
      <c r="GX56" s="196"/>
      <c r="GY56" s="196"/>
      <c r="GZ56" s="196"/>
      <c r="HA56" s="196"/>
      <c r="HB56" s="196"/>
      <c r="HC56" s="196"/>
      <c r="HD56" s="196"/>
      <c r="HE56" s="196"/>
      <c r="HF56" s="196"/>
      <c r="HG56" s="196"/>
      <c r="HH56" s="196"/>
      <c r="HI56" s="196"/>
      <c r="HJ56" s="196"/>
      <c r="HK56" s="196"/>
      <c r="HL56" s="196"/>
      <c r="HM56" s="196"/>
      <c r="HN56" s="196"/>
      <c r="HO56" s="196"/>
      <c r="HP56" s="196"/>
      <c r="HQ56" s="196"/>
      <c r="HR56" s="196"/>
      <c r="HS56" s="196"/>
      <c r="HT56" s="196"/>
      <c r="HU56" s="196"/>
      <c r="HV56" s="196"/>
      <c r="HW56" s="196"/>
      <c r="HX56" s="196"/>
      <c r="HY56" s="196"/>
      <c r="HZ56" s="196"/>
      <c r="IA56" s="196"/>
      <c r="IB56" s="196"/>
      <c r="IC56" s="196"/>
      <c r="ID56" s="196"/>
      <c r="IE56" s="196"/>
      <c r="IF56" s="196"/>
      <c r="IG56" s="196"/>
      <c r="IH56" s="196"/>
      <c r="II56" s="196"/>
      <c r="IJ56" s="196"/>
      <c r="IK56" s="196"/>
      <c r="IL56" s="196"/>
      <c r="IM56" s="196"/>
      <c r="IN56" s="196"/>
      <c r="IO56" s="196"/>
      <c r="IP56" s="196"/>
      <c r="IQ56" s="196"/>
      <c r="IR56" s="196"/>
    </row>
    <row r="57" spans="1:252" ht="15.6">
      <c r="A57" s="196"/>
      <c r="B57" s="196"/>
      <c r="C57" s="587"/>
      <c r="D57" s="584"/>
      <c r="E57" s="584"/>
      <c r="F57" s="584"/>
      <c r="G57" s="584"/>
      <c r="H57" s="584"/>
      <c r="I57" s="584"/>
      <c r="J57" s="584"/>
      <c r="K57" s="584"/>
      <c r="L57" s="584"/>
      <c r="M57" s="584"/>
      <c r="N57" s="584"/>
      <c r="O57" s="584"/>
      <c r="P57" s="584"/>
      <c r="Q57" s="584"/>
      <c r="R57" s="579"/>
      <c r="S57" s="579"/>
      <c r="T57" s="579"/>
      <c r="U57" s="579"/>
      <c r="V57" s="579"/>
      <c r="W57" s="579"/>
      <c r="X57" s="579"/>
      <c r="Y57" s="579"/>
      <c r="Z57" s="579"/>
      <c r="AA57" s="579"/>
      <c r="AB57" s="579"/>
      <c r="AC57" s="579"/>
      <c r="AD57" s="579"/>
      <c r="AE57" s="579"/>
      <c r="AF57" s="579"/>
      <c r="AG57" s="579"/>
      <c r="AH57" s="579"/>
      <c r="AI57" s="579"/>
      <c r="AJ57" s="579"/>
      <c r="AK57" s="579"/>
      <c r="AL57" s="579"/>
      <c r="AM57" s="579"/>
      <c r="AN57" s="579"/>
      <c r="AO57" s="579"/>
      <c r="AP57" s="584"/>
      <c r="AQ57" s="584"/>
      <c r="AR57" s="584"/>
      <c r="AS57" s="584"/>
      <c r="AT57" s="584"/>
      <c r="AU57" s="584"/>
      <c r="AV57" s="584"/>
      <c r="AW57" s="584"/>
      <c r="AX57" s="584"/>
      <c r="AY57" s="584"/>
      <c r="AZ57" s="196"/>
      <c r="BA57" s="196"/>
      <c r="BB57" s="196"/>
      <c r="BC57" s="196"/>
      <c r="BD57" s="196"/>
      <c r="BE57" s="196"/>
      <c r="BF57" s="196"/>
      <c r="BG57" s="196"/>
      <c r="BH57" s="196"/>
      <c r="BI57" s="196"/>
      <c r="BJ57" s="196"/>
      <c r="BK57" s="196"/>
      <c r="BL57" s="196"/>
      <c r="BM57" s="196"/>
      <c r="BN57" s="196"/>
      <c r="BO57" s="196"/>
      <c r="BP57" s="196"/>
      <c r="BQ57" s="196"/>
      <c r="BR57" s="196"/>
      <c r="BS57" s="196"/>
      <c r="BT57" s="196"/>
      <c r="BU57" s="196"/>
      <c r="BV57" s="196"/>
      <c r="BW57" s="196"/>
      <c r="BX57" s="196"/>
      <c r="BY57" s="196"/>
      <c r="BZ57" s="196"/>
      <c r="CA57" s="196"/>
      <c r="CB57" s="196"/>
      <c r="CC57" s="196"/>
      <c r="CD57" s="196"/>
      <c r="CE57" s="196"/>
      <c r="CF57" s="196"/>
      <c r="CG57" s="196"/>
      <c r="CH57" s="196"/>
      <c r="CI57" s="196"/>
      <c r="CJ57" s="196"/>
      <c r="CK57" s="196"/>
      <c r="CL57" s="196"/>
      <c r="CM57" s="196"/>
      <c r="CN57" s="196"/>
      <c r="CO57" s="196"/>
      <c r="CP57" s="196"/>
      <c r="CQ57" s="196"/>
      <c r="CR57" s="196"/>
      <c r="CS57" s="196"/>
      <c r="CT57" s="196"/>
      <c r="CU57" s="196"/>
      <c r="CV57" s="196"/>
      <c r="CW57" s="196"/>
      <c r="CX57" s="196"/>
      <c r="CY57" s="196"/>
      <c r="CZ57" s="196"/>
      <c r="DA57" s="196"/>
      <c r="DB57" s="196"/>
      <c r="DC57" s="196"/>
      <c r="DD57" s="196"/>
      <c r="DE57" s="196"/>
      <c r="DF57" s="196"/>
      <c r="DG57" s="196"/>
      <c r="DH57" s="196"/>
      <c r="DI57" s="196"/>
      <c r="DJ57" s="196"/>
      <c r="DK57" s="196"/>
      <c r="DL57" s="196"/>
      <c r="DM57" s="196"/>
      <c r="DN57" s="196"/>
      <c r="DO57" s="196"/>
      <c r="DP57" s="196"/>
      <c r="DQ57" s="196"/>
      <c r="DR57" s="196"/>
      <c r="DS57" s="196"/>
      <c r="DT57" s="196"/>
      <c r="DU57" s="196"/>
      <c r="DV57" s="196"/>
      <c r="DW57" s="196"/>
      <c r="DX57" s="196"/>
      <c r="DY57" s="196"/>
      <c r="DZ57" s="196"/>
      <c r="EA57" s="196"/>
      <c r="EB57" s="196"/>
      <c r="EC57" s="196"/>
      <c r="ED57" s="196"/>
      <c r="EE57" s="196"/>
      <c r="EF57" s="196"/>
      <c r="EG57" s="196"/>
      <c r="EH57" s="196"/>
      <c r="EI57" s="196"/>
      <c r="EJ57" s="196"/>
      <c r="EK57" s="196"/>
      <c r="EL57" s="196"/>
      <c r="EM57" s="196"/>
      <c r="EN57" s="196"/>
      <c r="EO57" s="196"/>
      <c r="EP57" s="196"/>
      <c r="EQ57" s="196"/>
      <c r="ER57" s="196"/>
      <c r="ES57" s="196"/>
      <c r="ET57" s="196"/>
      <c r="EU57" s="196"/>
      <c r="EV57" s="196"/>
      <c r="EW57" s="196"/>
      <c r="EX57" s="196"/>
      <c r="EY57" s="196"/>
      <c r="EZ57" s="196"/>
      <c r="FA57" s="196"/>
      <c r="FB57" s="196"/>
      <c r="FC57" s="196"/>
      <c r="FD57" s="196"/>
      <c r="FE57" s="196"/>
      <c r="FF57" s="196"/>
      <c r="FG57" s="196"/>
      <c r="FH57" s="196"/>
      <c r="FI57" s="196"/>
      <c r="FJ57" s="196"/>
      <c r="FK57" s="196"/>
      <c r="FL57" s="196"/>
      <c r="FM57" s="196"/>
      <c r="FN57" s="196"/>
      <c r="FO57" s="196"/>
      <c r="FP57" s="196"/>
      <c r="FQ57" s="196"/>
      <c r="FR57" s="196"/>
      <c r="FS57" s="196"/>
      <c r="FT57" s="196"/>
      <c r="FU57" s="196"/>
      <c r="FV57" s="196"/>
      <c r="FW57" s="196"/>
      <c r="FX57" s="196"/>
      <c r="FY57" s="196"/>
      <c r="FZ57" s="196"/>
      <c r="GA57" s="196"/>
      <c r="GB57" s="196"/>
      <c r="GC57" s="196"/>
      <c r="GD57" s="196"/>
      <c r="GE57" s="196"/>
      <c r="GF57" s="196"/>
      <c r="GG57" s="196"/>
      <c r="GH57" s="196"/>
      <c r="GI57" s="196"/>
      <c r="GJ57" s="196"/>
      <c r="GK57" s="196"/>
      <c r="GL57" s="196"/>
      <c r="GM57" s="196"/>
      <c r="GN57" s="196"/>
      <c r="GO57" s="196"/>
      <c r="GP57" s="196"/>
      <c r="GQ57" s="196"/>
      <c r="GR57" s="196"/>
      <c r="GS57" s="196"/>
      <c r="GT57" s="196"/>
      <c r="GU57" s="196"/>
      <c r="GV57" s="196"/>
      <c r="GW57" s="196"/>
      <c r="GX57" s="196"/>
      <c r="GY57" s="196"/>
      <c r="GZ57" s="196"/>
      <c r="HA57" s="196"/>
      <c r="HB57" s="196"/>
      <c r="HC57" s="196"/>
      <c r="HD57" s="196"/>
      <c r="HE57" s="196"/>
      <c r="HF57" s="196"/>
      <c r="HG57" s="196"/>
      <c r="HH57" s="196"/>
      <c r="HI57" s="196"/>
      <c r="HJ57" s="196"/>
      <c r="HK57" s="196"/>
      <c r="HL57" s="196"/>
      <c r="HM57" s="196"/>
      <c r="HN57" s="196"/>
      <c r="HO57" s="196"/>
      <c r="HP57" s="196"/>
      <c r="HQ57" s="196"/>
      <c r="HR57" s="196"/>
      <c r="HS57" s="196"/>
      <c r="HT57" s="196"/>
      <c r="HU57" s="196"/>
      <c r="HV57" s="196"/>
      <c r="HW57" s="196"/>
      <c r="HX57" s="196"/>
      <c r="HY57" s="196"/>
      <c r="HZ57" s="196"/>
      <c r="IA57" s="196"/>
      <c r="IB57" s="196"/>
      <c r="IC57" s="196"/>
      <c r="ID57" s="196"/>
      <c r="IE57" s="196"/>
      <c r="IF57" s="196"/>
      <c r="IG57" s="196"/>
      <c r="IH57" s="196"/>
      <c r="II57" s="196"/>
      <c r="IJ57" s="196"/>
      <c r="IK57" s="196"/>
      <c r="IL57" s="196"/>
      <c r="IM57" s="196"/>
      <c r="IN57" s="196"/>
      <c r="IO57" s="196"/>
      <c r="IP57" s="196"/>
      <c r="IQ57" s="196"/>
      <c r="IR57" s="196"/>
    </row>
    <row r="58" spans="1:252" ht="15.6">
      <c r="A58" s="196"/>
      <c r="B58" s="196"/>
      <c r="C58" s="587"/>
      <c r="D58" s="584"/>
      <c r="E58" s="584"/>
      <c r="F58" s="584"/>
      <c r="G58" s="584"/>
      <c r="H58" s="584"/>
      <c r="I58" s="584"/>
      <c r="J58" s="584"/>
      <c r="K58" s="584"/>
      <c r="L58" s="584"/>
      <c r="M58" s="584"/>
      <c r="N58" s="584"/>
      <c r="O58" s="584"/>
      <c r="P58" s="584"/>
      <c r="Q58" s="584"/>
      <c r="R58" s="579"/>
      <c r="S58" s="579"/>
      <c r="T58" s="579"/>
      <c r="U58" s="579"/>
      <c r="V58" s="579"/>
      <c r="W58" s="579"/>
      <c r="X58" s="579"/>
      <c r="Y58" s="579"/>
      <c r="Z58" s="579"/>
      <c r="AA58" s="579"/>
      <c r="AB58" s="579"/>
      <c r="AC58" s="579"/>
      <c r="AD58" s="579"/>
      <c r="AE58" s="579"/>
      <c r="AF58" s="579"/>
      <c r="AG58" s="579"/>
      <c r="AH58" s="579"/>
      <c r="AI58" s="579"/>
      <c r="AJ58" s="579"/>
      <c r="AK58" s="579"/>
      <c r="AL58" s="579"/>
      <c r="AM58" s="579"/>
      <c r="AN58" s="579"/>
      <c r="AO58" s="579"/>
      <c r="AP58" s="584"/>
      <c r="AQ58" s="584"/>
      <c r="AR58" s="584"/>
      <c r="AS58" s="584"/>
      <c r="AT58" s="584"/>
      <c r="AU58" s="584"/>
      <c r="AV58" s="584"/>
      <c r="AW58" s="584"/>
      <c r="AX58" s="584"/>
      <c r="AY58" s="584"/>
      <c r="AZ58" s="196"/>
      <c r="BA58" s="196"/>
      <c r="BB58" s="196"/>
      <c r="BC58" s="196"/>
      <c r="BD58" s="196"/>
      <c r="BE58" s="196"/>
      <c r="BF58" s="196"/>
      <c r="BG58" s="196"/>
      <c r="BH58" s="196"/>
      <c r="BI58" s="196"/>
      <c r="BJ58" s="196"/>
      <c r="BK58" s="196"/>
      <c r="BL58" s="196"/>
      <c r="BM58" s="196"/>
      <c r="BN58" s="196"/>
      <c r="BO58" s="196"/>
      <c r="BP58" s="196"/>
      <c r="BQ58" s="196"/>
      <c r="BR58" s="196"/>
      <c r="BS58" s="196"/>
      <c r="BT58" s="196"/>
      <c r="BU58" s="196"/>
      <c r="BV58" s="196"/>
      <c r="BW58" s="196"/>
      <c r="BX58" s="196"/>
      <c r="BY58" s="196"/>
      <c r="BZ58" s="196"/>
      <c r="CA58" s="196"/>
      <c r="CB58" s="196"/>
      <c r="CC58" s="196"/>
      <c r="CD58" s="196"/>
      <c r="CE58" s="196"/>
      <c r="CF58" s="196"/>
      <c r="CG58" s="196"/>
      <c r="CH58" s="196"/>
      <c r="CI58" s="196"/>
      <c r="CJ58" s="196"/>
      <c r="CK58" s="196"/>
      <c r="CL58" s="196"/>
      <c r="CM58" s="196"/>
      <c r="CN58" s="196"/>
      <c r="CO58" s="196"/>
      <c r="CP58" s="196"/>
      <c r="CQ58" s="196"/>
      <c r="CR58" s="196"/>
      <c r="CS58" s="196"/>
      <c r="CT58" s="196"/>
      <c r="CU58" s="196"/>
      <c r="CV58" s="196"/>
      <c r="CW58" s="196"/>
      <c r="CX58" s="196"/>
      <c r="CY58" s="196"/>
      <c r="CZ58" s="196"/>
      <c r="DA58" s="196"/>
      <c r="DB58" s="196"/>
      <c r="DC58" s="196"/>
      <c r="DD58" s="196"/>
      <c r="DE58" s="196"/>
      <c r="DF58" s="196"/>
      <c r="DG58" s="196"/>
      <c r="DH58" s="196"/>
      <c r="DI58" s="196"/>
      <c r="DJ58" s="196"/>
      <c r="DK58" s="196"/>
      <c r="DL58" s="196"/>
      <c r="DM58" s="196"/>
      <c r="DN58" s="196"/>
      <c r="DO58" s="196"/>
      <c r="DP58" s="196"/>
      <c r="DQ58" s="196"/>
      <c r="DR58" s="196"/>
      <c r="DS58" s="196"/>
      <c r="DT58" s="196"/>
      <c r="DU58" s="196"/>
      <c r="DV58" s="196"/>
      <c r="DW58" s="196"/>
      <c r="DX58" s="196"/>
      <c r="DY58" s="196"/>
      <c r="DZ58" s="196"/>
      <c r="EA58" s="196"/>
      <c r="EB58" s="196"/>
      <c r="EC58" s="196"/>
      <c r="ED58" s="196"/>
      <c r="EE58" s="196"/>
      <c r="EF58" s="196"/>
      <c r="EG58" s="196"/>
      <c r="EH58" s="196"/>
      <c r="EI58" s="196"/>
      <c r="EJ58" s="196"/>
      <c r="EK58" s="196"/>
      <c r="EL58" s="196"/>
      <c r="EM58" s="196"/>
      <c r="EN58" s="196"/>
      <c r="EO58" s="196"/>
      <c r="EP58" s="196"/>
      <c r="EQ58" s="196"/>
      <c r="ER58" s="196"/>
      <c r="ES58" s="196"/>
      <c r="ET58" s="196"/>
      <c r="EU58" s="196"/>
      <c r="EV58" s="196"/>
      <c r="EW58" s="196"/>
      <c r="EX58" s="196"/>
      <c r="EY58" s="196"/>
      <c r="EZ58" s="196"/>
      <c r="FA58" s="196"/>
      <c r="FB58" s="196"/>
      <c r="FC58" s="196"/>
      <c r="FD58" s="196"/>
      <c r="FE58" s="196"/>
      <c r="FF58" s="196"/>
      <c r="FG58" s="196"/>
      <c r="FH58" s="196"/>
      <c r="FI58" s="196"/>
      <c r="FJ58" s="196"/>
      <c r="FK58" s="196"/>
      <c r="FL58" s="196"/>
      <c r="FM58" s="196"/>
      <c r="FN58" s="196"/>
      <c r="FO58" s="196"/>
      <c r="FP58" s="196"/>
      <c r="FQ58" s="196"/>
      <c r="FR58" s="196"/>
      <c r="FS58" s="196"/>
      <c r="FT58" s="196"/>
      <c r="FU58" s="196"/>
      <c r="FV58" s="196"/>
      <c r="FW58" s="196"/>
      <c r="FX58" s="196"/>
      <c r="FY58" s="196"/>
      <c r="FZ58" s="196"/>
      <c r="GA58" s="196"/>
      <c r="GB58" s="196"/>
      <c r="GC58" s="196"/>
      <c r="GD58" s="196"/>
      <c r="GE58" s="196"/>
      <c r="GF58" s="196"/>
      <c r="GG58" s="196"/>
      <c r="GH58" s="196"/>
      <c r="GI58" s="196"/>
      <c r="GJ58" s="196"/>
      <c r="GK58" s="196"/>
      <c r="GL58" s="196"/>
      <c r="GM58" s="196"/>
      <c r="GN58" s="196"/>
      <c r="GO58" s="196"/>
      <c r="GP58" s="196"/>
      <c r="GQ58" s="196"/>
      <c r="GR58" s="196"/>
      <c r="GS58" s="196"/>
      <c r="GT58" s="196"/>
      <c r="GU58" s="196"/>
      <c r="GV58" s="196"/>
      <c r="GW58" s="196"/>
      <c r="GX58" s="196"/>
      <c r="GY58" s="196"/>
      <c r="GZ58" s="196"/>
      <c r="HA58" s="196"/>
      <c r="HB58" s="196"/>
      <c r="HC58" s="196"/>
      <c r="HD58" s="196"/>
      <c r="HE58" s="196"/>
      <c r="HF58" s="196"/>
      <c r="HG58" s="196"/>
      <c r="HH58" s="196"/>
      <c r="HI58" s="196"/>
      <c r="HJ58" s="196"/>
      <c r="HK58" s="196"/>
      <c r="HL58" s="196"/>
      <c r="HM58" s="196"/>
      <c r="HN58" s="196"/>
      <c r="HO58" s="196"/>
      <c r="HP58" s="196"/>
      <c r="HQ58" s="196"/>
      <c r="HR58" s="196"/>
      <c r="HS58" s="196"/>
      <c r="HT58" s="196"/>
      <c r="HU58" s="196"/>
      <c r="HV58" s="196"/>
      <c r="HW58" s="196"/>
      <c r="HX58" s="196"/>
      <c r="HY58" s="196"/>
      <c r="HZ58" s="196"/>
      <c r="IA58" s="196"/>
      <c r="IB58" s="196"/>
      <c r="IC58" s="196"/>
      <c r="ID58" s="196"/>
      <c r="IE58" s="196"/>
      <c r="IF58" s="196"/>
      <c r="IG58" s="196"/>
      <c r="IH58" s="196"/>
      <c r="II58" s="196"/>
      <c r="IJ58" s="196"/>
      <c r="IK58" s="196"/>
      <c r="IL58" s="196"/>
      <c r="IM58" s="196"/>
      <c r="IN58" s="196"/>
      <c r="IO58" s="196"/>
      <c r="IP58" s="196"/>
      <c r="IQ58" s="196"/>
      <c r="IR58" s="196"/>
    </row>
    <row r="59" spans="1:252" ht="15.6">
      <c r="A59" s="196"/>
      <c r="B59" s="196"/>
      <c r="C59" s="587"/>
      <c r="D59" s="584"/>
      <c r="E59" s="584"/>
      <c r="F59" s="584"/>
      <c r="G59" s="584"/>
      <c r="H59" s="584"/>
      <c r="I59" s="584"/>
      <c r="J59" s="584"/>
      <c r="K59" s="584"/>
      <c r="L59" s="584"/>
      <c r="M59" s="584"/>
      <c r="N59" s="584"/>
      <c r="O59" s="584"/>
      <c r="P59" s="584"/>
      <c r="Q59" s="584"/>
      <c r="R59" s="579"/>
      <c r="S59" s="579"/>
      <c r="T59" s="579"/>
      <c r="U59" s="579"/>
      <c r="V59" s="579"/>
      <c r="W59" s="579"/>
      <c r="X59" s="579"/>
      <c r="Y59" s="579"/>
      <c r="Z59" s="579"/>
      <c r="AA59" s="579"/>
      <c r="AB59" s="579"/>
      <c r="AC59" s="579"/>
      <c r="AD59" s="579"/>
      <c r="AE59" s="579"/>
      <c r="AF59" s="579"/>
      <c r="AG59" s="579"/>
      <c r="AH59" s="579"/>
      <c r="AI59" s="579"/>
      <c r="AJ59" s="579"/>
      <c r="AK59" s="579"/>
      <c r="AL59" s="579"/>
      <c r="AM59" s="579"/>
      <c r="AN59" s="579"/>
      <c r="AO59" s="579"/>
      <c r="AP59" s="584"/>
      <c r="AQ59" s="584"/>
      <c r="AR59" s="584"/>
      <c r="AS59" s="584"/>
      <c r="AT59" s="584"/>
      <c r="AU59" s="584"/>
      <c r="AV59" s="584"/>
      <c r="AW59" s="584"/>
      <c r="AX59" s="584"/>
      <c r="AY59" s="584"/>
      <c r="AZ59" s="196"/>
      <c r="BA59" s="196"/>
      <c r="BB59" s="196"/>
      <c r="BC59" s="196"/>
      <c r="BD59" s="196"/>
      <c r="BE59" s="196"/>
      <c r="BF59" s="196"/>
      <c r="BG59" s="196"/>
      <c r="BH59" s="196"/>
      <c r="BI59" s="196"/>
      <c r="BJ59" s="196"/>
      <c r="BK59" s="196"/>
      <c r="BL59" s="196"/>
      <c r="BM59" s="196"/>
      <c r="BN59" s="196"/>
      <c r="BO59" s="196"/>
      <c r="BP59" s="196"/>
      <c r="BQ59" s="196"/>
      <c r="BR59" s="196"/>
      <c r="BS59" s="196"/>
      <c r="BT59" s="196"/>
      <c r="BU59" s="196"/>
      <c r="BV59" s="196"/>
      <c r="BW59" s="196"/>
      <c r="BX59" s="196"/>
      <c r="BY59" s="196"/>
      <c r="BZ59" s="196"/>
      <c r="CA59" s="196"/>
      <c r="CB59" s="196"/>
      <c r="CC59" s="196"/>
      <c r="CD59" s="196"/>
      <c r="CE59" s="196"/>
      <c r="CF59" s="196"/>
      <c r="CG59" s="196"/>
      <c r="CH59" s="196"/>
      <c r="CI59" s="196"/>
      <c r="CJ59" s="196"/>
      <c r="CK59" s="196"/>
      <c r="CL59" s="196"/>
      <c r="CM59" s="196"/>
      <c r="CN59" s="196"/>
      <c r="CO59" s="196"/>
      <c r="CP59" s="196"/>
      <c r="CQ59" s="196"/>
      <c r="CR59" s="196"/>
      <c r="CS59" s="196"/>
      <c r="CT59" s="196"/>
      <c r="CU59" s="196"/>
      <c r="CV59" s="196"/>
      <c r="CW59" s="196"/>
      <c r="CX59" s="196"/>
      <c r="CY59" s="196"/>
      <c r="CZ59" s="196"/>
      <c r="DA59" s="196"/>
      <c r="DB59" s="196"/>
      <c r="DC59" s="196"/>
      <c r="DD59" s="196"/>
      <c r="DE59" s="196"/>
      <c r="DF59" s="196"/>
      <c r="DG59" s="196"/>
      <c r="DH59" s="196"/>
      <c r="DI59" s="196"/>
      <c r="DJ59" s="196"/>
      <c r="DK59" s="196"/>
      <c r="DL59" s="196"/>
      <c r="DM59" s="196"/>
      <c r="DN59" s="196"/>
      <c r="DO59" s="196"/>
      <c r="DP59" s="196"/>
      <c r="DQ59" s="196"/>
      <c r="DR59" s="196"/>
      <c r="DS59" s="196"/>
      <c r="DT59" s="196"/>
      <c r="DU59" s="196"/>
      <c r="DV59" s="196"/>
      <c r="DW59" s="196"/>
      <c r="DX59" s="196"/>
      <c r="DY59" s="196"/>
      <c r="DZ59" s="196"/>
      <c r="EA59" s="196"/>
      <c r="EB59" s="196"/>
      <c r="EC59" s="196"/>
      <c r="ED59" s="196"/>
      <c r="EE59" s="196"/>
      <c r="EF59" s="196"/>
      <c r="EG59" s="196"/>
      <c r="EH59" s="196"/>
      <c r="EI59" s="196"/>
      <c r="EJ59" s="196"/>
      <c r="EK59" s="196"/>
      <c r="EL59" s="196"/>
      <c r="EM59" s="196"/>
      <c r="EN59" s="196"/>
      <c r="EO59" s="196"/>
      <c r="EP59" s="196"/>
      <c r="EQ59" s="196"/>
      <c r="ER59" s="196"/>
      <c r="ES59" s="196"/>
      <c r="ET59" s="196"/>
      <c r="EU59" s="196"/>
      <c r="EV59" s="196"/>
      <c r="EW59" s="196"/>
      <c r="EX59" s="196"/>
      <c r="EY59" s="196"/>
      <c r="EZ59" s="196"/>
      <c r="FA59" s="196"/>
      <c r="FB59" s="196"/>
      <c r="FC59" s="196"/>
      <c r="FD59" s="196"/>
      <c r="FE59" s="196"/>
      <c r="FF59" s="196"/>
      <c r="FG59" s="196"/>
      <c r="FH59" s="196"/>
      <c r="FI59" s="196"/>
      <c r="FJ59" s="196"/>
      <c r="FK59" s="196"/>
      <c r="FL59" s="196"/>
      <c r="FM59" s="196"/>
      <c r="FN59" s="196"/>
      <c r="FO59" s="196"/>
      <c r="FP59" s="196"/>
      <c r="FQ59" s="196"/>
      <c r="FR59" s="196"/>
      <c r="FS59" s="196"/>
      <c r="FT59" s="196"/>
      <c r="FU59" s="196"/>
      <c r="FV59" s="196"/>
      <c r="FW59" s="196"/>
      <c r="FX59" s="196"/>
      <c r="FY59" s="196"/>
      <c r="FZ59" s="196"/>
      <c r="GA59" s="196"/>
      <c r="GB59" s="196"/>
      <c r="GC59" s="196"/>
      <c r="GD59" s="196"/>
      <c r="GE59" s="196"/>
      <c r="GF59" s="196"/>
      <c r="GG59" s="196"/>
      <c r="GH59" s="196"/>
      <c r="GI59" s="196"/>
      <c r="GJ59" s="196"/>
      <c r="GK59" s="196"/>
      <c r="GL59" s="196"/>
      <c r="GM59" s="196"/>
      <c r="GN59" s="196"/>
      <c r="GO59" s="196"/>
      <c r="GP59" s="196"/>
      <c r="GQ59" s="196"/>
      <c r="GR59" s="196"/>
      <c r="GS59" s="196"/>
      <c r="GT59" s="196"/>
      <c r="GU59" s="196"/>
      <c r="GV59" s="196"/>
      <c r="GW59" s="196"/>
      <c r="GX59" s="196"/>
      <c r="GY59" s="196"/>
      <c r="GZ59" s="196"/>
      <c r="HA59" s="196"/>
      <c r="HB59" s="196"/>
      <c r="HC59" s="196"/>
      <c r="HD59" s="196"/>
      <c r="HE59" s="196"/>
      <c r="HF59" s="196"/>
      <c r="HG59" s="196"/>
      <c r="HH59" s="196"/>
      <c r="HI59" s="196"/>
      <c r="HJ59" s="196"/>
      <c r="HK59" s="196"/>
      <c r="HL59" s="196"/>
      <c r="HM59" s="196"/>
      <c r="HN59" s="196"/>
      <c r="HO59" s="196"/>
      <c r="HP59" s="196"/>
      <c r="HQ59" s="196"/>
      <c r="HR59" s="196"/>
      <c r="HS59" s="196"/>
      <c r="HT59" s="196"/>
      <c r="HU59" s="196"/>
      <c r="HV59" s="196"/>
      <c r="HW59" s="196"/>
      <c r="HX59" s="196"/>
      <c r="HY59" s="196"/>
      <c r="HZ59" s="196"/>
      <c r="IA59" s="196"/>
      <c r="IB59" s="196"/>
      <c r="IC59" s="196"/>
      <c r="ID59" s="196"/>
      <c r="IE59" s="196"/>
      <c r="IF59" s="196"/>
      <c r="IG59" s="196"/>
      <c r="IH59" s="196"/>
      <c r="II59" s="196"/>
      <c r="IJ59" s="196"/>
      <c r="IK59" s="196"/>
      <c r="IL59" s="196"/>
      <c r="IM59" s="196"/>
      <c r="IN59" s="196"/>
      <c r="IO59" s="196"/>
      <c r="IP59" s="196"/>
      <c r="IQ59" s="196"/>
      <c r="IR59" s="196"/>
    </row>
    <row r="60" spans="1:252" ht="15.6">
      <c r="A60" s="196"/>
      <c r="B60" s="196"/>
      <c r="C60" s="587"/>
      <c r="D60" s="584"/>
      <c r="E60" s="584"/>
      <c r="F60" s="584"/>
      <c r="G60" s="584"/>
      <c r="H60" s="584"/>
      <c r="I60" s="584"/>
      <c r="J60" s="584"/>
      <c r="K60" s="584"/>
      <c r="L60" s="584"/>
      <c r="M60" s="584"/>
      <c r="N60" s="584"/>
      <c r="O60" s="584"/>
      <c r="P60" s="584"/>
      <c r="Q60" s="584"/>
      <c r="R60" s="579"/>
      <c r="S60" s="579"/>
      <c r="T60" s="579"/>
      <c r="U60" s="579"/>
      <c r="V60" s="579"/>
      <c r="W60" s="579"/>
      <c r="X60" s="579"/>
      <c r="Y60" s="579"/>
      <c r="Z60" s="579"/>
      <c r="AA60" s="579"/>
      <c r="AB60" s="579"/>
      <c r="AC60" s="579"/>
      <c r="AD60" s="579"/>
      <c r="AE60" s="579"/>
      <c r="AF60" s="579"/>
      <c r="AG60" s="579"/>
      <c r="AH60" s="579"/>
      <c r="AI60" s="579"/>
      <c r="AJ60" s="579"/>
      <c r="AK60" s="579"/>
      <c r="AL60" s="579"/>
      <c r="AM60" s="579"/>
      <c r="AN60" s="579"/>
      <c r="AO60" s="579"/>
      <c r="AP60" s="584"/>
      <c r="AQ60" s="584"/>
      <c r="AR60" s="584"/>
      <c r="AS60" s="584"/>
      <c r="AT60" s="584"/>
      <c r="AU60" s="584"/>
      <c r="AV60" s="584"/>
      <c r="AW60" s="584"/>
      <c r="AX60" s="584"/>
      <c r="AY60" s="584"/>
      <c r="AZ60" s="196"/>
      <c r="BA60" s="196"/>
      <c r="BB60" s="196"/>
      <c r="BC60" s="196"/>
      <c r="BD60" s="196"/>
      <c r="BE60" s="196"/>
      <c r="BF60" s="196"/>
      <c r="BG60" s="196"/>
      <c r="BH60" s="196"/>
      <c r="BI60" s="196"/>
      <c r="BJ60" s="196"/>
      <c r="BK60" s="196"/>
      <c r="BL60" s="196"/>
      <c r="BM60" s="196"/>
      <c r="BN60" s="196"/>
      <c r="BO60" s="196"/>
      <c r="BP60" s="196"/>
      <c r="BQ60" s="196"/>
      <c r="BR60" s="196"/>
      <c r="BS60" s="196"/>
      <c r="BT60" s="196"/>
      <c r="BU60" s="196"/>
      <c r="BV60" s="196"/>
      <c r="BW60" s="196"/>
      <c r="BX60" s="196"/>
      <c r="BY60" s="196"/>
      <c r="BZ60" s="196"/>
      <c r="CA60" s="196"/>
      <c r="CB60" s="196"/>
      <c r="CC60" s="196"/>
      <c r="CD60" s="196"/>
      <c r="CE60" s="196"/>
      <c r="CF60" s="196"/>
      <c r="CG60" s="196"/>
      <c r="CH60" s="196"/>
      <c r="CI60" s="196"/>
      <c r="CJ60" s="196"/>
      <c r="CK60" s="196"/>
      <c r="CL60" s="196"/>
      <c r="CM60" s="196"/>
      <c r="CN60" s="196"/>
      <c r="CO60" s="196"/>
      <c r="CP60" s="196"/>
      <c r="CQ60" s="196"/>
      <c r="CR60" s="196"/>
      <c r="CS60" s="196"/>
      <c r="CT60" s="196"/>
      <c r="CU60" s="196"/>
      <c r="CV60" s="196"/>
      <c r="CW60" s="196"/>
      <c r="CX60" s="196"/>
      <c r="CY60" s="196"/>
      <c r="CZ60" s="196"/>
      <c r="DA60" s="196"/>
      <c r="DB60" s="196"/>
      <c r="DC60" s="196"/>
      <c r="DD60" s="196"/>
      <c r="DE60" s="196"/>
      <c r="DF60" s="196"/>
      <c r="DG60" s="196"/>
      <c r="DH60" s="196"/>
      <c r="DI60" s="196"/>
      <c r="DJ60" s="196"/>
      <c r="DK60" s="196"/>
      <c r="DL60" s="196"/>
      <c r="DM60" s="196"/>
      <c r="DN60" s="196"/>
      <c r="DO60" s="196"/>
      <c r="DP60" s="196"/>
      <c r="DQ60" s="196"/>
      <c r="DR60" s="196"/>
      <c r="DS60" s="196"/>
      <c r="DT60" s="196"/>
      <c r="DU60" s="196"/>
      <c r="DV60" s="196"/>
      <c r="DW60" s="196"/>
      <c r="DX60" s="196"/>
      <c r="DY60" s="196"/>
      <c r="DZ60" s="196"/>
      <c r="EA60" s="196"/>
      <c r="EB60" s="196"/>
      <c r="EC60" s="196"/>
      <c r="ED60" s="196"/>
      <c r="EE60" s="196"/>
      <c r="EF60" s="196"/>
      <c r="EG60" s="196"/>
      <c r="EH60" s="196"/>
      <c r="EI60" s="196"/>
      <c r="EJ60" s="196"/>
      <c r="EK60" s="196"/>
      <c r="EL60" s="196"/>
      <c r="EM60" s="196"/>
      <c r="EN60" s="196"/>
      <c r="EO60" s="196"/>
      <c r="EP60" s="196"/>
      <c r="EQ60" s="196"/>
      <c r="ER60" s="196"/>
      <c r="ES60" s="196"/>
      <c r="ET60" s="196"/>
      <c r="EU60" s="196"/>
      <c r="EV60" s="196"/>
      <c r="EW60" s="196"/>
      <c r="EX60" s="196"/>
      <c r="EY60" s="196"/>
      <c r="EZ60" s="196"/>
      <c r="FA60" s="196"/>
      <c r="FB60" s="196"/>
      <c r="FC60" s="196"/>
      <c r="FD60" s="196"/>
      <c r="FE60" s="196"/>
      <c r="FF60" s="196"/>
      <c r="FG60" s="196"/>
      <c r="FH60" s="196"/>
      <c r="FI60" s="196"/>
      <c r="FJ60" s="196"/>
      <c r="FK60" s="196"/>
      <c r="FL60" s="196"/>
      <c r="FM60" s="196"/>
      <c r="FN60" s="196"/>
      <c r="FO60" s="196"/>
      <c r="FP60" s="196"/>
      <c r="FQ60" s="196"/>
      <c r="FR60" s="196"/>
      <c r="FS60" s="196"/>
      <c r="FT60" s="196"/>
      <c r="FU60" s="196"/>
      <c r="FV60" s="196"/>
      <c r="FW60" s="196"/>
      <c r="FX60" s="196"/>
      <c r="FY60" s="196"/>
      <c r="FZ60" s="196"/>
      <c r="GA60" s="196"/>
      <c r="GB60" s="196"/>
      <c r="GC60" s="196"/>
      <c r="GD60" s="196"/>
      <c r="GE60" s="196"/>
      <c r="GF60" s="196"/>
      <c r="GG60" s="196"/>
      <c r="GH60" s="196"/>
      <c r="GI60" s="196"/>
      <c r="GJ60" s="196"/>
      <c r="GK60" s="196"/>
      <c r="GL60" s="196"/>
      <c r="GM60" s="196"/>
      <c r="GN60" s="196"/>
      <c r="GO60" s="196"/>
      <c r="GP60" s="196"/>
      <c r="GQ60" s="196"/>
      <c r="GR60" s="196"/>
      <c r="GS60" s="196"/>
      <c r="GT60" s="196"/>
      <c r="GU60" s="196"/>
      <c r="GV60" s="196"/>
      <c r="GW60" s="196"/>
      <c r="GX60" s="196"/>
      <c r="GY60" s="196"/>
      <c r="GZ60" s="196"/>
      <c r="HA60" s="196"/>
      <c r="HB60" s="196"/>
      <c r="HC60" s="196"/>
      <c r="HD60" s="196"/>
      <c r="HE60" s="196"/>
      <c r="HF60" s="196"/>
      <c r="HG60" s="196"/>
      <c r="HH60" s="196"/>
      <c r="HI60" s="196"/>
      <c r="HJ60" s="196"/>
      <c r="HK60" s="196"/>
      <c r="HL60" s="196"/>
      <c r="HM60" s="196"/>
      <c r="HN60" s="196"/>
      <c r="HO60" s="196"/>
      <c r="HP60" s="196"/>
      <c r="HQ60" s="196"/>
      <c r="HR60" s="196"/>
      <c r="HS60" s="196"/>
      <c r="HT60" s="196"/>
      <c r="HU60" s="196"/>
      <c r="HV60" s="196"/>
      <c r="HW60" s="196"/>
      <c r="HX60" s="196"/>
      <c r="HY60" s="196"/>
      <c r="HZ60" s="196"/>
      <c r="IA60" s="196"/>
      <c r="IB60" s="196"/>
      <c r="IC60" s="196"/>
      <c r="ID60" s="196"/>
      <c r="IE60" s="196"/>
      <c r="IF60" s="196"/>
      <c r="IG60" s="196"/>
      <c r="IH60" s="196"/>
      <c r="II60" s="196"/>
      <c r="IJ60" s="196"/>
      <c r="IK60" s="196"/>
      <c r="IL60" s="196"/>
      <c r="IM60" s="196"/>
      <c r="IN60" s="196"/>
      <c r="IO60" s="196"/>
      <c r="IP60" s="196"/>
      <c r="IQ60" s="196"/>
      <c r="IR60" s="196"/>
    </row>
    <row r="61" spans="1:252" ht="15.6">
      <c r="A61" s="196"/>
      <c r="B61" s="196"/>
      <c r="C61" s="587"/>
      <c r="D61" s="584"/>
      <c r="E61" s="584"/>
      <c r="F61" s="584"/>
      <c r="G61" s="584"/>
      <c r="H61" s="584"/>
      <c r="I61" s="584"/>
      <c r="J61" s="584"/>
      <c r="K61" s="584"/>
      <c r="L61" s="584"/>
      <c r="M61" s="584"/>
      <c r="N61" s="584"/>
      <c r="O61" s="584"/>
      <c r="P61" s="584"/>
      <c r="Q61" s="584"/>
      <c r="R61" s="584"/>
      <c r="S61" s="584"/>
      <c r="T61" s="584"/>
      <c r="U61" s="584"/>
      <c r="V61" s="584"/>
      <c r="W61" s="584"/>
      <c r="X61" s="579"/>
      <c r="Y61" s="579"/>
      <c r="Z61" s="579"/>
      <c r="AA61" s="579"/>
      <c r="AB61" s="579"/>
      <c r="AC61" s="579"/>
      <c r="AD61" s="579"/>
      <c r="AE61" s="579"/>
      <c r="AF61" s="579"/>
      <c r="AG61" s="579"/>
      <c r="AH61" s="579"/>
      <c r="AI61" s="579"/>
      <c r="AJ61" s="579"/>
      <c r="AK61" s="579"/>
      <c r="AL61" s="579"/>
      <c r="AM61" s="579"/>
      <c r="AN61" s="579"/>
      <c r="AO61" s="579"/>
      <c r="AP61" s="584"/>
      <c r="AQ61" s="584"/>
      <c r="AR61" s="584"/>
      <c r="AS61" s="584"/>
      <c r="AT61" s="584"/>
      <c r="AU61" s="584"/>
      <c r="AV61" s="584"/>
      <c r="AW61" s="584"/>
      <c r="AX61" s="584"/>
      <c r="AY61" s="584"/>
      <c r="AZ61" s="196"/>
      <c r="BA61" s="196"/>
      <c r="BB61" s="196"/>
      <c r="BC61" s="196"/>
      <c r="BD61" s="196"/>
      <c r="BE61" s="196"/>
      <c r="BF61" s="196"/>
      <c r="BG61" s="196"/>
      <c r="BH61" s="196"/>
      <c r="BI61" s="196"/>
      <c r="BJ61" s="196"/>
      <c r="BK61" s="196"/>
      <c r="BL61" s="196"/>
      <c r="BM61" s="196"/>
      <c r="BN61" s="196"/>
      <c r="BO61" s="196"/>
      <c r="BP61" s="196"/>
      <c r="BQ61" s="196"/>
      <c r="BR61" s="196"/>
      <c r="BS61" s="196"/>
      <c r="BT61" s="196"/>
      <c r="BU61" s="196"/>
      <c r="BV61" s="196"/>
      <c r="BW61" s="196"/>
      <c r="BX61" s="196"/>
      <c r="BY61" s="196"/>
      <c r="BZ61" s="196"/>
      <c r="CA61" s="196"/>
      <c r="CB61" s="196"/>
      <c r="CC61" s="196"/>
      <c r="CD61" s="196"/>
      <c r="CE61" s="196"/>
      <c r="CF61" s="196"/>
      <c r="CG61" s="196"/>
      <c r="CH61" s="196"/>
      <c r="CI61" s="196"/>
      <c r="CJ61" s="196"/>
      <c r="CK61" s="196"/>
      <c r="CL61" s="196"/>
      <c r="CM61" s="196"/>
      <c r="CN61" s="196"/>
      <c r="CO61" s="196"/>
      <c r="CP61" s="196"/>
      <c r="CQ61" s="196"/>
      <c r="CR61" s="196"/>
      <c r="CS61" s="196"/>
      <c r="CT61" s="196"/>
      <c r="CU61" s="196"/>
      <c r="CV61" s="196"/>
      <c r="CW61" s="196"/>
      <c r="CX61" s="196"/>
      <c r="CY61" s="196"/>
      <c r="CZ61" s="196"/>
      <c r="DA61" s="196"/>
      <c r="DB61" s="196"/>
      <c r="DC61" s="196"/>
      <c r="DD61" s="196"/>
      <c r="DE61" s="196"/>
      <c r="DF61" s="196"/>
      <c r="DG61" s="196"/>
      <c r="DH61" s="196"/>
      <c r="DI61" s="196"/>
      <c r="DJ61" s="196"/>
      <c r="DK61" s="196"/>
      <c r="DL61" s="196"/>
      <c r="DM61" s="196"/>
      <c r="DN61" s="196"/>
      <c r="DO61" s="196"/>
      <c r="DP61" s="196"/>
      <c r="DQ61" s="196"/>
      <c r="DR61" s="196"/>
      <c r="DS61" s="196"/>
      <c r="DT61" s="196"/>
      <c r="DU61" s="196"/>
      <c r="DV61" s="196"/>
      <c r="DW61" s="196"/>
      <c r="DX61" s="196"/>
      <c r="DY61" s="196"/>
      <c r="DZ61" s="196"/>
      <c r="EA61" s="196"/>
      <c r="EB61" s="196"/>
      <c r="EC61" s="196"/>
      <c r="ED61" s="196"/>
      <c r="EE61" s="196"/>
      <c r="EF61" s="196"/>
      <c r="EG61" s="196"/>
      <c r="EH61" s="196"/>
      <c r="EI61" s="196"/>
      <c r="EJ61" s="196"/>
      <c r="EK61" s="196"/>
      <c r="EL61" s="196"/>
      <c r="EM61" s="196"/>
      <c r="EN61" s="196"/>
      <c r="EO61" s="196"/>
      <c r="EP61" s="196"/>
      <c r="EQ61" s="196"/>
      <c r="ER61" s="196"/>
      <c r="ES61" s="196"/>
      <c r="ET61" s="196"/>
      <c r="EU61" s="196"/>
      <c r="EV61" s="196"/>
      <c r="EW61" s="196"/>
      <c r="EX61" s="196"/>
      <c r="EY61" s="196"/>
      <c r="EZ61" s="196"/>
      <c r="FA61" s="196"/>
      <c r="FB61" s="196"/>
      <c r="FC61" s="196"/>
      <c r="FD61" s="196"/>
      <c r="FE61" s="196"/>
      <c r="FF61" s="196"/>
      <c r="FG61" s="196"/>
      <c r="FH61" s="196"/>
      <c r="FI61" s="196"/>
      <c r="FJ61" s="196"/>
      <c r="FK61" s="196"/>
      <c r="FL61" s="196"/>
      <c r="FM61" s="196"/>
      <c r="FN61" s="196"/>
      <c r="FO61" s="196"/>
      <c r="FP61" s="196"/>
      <c r="FQ61" s="196"/>
      <c r="FR61" s="196"/>
      <c r="FS61" s="196"/>
      <c r="FT61" s="196"/>
      <c r="FU61" s="196"/>
      <c r="FV61" s="196"/>
      <c r="FW61" s="196"/>
      <c r="FX61" s="196"/>
      <c r="FY61" s="196"/>
      <c r="FZ61" s="196"/>
      <c r="GA61" s="196"/>
      <c r="GB61" s="196"/>
      <c r="GC61" s="196"/>
      <c r="GD61" s="196"/>
      <c r="GE61" s="196"/>
      <c r="GF61" s="196"/>
      <c r="GG61" s="196"/>
      <c r="GH61" s="196"/>
      <c r="GI61" s="196"/>
      <c r="GJ61" s="196"/>
      <c r="GK61" s="196"/>
      <c r="GL61" s="196"/>
      <c r="GM61" s="196"/>
      <c r="GN61" s="196"/>
      <c r="GO61" s="196"/>
      <c r="GP61" s="196"/>
      <c r="GQ61" s="196"/>
      <c r="GR61" s="196"/>
      <c r="GS61" s="196"/>
      <c r="GT61" s="196"/>
      <c r="GU61" s="196"/>
      <c r="GV61" s="196"/>
      <c r="GW61" s="196"/>
      <c r="GX61" s="196"/>
      <c r="GY61" s="196"/>
      <c r="GZ61" s="196"/>
      <c r="HA61" s="196"/>
      <c r="HB61" s="196"/>
      <c r="HC61" s="196"/>
      <c r="HD61" s="196"/>
      <c r="HE61" s="196"/>
      <c r="HF61" s="196"/>
      <c r="HG61" s="196"/>
      <c r="HH61" s="196"/>
      <c r="HI61" s="196"/>
      <c r="HJ61" s="196"/>
      <c r="HK61" s="196"/>
      <c r="HL61" s="196"/>
      <c r="HM61" s="196"/>
      <c r="HN61" s="196"/>
      <c r="HO61" s="196"/>
      <c r="HP61" s="196"/>
      <c r="HQ61" s="196"/>
      <c r="HR61" s="196"/>
      <c r="HS61" s="196"/>
      <c r="HT61" s="196"/>
      <c r="HU61" s="196"/>
      <c r="HV61" s="196"/>
      <c r="HW61" s="196"/>
      <c r="HX61" s="196"/>
      <c r="HY61" s="196"/>
      <c r="HZ61" s="196"/>
      <c r="IA61" s="196"/>
      <c r="IB61" s="196"/>
      <c r="IC61" s="196"/>
      <c r="ID61" s="196"/>
      <c r="IE61" s="196"/>
      <c r="IF61" s="196"/>
      <c r="IG61" s="196"/>
      <c r="IH61" s="196"/>
      <c r="II61" s="196"/>
      <c r="IJ61" s="196"/>
      <c r="IK61" s="196"/>
      <c r="IL61" s="196"/>
      <c r="IM61" s="196"/>
      <c r="IN61" s="196"/>
      <c r="IO61" s="196"/>
      <c r="IP61" s="196"/>
      <c r="IQ61" s="196"/>
      <c r="IR61" s="196"/>
    </row>
    <row r="62" spans="1:252" ht="15.6">
      <c r="A62" s="196"/>
      <c r="B62" s="196"/>
      <c r="C62" s="587"/>
      <c r="D62" s="584"/>
      <c r="E62" s="584"/>
      <c r="F62" s="584"/>
      <c r="G62" s="584"/>
      <c r="H62" s="584"/>
      <c r="I62" s="584"/>
      <c r="J62" s="584"/>
      <c r="K62" s="584"/>
      <c r="L62" s="584"/>
      <c r="M62" s="584"/>
      <c r="N62" s="584"/>
      <c r="O62" s="584"/>
      <c r="P62" s="584"/>
      <c r="Q62" s="584"/>
      <c r="R62" s="579"/>
      <c r="S62" s="579"/>
      <c r="T62" s="579"/>
      <c r="U62" s="579"/>
      <c r="V62" s="579"/>
      <c r="W62" s="579"/>
      <c r="X62" s="579"/>
      <c r="Y62" s="579"/>
      <c r="Z62" s="579"/>
      <c r="AA62" s="579"/>
      <c r="AB62" s="579"/>
      <c r="AC62" s="579"/>
      <c r="AD62" s="579"/>
      <c r="AE62" s="579"/>
      <c r="AF62" s="579"/>
      <c r="AG62" s="579"/>
      <c r="AH62" s="579"/>
      <c r="AI62" s="579"/>
      <c r="AJ62" s="579"/>
      <c r="AK62" s="579"/>
      <c r="AL62" s="579"/>
      <c r="AM62" s="579"/>
      <c r="AN62" s="579"/>
      <c r="AO62" s="579"/>
      <c r="AP62" s="584"/>
      <c r="AQ62" s="584"/>
      <c r="AR62" s="584"/>
      <c r="AS62" s="584"/>
      <c r="AT62" s="584"/>
      <c r="AU62" s="584"/>
      <c r="AV62" s="584"/>
      <c r="AW62" s="584"/>
      <c r="AX62" s="584"/>
      <c r="AY62" s="584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  <c r="BJ62" s="196"/>
      <c r="BK62" s="196"/>
      <c r="BL62" s="196"/>
      <c r="BM62" s="196"/>
      <c r="BN62" s="196"/>
      <c r="BO62" s="196"/>
      <c r="BP62" s="196"/>
      <c r="BQ62" s="196"/>
      <c r="BR62" s="196"/>
      <c r="BS62" s="196"/>
      <c r="BT62" s="196"/>
      <c r="BU62" s="196"/>
      <c r="BV62" s="196"/>
      <c r="BW62" s="196"/>
      <c r="BX62" s="196"/>
      <c r="BY62" s="196"/>
      <c r="BZ62" s="196"/>
      <c r="CA62" s="196"/>
      <c r="CB62" s="196"/>
      <c r="CC62" s="196"/>
      <c r="CD62" s="196"/>
      <c r="CE62" s="196"/>
      <c r="CF62" s="196"/>
      <c r="CG62" s="196"/>
      <c r="CH62" s="196"/>
      <c r="CI62" s="196"/>
      <c r="CJ62" s="196"/>
      <c r="CK62" s="196"/>
      <c r="CL62" s="196"/>
      <c r="CM62" s="196"/>
      <c r="CN62" s="196"/>
      <c r="CO62" s="196"/>
      <c r="CP62" s="196"/>
      <c r="CQ62" s="196"/>
      <c r="CR62" s="196"/>
      <c r="CS62" s="196"/>
      <c r="CT62" s="196"/>
      <c r="CU62" s="196"/>
      <c r="CV62" s="196"/>
      <c r="CW62" s="196"/>
      <c r="CX62" s="196"/>
      <c r="CY62" s="196"/>
      <c r="CZ62" s="196"/>
      <c r="DA62" s="196"/>
      <c r="DB62" s="196"/>
      <c r="DC62" s="196"/>
      <c r="DD62" s="196"/>
      <c r="DE62" s="196"/>
      <c r="DF62" s="196"/>
      <c r="DG62" s="196"/>
      <c r="DH62" s="196"/>
      <c r="DI62" s="196"/>
      <c r="DJ62" s="196"/>
      <c r="DK62" s="196"/>
      <c r="DL62" s="196"/>
      <c r="DM62" s="196"/>
      <c r="DN62" s="196"/>
      <c r="DO62" s="196"/>
      <c r="DP62" s="196"/>
      <c r="DQ62" s="196"/>
      <c r="DR62" s="196"/>
      <c r="DS62" s="196"/>
      <c r="DT62" s="196"/>
      <c r="DU62" s="196"/>
      <c r="DV62" s="196"/>
      <c r="DW62" s="196"/>
      <c r="DX62" s="196"/>
      <c r="DY62" s="196"/>
      <c r="DZ62" s="196"/>
      <c r="EA62" s="196"/>
      <c r="EB62" s="196"/>
      <c r="EC62" s="196"/>
      <c r="ED62" s="196"/>
      <c r="EE62" s="196"/>
      <c r="EF62" s="196"/>
      <c r="EG62" s="196"/>
      <c r="EH62" s="196"/>
      <c r="EI62" s="196"/>
      <c r="EJ62" s="196"/>
      <c r="EK62" s="196"/>
      <c r="EL62" s="196"/>
      <c r="EM62" s="196"/>
      <c r="EN62" s="196"/>
      <c r="EO62" s="196"/>
      <c r="EP62" s="196"/>
      <c r="EQ62" s="196"/>
      <c r="ER62" s="196"/>
      <c r="ES62" s="196"/>
      <c r="ET62" s="196"/>
      <c r="EU62" s="196"/>
      <c r="EV62" s="196"/>
      <c r="EW62" s="196"/>
      <c r="EX62" s="196"/>
      <c r="EY62" s="196"/>
      <c r="EZ62" s="196"/>
      <c r="FA62" s="196"/>
      <c r="FB62" s="196"/>
      <c r="FC62" s="196"/>
      <c r="FD62" s="196"/>
      <c r="FE62" s="196"/>
      <c r="FF62" s="196"/>
      <c r="FG62" s="196"/>
      <c r="FH62" s="196"/>
      <c r="FI62" s="196"/>
      <c r="FJ62" s="196"/>
      <c r="FK62" s="196"/>
      <c r="FL62" s="196"/>
      <c r="FM62" s="196"/>
      <c r="FN62" s="196"/>
      <c r="FO62" s="196"/>
      <c r="FP62" s="196"/>
      <c r="FQ62" s="196"/>
      <c r="FR62" s="196"/>
      <c r="FS62" s="196"/>
      <c r="FT62" s="196"/>
      <c r="FU62" s="196"/>
      <c r="FV62" s="196"/>
      <c r="FW62" s="196"/>
      <c r="FX62" s="196"/>
      <c r="FY62" s="196"/>
      <c r="FZ62" s="196"/>
      <c r="GA62" s="196"/>
      <c r="GB62" s="196"/>
      <c r="GC62" s="196"/>
      <c r="GD62" s="196"/>
      <c r="GE62" s="196"/>
      <c r="GF62" s="196"/>
      <c r="GG62" s="196"/>
      <c r="GH62" s="196"/>
      <c r="GI62" s="196"/>
      <c r="GJ62" s="196"/>
      <c r="GK62" s="196"/>
      <c r="GL62" s="196"/>
      <c r="GM62" s="196"/>
      <c r="GN62" s="196"/>
      <c r="GO62" s="196"/>
      <c r="GP62" s="196"/>
      <c r="GQ62" s="196"/>
      <c r="GR62" s="196"/>
      <c r="GS62" s="196"/>
      <c r="GT62" s="196"/>
      <c r="GU62" s="196"/>
      <c r="GV62" s="196"/>
      <c r="GW62" s="196"/>
      <c r="GX62" s="196"/>
      <c r="GY62" s="196"/>
      <c r="GZ62" s="196"/>
      <c r="HA62" s="196"/>
      <c r="HB62" s="196"/>
      <c r="HC62" s="196"/>
      <c r="HD62" s="196"/>
      <c r="HE62" s="196"/>
      <c r="HF62" s="196"/>
      <c r="HG62" s="196"/>
      <c r="HH62" s="196"/>
      <c r="HI62" s="196"/>
      <c r="HJ62" s="196"/>
      <c r="HK62" s="196"/>
      <c r="HL62" s="196"/>
      <c r="HM62" s="196"/>
      <c r="HN62" s="196"/>
      <c r="HO62" s="196"/>
      <c r="HP62" s="196"/>
      <c r="HQ62" s="196"/>
      <c r="HR62" s="196"/>
      <c r="HS62" s="196"/>
      <c r="HT62" s="196"/>
      <c r="HU62" s="196"/>
      <c r="HV62" s="196"/>
      <c r="HW62" s="196"/>
      <c r="HX62" s="196"/>
      <c r="HY62" s="196"/>
      <c r="HZ62" s="196"/>
      <c r="IA62" s="196"/>
      <c r="IB62" s="196"/>
      <c r="IC62" s="196"/>
      <c r="ID62" s="196"/>
      <c r="IE62" s="196"/>
      <c r="IF62" s="196"/>
      <c r="IG62" s="196"/>
      <c r="IH62" s="196"/>
      <c r="II62" s="196"/>
      <c r="IJ62" s="196"/>
      <c r="IK62" s="196"/>
      <c r="IL62" s="196"/>
      <c r="IM62" s="196"/>
      <c r="IN62" s="196"/>
      <c r="IO62" s="196"/>
      <c r="IP62" s="196"/>
      <c r="IQ62" s="196"/>
      <c r="IR62" s="196"/>
    </row>
    <row r="63" spans="1:252" ht="15.6">
      <c r="A63" s="196"/>
      <c r="B63" s="196"/>
      <c r="C63" s="587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4"/>
      <c r="O63" s="584"/>
      <c r="P63" s="584"/>
      <c r="Q63" s="584"/>
      <c r="R63" s="579"/>
      <c r="S63" s="579"/>
      <c r="T63" s="579"/>
      <c r="U63" s="579"/>
      <c r="V63" s="579"/>
      <c r="W63" s="579"/>
      <c r="X63" s="579"/>
      <c r="Y63" s="579"/>
      <c r="Z63" s="579"/>
      <c r="AA63" s="579"/>
      <c r="AB63" s="579"/>
      <c r="AC63" s="579"/>
      <c r="AD63" s="579"/>
      <c r="AE63" s="579"/>
      <c r="AF63" s="579"/>
      <c r="AG63" s="579"/>
      <c r="AH63" s="579"/>
      <c r="AI63" s="579"/>
      <c r="AJ63" s="579"/>
      <c r="AK63" s="579"/>
      <c r="AL63" s="579"/>
      <c r="AM63" s="579"/>
      <c r="AN63" s="579"/>
      <c r="AO63" s="579"/>
      <c r="AP63" s="584"/>
      <c r="AQ63" s="584"/>
      <c r="AR63" s="584"/>
      <c r="AS63" s="584"/>
      <c r="AT63" s="584"/>
      <c r="AU63" s="584"/>
      <c r="AV63" s="584"/>
      <c r="AW63" s="584"/>
      <c r="AX63" s="584"/>
      <c r="AY63" s="584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  <c r="BJ63" s="196"/>
      <c r="BK63" s="196"/>
      <c r="BL63" s="196"/>
      <c r="BM63" s="196"/>
      <c r="BN63" s="196"/>
      <c r="BO63" s="196"/>
      <c r="BP63" s="196"/>
      <c r="BQ63" s="196"/>
      <c r="BR63" s="196"/>
      <c r="BS63" s="196"/>
      <c r="BT63" s="196"/>
      <c r="BU63" s="196"/>
      <c r="BV63" s="196"/>
      <c r="BW63" s="196"/>
      <c r="BX63" s="196"/>
      <c r="BY63" s="196"/>
      <c r="BZ63" s="196"/>
      <c r="CA63" s="196"/>
      <c r="CB63" s="196"/>
      <c r="CC63" s="196"/>
      <c r="CD63" s="196"/>
      <c r="CE63" s="196"/>
      <c r="CF63" s="196"/>
      <c r="CG63" s="196"/>
      <c r="CH63" s="196"/>
      <c r="CI63" s="196"/>
      <c r="CJ63" s="196"/>
      <c r="CK63" s="196"/>
      <c r="CL63" s="196"/>
      <c r="CM63" s="196"/>
      <c r="CN63" s="196"/>
      <c r="CO63" s="196"/>
      <c r="CP63" s="196"/>
      <c r="CQ63" s="196"/>
      <c r="CR63" s="196"/>
      <c r="CS63" s="196"/>
      <c r="CT63" s="196"/>
      <c r="CU63" s="196"/>
      <c r="CV63" s="196"/>
      <c r="CW63" s="196"/>
      <c r="CX63" s="196"/>
      <c r="CY63" s="196"/>
      <c r="CZ63" s="196"/>
      <c r="DA63" s="196"/>
      <c r="DB63" s="196"/>
      <c r="DC63" s="196"/>
      <c r="DD63" s="196"/>
      <c r="DE63" s="196"/>
      <c r="DF63" s="196"/>
      <c r="DG63" s="196"/>
      <c r="DH63" s="196"/>
      <c r="DI63" s="196"/>
      <c r="DJ63" s="196"/>
      <c r="DK63" s="196"/>
      <c r="DL63" s="196"/>
      <c r="DM63" s="196"/>
      <c r="DN63" s="196"/>
      <c r="DO63" s="196"/>
      <c r="DP63" s="196"/>
      <c r="DQ63" s="196"/>
      <c r="DR63" s="196"/>
      <c r="DS63" s="196"/>
      <c r="DT63" s="196"/>
      <c r="DU63" s="196"/>
      <c r="DV63" s="196"/>
      <c r="DW63" s="196"/>
      <c r="DX63" s="196"/>
      <c r="DY63" s="196"/>
      <c r="DZ63" s="196"/>
      <c r="EA63" s="196"/>
      <c r="EB63" s="196"/>
      <c r="EC63" s="196"/>
      <c r="ED63" s="196"/>
      <c r="EE63" s="196"/>
      <c r="EF63" s="196"/>
      <c r="EG63" s="196"/>
      <c r="EH63" s="196"/>
      <c r="EI63" s="196"/>
      <c r="EJ63" s="196"/>
      <c r="EK63" s="196"/>
      <c r="EL63" s="196"/>
      <c r="EM63" s="196"/>
      <c r="EN63" s="196"/>
      <c r="EO63" s="196"/>
      <c r="EP63" s="196"/>
      <c r="EQ63" s="196"/>
      <c r="ER63" s="196"/>
      <c r="ES63" s="196"/>
      <c r="ET63" s="196"/>
      <c r="EU63" s="196"/>
      <c r="EV63" s="196"/>
      <c r="EW63" s="196"/>
      <c r="EX63" s="196"/>
      <c r="EY63" s="196"/>
      <c r="EZ63" s="196"/>
      <c r="FA63" s="196"/>
      <c r="FB63" s="196"/>
      <c r="FC63" s="196"/>
      <c r="FD63" s="196"/>
      <c r="FE63" s="196"/>
      <c r="FF63" s="196"/>
      <c r="FG63" s="196"/>
      <c r="FH63" s="196"/>
      <c r="FI63" s="196"/>
      <c r="FJ63" s="196"/>
      <c r="FK63" s="196"/>
      <c r="FL63" s="196"/>
      <c r="FM63" s="196"/>
      <c r="FN63" s="196"/>
      <c r="FO63" s="196"/>
      <c r="FP63" s="196"/>
      <c r="FQ63" s="196"/>
      <c r="FR63" s="196"/>
      <c r="FS63" s="196"/>
      <c r="FT63" s="196"/>
      <c r="FU63" s="196"/>
      <c r="FV63" s="196"/>
      <c r="FW63" s="196"/>
      <c r="FX63" s="196"/>
      <c r="FY63" s="196"/>
      <c r="FZ63" s="196"/>
      <c r="GA63" s="196"/>
      <c r="GB63" s="196"/>
      <c r="GC63" s="196"/>
      <c r="GD63" s="196"/>
      <c r="GE63" s="196"/>
      <c r="GF63" s="196"/>
      <c r="GG63" s="196"/>
      <c r="GH63" s="196"/>
      <c r="GI63" s="196"/>
      <c r="GJ63" s="196"/>
      <c r="GK63" s="196"/>
      <c r="GL63" s="196"/>
      <c r="GM63" s="196"/>
      <c r="GN63" s="196"/>
      <c r="GO63" s="196"/>
      <c r="GP63" s="196"/>
      <c r="GQ63" s="196"/>
      <c r="GR63" s="196"/>
      <c r="GS63" s="196"/>
      <c r="GT63" s="196"/>
      <c r="GU63" s="196"/>
      <c r="GV63" s="196"/>
      <c r="GW63" s="196"/>
      <c r="GX63" s="196"/>
      <c r="GY63" s="196"/>
      <c r="GZ63" s="196"/>
      <c r="HA63" s="196"/>
      <c r="HB63" s="196"/>
      <c r="HC63" s="196"/>
      <c r="HD63" s="196"/>
      <c r="HE63" s="196"/>
      <c r="HF63" s="196"/>
      <c r="HG63" s="196"/>
      <c r="HH63" s="196"/>
      <c r="HI63" s="196"/>
      <c r="HJ63" s="196"/>
      <c r="HK63" s="196"/>
      <c r="HL63" s="196"/>
      <c r="HM63" s="196"/>
      <c r="HN63" s="196"/>
      <c r="HO63" s="196"/>
      <c r="HP63" s="196"/>
      <c r="HQ63" s="196"/>
      <c r="HR63" s="196"/>
      <c r="HS63" s="196"/>
      <c r="HT63" s="196"/>
      <c r="HU63" s="196"/>
      <c r="HV63" s="196"/>
      <c r="HW63" s="196"/>
      <c r="HX63" s="196"/>
      <c r="HY63" s="196"/>
      <c r="HZ63" s="196"/>
      <c r="IA63" s="196"/>
      <c r="IB63" s="196"/>
      <c r="IC63" s="196"/>
      <c r="ID63" s="196"/>
      <c r="IE63" s="196"/>
      <c r="IF63" s="196"/>
      <c r="IG63" s="196"/>
      <c r="IH63" s="196"/>
      <c r="II63" s="196"/>
      <c r="IJ63" s="196"/>
      <c r="IK63" s="196"/>
      <c r="IL63" s="196"/>
      <c r="IM63" s="196"/>
      <c r="IN63" s="196"/>
      <c r="IO63" s="196"/>
      <c r="IP63" s="196"/>
      <c r="IQ63" s="196"/>
      <c r="IR63" s="196"/>
    </row>
    <row r="64" spans="1:252" ht="15.6">
      <c r="A64" s="196"/>
      <c r="B64" s="196"/>
      <c r="C64" s="587"/>
      <c r="D64" s="584"/>
      <c r="E64" s="584"/>
      <c r="F64" s="584"/>
      <c r="G64" s="584"/>
      <c r="H64" s="584"/>
      <c r="I64" s="584"/>
      <c r="J64" s="584"/>
      <c r="K64" s="584"/>
      <c r="L64" s="584"/>
      <c r="M64" s="584"/>
      <c r="N64" s="584"/>
      <c r="O64" s="584"/>
      <c r="P64" s="584"/>
      <c r="Q64" s="584"/>
      <c r="R64" s="579"/>
      <c r="S64" s="579"/>
      <c r="T64" s="579"/>
      <c r="U64" s="579"/>
      <c r="V64" s="579"/>
      <c r="W64" s="579"/>
      <c r="X64" s="579"/>
      <c r="Y64" s="579"/>
      <c r="Z64" s="579"/>
      <c r="AA64" s="579"/>
      <c r="AB64" s="579"/>
      <c r="AC64" s="579"/>
      <c r="AD64" s="579"/>
      <c r="AE64" s="579"/>
      <c r="AF64" s="579"/>
      <c r="AG64" s="579"/>
      <c r="AH64" s="579"/>
      <c r="AI64" s="579"/>
      <c r="AJ64" s="579"/>
      <c r="AK64" s="579"/>
      <c r="AL64" s="579"/>
      <c r="AM64" s="579"/>
      <c r="AN64" s="579"/>
      <c r="AO64" s="579"/>
      <c r="AP64" s="584"/>
      <c r="AQ64" s="584"/>
      <c r="AR64" s="584"/>
      <c r="AS64" s="584"/>
      <c r="AT64" s="584"/>
      <c r="AU64" s="584"/>
      <c r="AV64" s="584"/>
      <c r="AW64" s="584"/>
      <c r="AX64" s="584"/>
      <c r="AY64" s="584"/>
      <c r="AZ64" s="196"/>
      <c r="BA64" s="196"/>
      <c r="BB64" s="196"/>
      <c r="BC64" s="196"/>
      <c r="BD64" s="196"/>
      <c r="BE64" s="196"/>
      <c r="BF64" s="196"/>
      <c r="BG64" s="196"/>
      <c r="BH64" s="196"/>
      <c r="BI64" s="196"/>
      <c r="BJ64" s="196"/>
      <c r="BK64" s="196"/>
      <c r="BL64" s="196"/>
      <c r="BM64" s="196"/>
      <c r="BN64" s="196"/>
      <c r="BO64" s="196"/>
      <c r="BP64" s="196"/>
      <c r="BQ64" s="196"/>
      <c r="BR64" s="196"/>
      <c r="BS64" s="196"/>
      <c r="BT64" s="196"/>
      <c r="BU64" s="196"/>
      <c r="BV64" s="196"/>
      <c r="BW64" s="196"/>
      <c r="BX64" s="196"/>
      <c r="BY64" s="196"/>
      <c r="BZ64" s="196"/>
      <c r="CA64" s="196"/>
      <c r="CB64" s="196"/>
      <c r="CC64" s="196"/>
      <c r="CD64" s="196"/>
      <c r="CE64" s="196"/>
      <c r="CF64" s="196"/>
      <c r="CG64" s="196"/>
      <c r="CH64" s="196"/>
      <c r="CI64" s="196"/>
      <c r="CJ64" s="196"/>
      <c r="CK64" s="196"/>
      <c r="CL64" s="196"/>
      <c r="CM64" s="196"/>
      <c r="CN64" s="196"/>
      <c r="CO64" s="196"/>
      <c r="CP64" s="196"/>
      <c r="CQ64" s="196"/>
      <c r="CR64" s="196"/>
      <c r="CS64" s="196"/>
      <c r="CT64" s="196"/>
      <c r="CU64" s="196"/>
      <c r="CV64" s="196"/>
      <c r="CW64" s="196"/>
      <c r="CX64" s="196"/>
      <c r="CY64" s="196"/>
      <c r="CZ64" s="196"/>
      <c r="DA64" s="196"/>
      <c r="DB64" s="196"/>
      <c r="DC64" s="196"/>
      <c r="DD64" s="196"/>
      <c r="DE64" s="196"/>
      <c r="DF64" s="196"/>
      <c r="DG64" s="196"/>
      <c r="DH64" s="196"/>
      <c r="DI64" s="196"/>
      <c r="DJ64" s="196"/>
      <c r="DK64" s="196"/>
      <c r="DL64" s="196"/>
      <c r="DM64" s="196"/>
      <c r="DN64" s="196"/>
      <c r="DO64" s="196"/>
      <c r="DP64" s="196"/>
      <c r="DQ64" s="196"/>
      <c r="DR64" s="196"/>
      <c r="DS64" s="196"/>
      <c r="DT64" s="196"/>
      <c r="DU64" s="196"/>
      <c r="DV64" s="196"/>
      <c r="DW64" s="196"/>
      <c r="DX64" s="196"/>
      <c r="DY64" s="196"/>
      <c r="DZ64" s="196"/>
      <c r="EA64" s="196"/>
      <c r="EB64" s="196"/>
      <c r="EC64" s="196"/>
      <c r="ED64" s="196"/>
      <c r="EE64" s="196"/>
      <c r="EF64" s="196"/>
      <c r="EG64" s="196"/>
      <c r="EH64" s="196"/>
      <c r="EI64" s="196"/>
      <c r="EJ64" s="196"/>
      <c r="EK64" s="196"/>
      <c r="EL64" s="196"/>
      <c r="EM64" s="196"/>
      <c r="EN64" s="196"/>
      <c r="EO64" s="196"/>
      <c r="EP64" s="196"/>
      <c r="EQ64" s="196"/>
      <c r="ER64" s="196"/>
      <c r="ES64" s="196"/>
      <c r="ET64" s="196"/>
      <c r="EU64" s="196"/>
      <c r="EV64" s="196"/>
      <c r="EW64" s="196"/>
      <c r="EX64" s="196"/>
      <c r="EY64" s="196"/>
      <c r="EZ64" s="196"/>
      <c r="FA64" s="196"/>
      <c r="FB64" s="196"/>
      <c r="FC64" s="196"/>
      <c r="FD64" s="196"/>
      <c r="FE64" s="196"/>
      <c r="FF64" s="196"/>
      <c r="FG64" s="196"/>
      <c r="FH64" s="196"/>
      <c r="FI64" s="196"/>
      <c r="FJ64" s="196"/>
      <c r="FK64" s="196"/>
      <c r="FL64" s="196"/>
      <c r="FM64" s="196"/>
      <c r="FN64" s="196"/>
      <c r="FO64" s="196"/>
      <c r="FP64" s="196"/>
      <c r="FQ64" s="196"/>
      <c r="FR64" s="196"/>
      <c r="FS64" s="196"/>
      <c r="FT64" s="196"/>
      <c r="FU64" s="196"/>
      <c r="FV64" s="196"/>
      <c r="FW64" s="196"/>
      <c r="FX64" s="196"/>
      <c r="FY64" s="196"/>
      <c r="FZ64" s="196"/>
      <c r="GA64" s="196"/>
      <c r="GB64" s="196"/>
      <c r="GC64" s="196"/>
      <c r="GD64" s="196"/>
      <c r="GE64" s="196"/>
      <c r="GF64" s="196"/>
      <c r="GG64" s="196"/>
      <c r="GH64" s="196"/>
      <c r="GI64" s="196"/>
      <c r="GJ64" s="196"/>
      <c r="GK64" s="196"/>
      <c r="GL64" s="196"/>
      <c r="GM64" s="196"/>
      <c r="GN64" s="196"/>
      <c r="GO64" s="196"/>
      <c r="GP64" s="196"/>
      <c r="GQ64" s="196"/>
      <c r="GR64" s="196"/>
      <c r="GS64" s="196"/>
      <c r="GT64" s="196"/>
      <c r="GU64" s="196"/>
      <c r="GV64" s="196"/>
      <c r="GW64" s="196"/>
      <c r="GX64" s="196"/>
      <c r="GY64" s="196"/>
      <c r="GZ64" s="196"/>
      <c r="HA64" s="196"/>
      <c r="HB64" s="196"/>
      <c r="HC64" s="196"/>
      <c r="HD64" s="196"/>
      <c r="HE64" s="196"/>
      <c r="HF64" s="196"/>
      <c r="HG64" s="196"/>
      <c r="HH64" s="196"/>
      <c r="HI64" s="196"/>
      <c r="HJ64" s="196"/>
      <c r="HK64" s="196"/>
      <c r="HL64" s="196"/>
      <c r="HM64" s="196"/>
      <c r="HN64" s="196"/>
      <c r="HO64" s="196"/>
      <c r="HP64" s="196"/>
      <c r="HQ64" s="196"/>
      <c r="HR64" s="196"/>
      <c r="HS64" s="196"/>
      <c r="HT64" s="196"/>
      <c r="HU64" s="196"/>
      <c r="HV64" s="196"/>
      <c r="HW64" s="196"/>
      <c r="HX64" s="196"/>
      <c r="HY64" s="196"/>
      <c r="HZ64" s="196"/>
      <c r="IA64" s="196"/>
      <c r="IB64" s="196"/>
      <c r="IC64" s="196"/>
      <c r="ID64" s="196"/>
      <c r="IE64" s="196"/>
      <c r="IF64" s="196"/>
      <c r="IG64" s="196"/>
      <c r="IH64" s="196"/>
      <c r="II64" s="196"/>
      <c r="IJ64" s="196"/>
      <c r="IK64" s="196"/>
      <c r="IL64" s="196"/>
      <c r="IM64" s="196"/>
      <c r="IN64" s="196"/>
      <c r="IO64" s="196"/>
      <c r="IP64" s="196"/>
      <c r="IQ64" s="196"/>
      <c r="IR64" s="196"/>
    </row>
    <row r="65" spans="1:252" ht="15.6">
      <c r="A65" s="196"/>
      <c r="B65" s="196"/>
      <c r="C65" s="587"/>
      <c r="D65" s="584"/>
      <c r="E65" s="584"/>
      <c r="F65" s="584"/>
      <c r="G65" s="584"/>
      <c r="H65" s="584"/>
      <c r="I65" s="584"/>
      <c r="J65" s="584"/>
      <c r="K65" s="584"/>
      <c r="L65" s="584"/>
      <c r="M65" s="584"/>
      <c r="N65" s="584"/>
      <c r="O65" s="584"/>
      <c r="P65" s="584"/>
      <c r="Q65" s="584"/>
      <c r="R65" s="579"/>
      <c r="S65" s="579"/>
      <c r="T65" s="579"/>
      <c r="U65" s="579"/>
      <c r="V65" s="579"/>
      <c r="W65" s="579"/>
      <c r="X65" s="579"/>
      <c r="Y65" s="579"/>
      <c r="Z65" s="579"/>
      <c r="AA65" s="579"/>
      <c r="AB65" s="579"/>
      <c r="AC65" s="579"/>
      <c r="AD65" s="579"/>
      <c r="AE65" s="579"/>
      <c r="AF65" s="579"/>
      <c r="AG65" s="579"/>
      <c r="AH65" s="579"/>
      <c r="AI65" s="579"/>
      <c r="AJ65" s="579"/>
      <c r="AK65" s="579"/>
      <c r="AL65" s="579"/>
      <c r="AM65" s="579"/>
      <c r="AN65" s="579"/>
      <c r="AO65" s="579"/>
      <c r="AP65" s="584"/>
      <c r="AQ65" s="584"/>
      <c r="AR65" s="584"/>
      <c r="AS65" s="584"/>
      <c r="AT65" s="584"/>
      <c r="AU65" s="584"/>
      <c r="AV65" s="584"/>
      <c r="AW65" s="584"/>
      <c r="AX65" s="584"/>
      <c r="AY65" s="584"/>
      <c r="AZ65" s="196"/>
      <c r="BA65" s="196"/>
      <c r="BB65" s="196"/>
      <c r="BC65" s="196"/>
      <c r="BD65" s="196"/>
      <c r="BE65" s="196"/>
      <c r="BF65" s="196"/>
      <c r="BG65" s="196"/>
      <c r="BH65" s="196"/>
      <c r="BI65" s="196"/>
      <c r="BJ65" s="196"/>
      <c r="BK65" s="196"/>
      <c r="BL65" s="196"/>
      <c r="BM65" s="196"/>
      <c r="BN65" s="196"/>
      <c r="BO65" s="196"/>
      <c r="BP65" s="196"/>
      <c r="BQ65" s="196"/>
      <c r="BR65" s="196"/>
      <c r="BS65" s="196"/>
      <c r="BT65" s="196"/>
      <c r="BU65" s="196"/>
      <c r="BV65" s="196"/>
      <c r="BW65" s="196"/>
      <c r="BX65" s="196"/>
      <c r="BY65" s="196"/>
      <c r="BZ65" s="196"/>
      <c r="CA65" s="196"/>
      <c r="CB65" s="196"/>
      <c r="CC65" s="196"/>
      <c r="CD65" s="196"/>
      <c r="CE65" s="196"/>
      <c r="CF65" s="196"/>
      <c r="CG65" s="196"/>
      <c r="CH65" s="196"/>
      <c r="CI65" s="196"/>
      <c r="CJ65" s="196"/>
      <c r="CK65" s="196"/>
      <c r="CL65" s="196"/>
      <c r="CM65" s="196"/>
      <c r="CN65" s="196"/>
      <c r="CO65" s="196"/>
      <c r="CP65" s="196"/>
      <c r="CQ65" s="196"/>
      <c r="CR65" s="196"/>
      <c r="CS65" s="196"/>
      <c r="CT65" s="196"/>
      <c r="CU65" s="196"/>
      <c r="CV65" s="196"/>
      <c r="CW65" s="196"/>
      <c r="CX65" s="196"/>
      <c r="CY65" s="196"/>
      <c r="CZ65" s="196"/>
      <c r="DA65" s="196"/>
      <c r="DB65" s="196"/>
      <c r="DC65" s="196"/>
      <c r="DD65" s="196"/>
      <c r="DE65" s="196"/>
      <c r="DF65" s="196"/>
      <c r="DG65" s="196"/>
      <c r="DH65" s="196"/>
      <c r="DI65" s="196"/>
      <c r="DJ65" s="196"/>
      <c r="DK65" s="196"/>
      <c r="DL65" s="196"/>
      <c r="DM65" s="196"/>
      <c r="DN65" s="196"/>
      <c r="DO65" s="196"/>
      <c r="DP65" s="196"/>
      <c r="DQ65" s="196"/>
      <c r="DR65" s="196"/>
      <c r="DS65" s="196"/>
      <c r="DT65" s="196"/>
      <c r="DU65" s="196"/>
      <c r="DV65" s="196"/>
      <c r="DW65" s="196"/>
      <c r="DX65" s="196"/>
      <c r="DY65" s="196"/>
      <c r="DZ65" s="196"/>
      <c r="EA65" s="196"/>
      <c r="EB65" s="196"/>
      <c r="EC65" s="196"/>
      <c r="ED65" s="196"/>
      <c r="EE65" s="196"/>
      <c r="EF65" s="196"/>
      <c r="EG65" s="196"/>
      <c r="EH65" s="196"/>
      <c r="EI65" s="196"/>
      <c r="EJ65" s="196"/>
      <c r="EK65" s="196"/>
      <c r="EL65" s="196"/>
      <c r="EM65" s="196"/>
      <c r="EN65" s="196"/>
      <c r="EO65" s="196"/>
      <c r="EP65" s="196"/>
      <c r="EQ65" s="196"/>
      <c r="ER65" s="196"/>
      <c r="ES65" s="196"/>
      <c r="ET65" s="196"/>
      <c r="EU65" s="196"/>
      <c r="EV65" s="196"/>
      <c r="EW65" s="196"/>
      <c r="EX65" s="196"/>
      <c r="EY65" s="196"/>
      <c r="EZ65" s="196"/>
      <c r="FA65" s="196"/>
      <c r="FB65" s="196"/>
      <c r="FC65" s="196"/>
      <c r="FD65" s="196"/>
      <c r="FE65" s="196"/>
      <c r="FF65" s="196"/>
      <c r="FG65" s="196"/>
      <c r="FH65" s="196"/>
      <c r="FI65" s="196"/>
      <c r="FJ65" s="196"/>
      <c r="FK65" s="196"/>
      <c r="FL65" s="196"/>
      <c r="FM65" s="196"/>
      <c r="FN65" s="196"/>
      <c r="FO65" s="196"/>
      <c r="FP65" s="196"/>
      <c r="FQ65" s="196"/>
      <c r="FR65" s="196"/>
      <c r="FS65" s="196"/>
      <c r="FT65" s="196"/>
      <c r="FU65" s="196"/>
      <c r="FV65" s="196"/>
      <c r="FW65" s="196"/>
      <c r="FX65" s="196"/>
      <c r="FY65" s="196"/>
      <c r="FZ65" s="196"/>
      <c r="GA65" s="196"/>
      <c r="GB65" s="196"/>
      <c r="GC65" s="196"/>
      <c r="GD65" s="196"/>
      <c r="GE65" s="196"/>
      <c r="GF65" s="196"/>
      <c r="GG65" s="196"/>
      <c r="GH65" s="196"/>
      <c r="GI65" s="196"/>
      <c r="GJ65" s="196"/>
      <c r="GK65" s="196"/>
      <c r="GL65" s="196"/>
      <c r="GM65" s="196"/>
      <c r="GN65" s="196"/>
      <c r="GO65" s="196"/>
      <c r="GP65" s="196"/>
      <c r="GQ65" s="196"/>
      <c r="GR65" s="196"/>
      <c r="GS65" s="196"/>
      <c r="GT65" s="196"/>
      <c r="GU65" s="196"/>
      <c r="GV65" s="196"/>
      <c r="GW65" s="196"/>
      <c r="GX65" s="196"/>
      <c r="GY65" s="196"/>
      <c r="GZ65" s="196"/>
      <c r="HA65" s="196"/>
      <c r="HB65" s="196"/>
      <c r="HC65" s="196"/>
      <c r="HD65" s="196"/>
      <c r="HE65" s="196"/>
      <c r="HF65" s="196"/>
      <c r="HG65" s="196"/>
      <c r="HH65" s="196"/>
      <c r="HI65" s="196"/>
      <c r="HJ65" s="196"/>
      <c r="HK65" s="196"/>
      <c r="HL65" s="196"/>
      <c r="HM65" s="196"/>
      <c r="HN65" s="196"/>
      <c r="HO65" s="196"/>
      <c r="HP65" s="196"/>
      <c r="HQ65" s="196"/>
      <c r="HR65" s="196"/>
      <c r="HS65" s="196"/>
      <c r="HT65" s="196"/>
      <c r="HU65" s="196"/>
      <c r="HV65" s="196"/>
      <c r="HW65" s="196"/>
      <c r="HX65" s="196"/>
      <c r="HY65" s="196"/>
      <c r="HZ65" s="196"/>
      <c r="IA65" s="196"/>
      <c r="IB65" s="196"/>
      <c r="IC65" s="196"/>
      <c r="ID65" s="196"/>
      <c r="IE65" s="196"/>
      <c r="IF65" s="196"/>
      <c r="IG65" s="196"/>
      <c r="IH65" s="196"/>
      <c r="II65" s="196"/>
      <c r="IJ65" s="196"/>
      <c r="IK65" s="196"/>
      <c r="IL65" s="196"/>
      <c r="IM65" s="196"/>
      <c r="IN65" s="196"/>
      <c r="IO65" s="196"/>
      <c r="IP65" s="196"/>
      <c r="IQ65" s="196"/>
      <c r="IR65" s="196"/>
    </row>
    <row r="66" spans="1:252" ht="15.6">
      <c r="A66" s="196"/>
      <c r="B66" s="196"/>
      <c r="C66" s="587">
        <v>435</v>
      </c>
      <c r="D66" s="587">
        <v>735</v>
      </c>
      <c r="E66" s="587">
        <v>683</v>
      </c>
      <c r="F66" s="587">
        <v>705</v>
      </c>
      <c r="G66" s="587">
        <v>670</v>
      </c>
      <c r="H66" s="584">
        <v>595</v>
      </c>
      <c r="I66" s="584">
        <v>636</v>
      </c>
      <c r="J66" s="584">
        <v>674</v>
      </c>
      <c r="K66" s="584">
        <v>669</v>
      </c>
      <c r="L66" s="584">
        <v>658</v>
      </c>
      <c r="M66" s="584">
        <v>653</v>
      </c>
      <c r="N66" s="584">
        <v>644</v>
      </c>
      <c r="O66" s="584">
        <v>662</v>
      </c>
      <c r="P66" s="584">
        <v>650</v>
      </c>
      <c r="Q66" s="584">
        <v>658</v>
      </c>
      <c r="R66" s="584">
        <v>640</v>
      </c>
      <c r="S66" s="584">
        <v>647</v>
      </c>
      <c r="T66" s="584">
        <v>643</v>
      </c>
      <c r="U66" s="584">
        <v>644</v>
      </c>
      <c r="V66" s="584">
        <v>622</v>
      </c>
      <c r="W66" s="584">
        <v>616</v>
      </c>
      <c r="X66" s="579"/>
      <c r="Y66" s="579"/>
      <c r="Z66" s="579"/>
      <c r="AA66" s="579"/>
      <c r="AB66" s="579"/>
      <c r="AC66" s="579"/>
      <c r="AD66" s="579"/>
      <c r="AE66" s="579"/>
      <c r="AF66" s="579"/>
      <c r="AG66" s="579"/>
      <c r="AH66" s="579"/>
      <c r="AI66" s="579"/>
      <c r="AJ66" s="579"/>
      <c r="AK66" s="579"/>
      <c r="AL66" s="579"/>
      <c r="AM66" s="579"/>
      <c r="AN66" s="579"/>
      <c r="AO66" s="579"/>
      <c r="AP66" s="584"/>
      <c r="AQ66" s="584"/>
      <c r="AR66" s="584"/>
      <c r="AS66" s="584"/>
      <c r="AT66" s="584"/>
      <c r="AU66" s="584"/>
      <c r="AV66" s="584"/>
      <c r="AW66" s="584"/>
      <c r="AX66" s="584"/>
      <c r="AY66" s="584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  <c r="BJ66" s="196"/>
      <c r="BK66" s="196"/>
      <c r="BL66" s="196"/>
      <c r="BM66" s="196"/>
      <c r="BN66" s="196"/>
      <c r="BO66" s="196"/>
      <c r="BP66" s="196"/>
      <c r="BQ66" s="196"/>
      <c r="BR66" s="196"/>
      <c r="BS66" s="196"/>
      <c r="BT66" s="196"/>
      <c r="BU66" s="196"/>
      <c r="BV66" s="196"/>
      <c r="BW66" s="196"/>
      <c r="BX66" s="196"/>
      <c r="BY66" s="196"/>
      <c r="BZ66" s="196"/>
      <c r="CA66" s="196"/>
      <c r="CB66" s="196"/>
      <c r="CC66" s="196"/>
      <c r="CD66" s="196"/>
      <c r="CE66" s="196"/>
      <c r="CF66" s="196"/>
      <c r="CG66" s="196"/>
      <c r="CH66" s="196"/>
      <c r="CI66" s="196"/>
      <c r="CJ66" s="196"/>
      <c r="CK66" s="196"/>
      <c r="CL66" s="196"/>
      <c r="CM66" s="196"/>
      <c r="CN66" s="196"/>
      <c r="CO66" s="196"/>
      <c r="CP66" s="196"/>
      <c r="CQ66" s="196"/>
      <c r="CR66" s="196"/>
      <c r="CS66" s="196"/>
      <c r="CT66" s="196"/>
      <c r="CU66" s="196"/>
      <c r="CV66" s="196"/>
      <c r="CW66" s="196"/>
      <c r="CX66" s="196"/>
      <c r="CY66" s="196"/>
      <c r="CZ66" s="196"/>
      <c r="DA66" s="196"/>
      <c r="DB66" s="196"/>
      <c r="DC66" s="196"/>
      <c r="DD66" s="196"/>
      <c r="DE66" s="196"/>
      <c r="DF66" s="196"/>
      <c r="DG66" s="196"/>
      <c r="DH66" s="196"/>
      <c r="DI66" s="196"/>
      <c r="DJ66" s="196"/>
      <c r="DK66" s="196"/>
      <c r="DL66" s="196"/>
      <c r="DM66" s="196"/>
      <c r="DN66" s="196"/>
      <c r="DO66" s="196"/>
      <c r="DP66" s="196"/>
      <c r="DQ66" s="196"/>
      <c r="DR66" s="196"/>
      <c r="DS66" s="196"/>
      <c r="DT66" s="196"/>
      <c r="DU66" s="196"/>
      <c r="DV66" s="196"/>
      <c r="DW66" s="196"/>
      <c r="DX66" s="196"/>
      <c r="DY66" s="196"/>
      <c r="DZ66" s="196"/>
      <c r="EA66" s="196"/>
      <c r="EB66" s="196"/>
      <c r="EC66" s="196"/>
      <c r="ED66" s="196"/>
      <c r="EE66" s="196"/>
      <c r="EF66" s="196"/>
      <c r="EG66" s="196"/>
      <c r="EH66" s="196"/>
      <c r="EI66" s="196"/>
      <c r="EJ66" s="196"/>
      <c r="EK66" s="196"/>
      <c r="EL66" s="196"/>
      <c r="EM66" s="196"/>
      <c r="EN66" s="196"/>
      <c r="EO66" s="196"/>
      <c r="EP66" s="196"/>
      <c r="EQ66" s="196"/>
      <c r="ER66" s="196"/>
      <c r="ES66" s="196"/>
      <c r="ET66" s="196"/>
      <c r="EU66" s="196"/>
      <c r="EV66" s="196"/>
      <c r="EW66" s="196"/>
      <c r="EX66" s="196"/>
      <c r="EY66" s="196"/>
      <c r="EZ66" s="196"/>
      <c r="FA66" s="196"/>
      <c r="FB66" s="196"/>
      <c r="FC66" s="196"/>
      <c r="FD66" s="196"/>
      <c r="FE66" s="196"/>
      <c r="FF66" s="196"/>
      <c r="FG66" s="196"/>
      <c r="FH66" s="196"/>
      <c r="FI66" s="196"/>
      <c r="FJ66" s="196"/>
      <c r="FK66" s="196"/>
      <c r="FL66" s="196"/>
      <c r="FM66" s="196"/>
      <c r="FN66" s="196"/>
      <c r="FO66" s="196"/>
      <c r="FP66" s="196"/>
      <c r="FQ66" s="196"/>
      <c r="FR66" s="196"/>
      <c r="FS66" s="196"/>
      <c r="FT66" s="196"/>
      <c r="FU66" s="196"/>
      <c r="FV66" s="196"/>
      <c r="FW66" s="196"/>
      <c r="FX66" s="196"/>
      <c r="FY66" s="196"/>
      <c r="FZ66" s="196"/>
      <c r="GA66" s="196"/>
      <c r="GB66" s="196"/>
      <c r="GC66" s="196"/>
      <c r="GD66" s="196"/>
      <c r="GE66" s="196"/>
      <c r="GF66" s="196"/>
      <c r="GG66" s="196"/>
      <c r="GH66" s="196"/>
      <c r="GI66" s="196"/>
      <c r="GJ66" s="196"/>
      <c r="GK66" s="196"/>
      <c r="GL66" s="196"/>
      <c r="GM66" s="196"/>
      <c r="GN66" s="196"/>
      <c r="GO66" s="196"/>
      <c r="GP66" s="196"/>
      <c r="GQ66" s="196"/>
      <c r="GR66" s="196"/>
      <c r="GS66" s="196"/>
      <c r="GT66" s="196"/>
      <c r="GU66" s="196"/>
      <c r="GV66" s="196"/>
      <c r="GW66" s="196"/>
      <c r="GX66" s="196"/>
      <c r="GY66" s="196"/>
      <c r="GZ66" s="196"/>
      <c r="HA66" s="196"/>
      <c r="HB66" s="196"/>
      <c r="HC66" s="196"/>
      <c r="HD66" s="196"/>
      <c r="HE66" s="196"/>
      <c r="HF66" s="196"/>
      <c r="HG66" s="196"/>
      <c r="HH66" s="196"/>
      <c r="HI66" s="196"/>
      <c r="HJ66" s="196"/>
      <c r="HK66" s="196"/>
      <c r="HL66" s="196"/>
      <c r="HM66" s="196"/>
      <c r="HN66" s="196"/>
      <c r="HO66" s="196"/>
      <c r="HP66" s="196"/>
      <c r="HQ66" s="196"/>
      <c r="HR66" s="196"/>
      <c r="HS66" s="196"/>
      <c r="HT66" s="196"/>
      <c r="HU66" s="196"/>
      <c r="HV66" s="196"/>
      <c r="HW66" s="196"/>
      <c r="HX66" s="196"/>
      <c r="HY66" s="196"/>
      <c r="HZ66" s="196"/>
      <c r="IA66" s="196"/>
      <c r="IB66" s="196"/>
      <c r="IC66" s="196"/>
      <c r="ID66" s="196"/>
      <c r="IE66" s="196"/>
      <c r="IF66" s="196"/>
      <c r="IG66" s="196"/>
      <c r="IH66" s="196"/>
      <c r="II66" s="196"/>
      <c r="IJ66" s="196"/>
      <c r="IK66" s="196"/>
      <c r="IL66" s="196"/>
      <c r="IM66" s="196"/>
      <c r="IN66" s="196"/>
      <c r="IO66" s="196"/>
      <c r="IP66" s="196"/>
      <c r="IQ66" s="196"/>
      <c r="IR66" s="196"/>
    </row>
    <row r="67" spans="1:252" ht="15.6">
      <c r="A67" s="196"/>
      <c r="B67" s="196"/>
      <c r="C67" s="587"/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4"/>
      <c r="O67" s="584"/>
      <c r="P67" s="584"/>
      <c r="Q67" s="584"/>
      <c r="R67" s="579"/>
      <c r="S67" s="579"/>
      <c r="T67" s="579"/>
      <c r="U67" s="579"/>
      <c r="V67" s="579"/>
      <c r="W67" s="579"/>
      <c r="X67" s="579"/>
      <c r="Y67" s="579"/>
      <c r="Z67" s="579"/>
      <c r="AA67" s="579"/>
      <c r="AB67" s="579"/>
      <c r="AC67" s="579"/>
      <c r="AD67" s="579"/>
      <c r="AE67" s="579"/>
      <c r="AF67" s="579"/>
      <c r="AG67" s="579"/>
      <c r="AH67" s="579"/>
      <c r="AI67" s="579"/>
      <c r="AJ67" s="579"/>
      <c r="AK67" s="579"/>
      <c r="AL67" s="579"/>
      <c r="AM67" s="579"/>
      <c r="AN67" s="579"/>
      <c r="AO67" s="579"/>
      <c r="AP67" s="584"/>
      <c r="AQ67" s="584"/>
      <c r="AR67" s="584"/>
      <c r="AS67" s="584"/>
      <c r="AT67" s="584"/>
      <c r="AU67" s="584"/>
      <c r="AV67" s="584"/>
      <c r="AW67" s="584"/>
      <c r="AX67" s="584"/>
      <c r="AY67" s="584"/>
      <c r="AZ67" s="196"/>
      <c r="BA67" s="196"/>
      <c r="BB67" s="196"/>
      <c r="BC67" s="196"/>
      <c r="BD67" s="196"/>
      <c r="BE67" s="196"/>
      <c r="BF67" s="196"/>
      <c r="BG67" s="196"/>
      <c r="BH67" s="196"/>
      <c r="BI67" s="196"/>
      <c r="BJ67" s="196"/>
      <c r="BK67" s="196"/>
      <c r="BL67" s="196"/>
      <c r="BM67" s="196"/>
      <c r="BN67" s="196"/>
      <c r="BO67" s="196"/>
      <c r="BP67" s="196"/>
      <c r="BQ67" s="196"/>
      <c r="BR67" s="196"/>
      <c r="BS67" s="196"/>
      <c r="BT67" s="196"/>
      <c r="BU67" s="196"/>
      <c r="BV67" s="196"/>
      <c r="BW67" s="196"/>
      <c r="BX67" s="196"/>
      <c r="BY67" s="196"/>
      <c r="BZ67" s="196"/>
      <c r="CA67" s="196"/>
      <c r="CB67" s="196"/>
      <c r="CC67" s="196"/>
      <c r="CD67" s="196"/>
      <c r="CE67" s="196"/>
      <c r="CF67" s="196"/>
      <c r="CG67" s="196"/>
      <c r="CH67" s="196"/>
      <c r="CI67" s="196"/>
      <c r="CJ67" s="196"/>
      <c r="CK67" s="196"/>
      <c r="CL67" s="196"/>
      <c r="CM67" s="196"/>
      <c r="CN67" s="196"/>
      <c r="CO67" s="196"/>
      <c r="CP67" s="196"/>
      <c r="CQ67" s="196"/>
      <c r="CR67" s="196"/>
      <c r="CS67" s="196"/>
      <c r="CT67" s="196"/>
      <c r="CU67" s="196"/>
      <c r="CV67" s="196"/>
      <c r="CW67" s="196"/>
      <c r="CX67" s="196"/>
      <c r="CY67" s="196"/>
      <c r="CZ67" s="196"/>
      <c r="DA67" s="196"/>
      <c r="DB67" s="196"/>
      <c r="DC67" s="196"/>
      <c r="DD67" s="196"/>
      <c r="DE67" s="196"/>
      <c r="DF67" s="196"/>
      <c r="DG67" s="196"/>
      <c r="DH67" s="196"/>
      <c r="DI67" s="196"/>
      <c r="DJ67" s="196"/>
      <c r="DK67" s="196"/>
      <c r="DL67" s="196"/>
      <c r="DM67" s="196"/>
      <c r="DN67" s="196"/>
      <c r="DO67" s="196"/>
      <c r="DP67" s="196"/>
      <c r="DQ67" s="196"/>
      <c r="DR67" s="196"/>
      <c r="DS67" s="196"/>
      <c r="DT67" s="196"/>
      <c r="DU67" s="196"/>
      <c r="DV67" s="196"/>
      <c r="DW67" s="196"/>
      <c r="DX67" s="196"/>
      <c r="DY67" s="196"/>
      <c r="DZ67" s="196"/>
      <c r="EA67" s="196"/>
      <c r="EB67" s="196"/>
      <c r="EC67" s="196"/>
      <c r="ED67" s="196"/>
      <c r="EE67" s="196"/>
      <c r="EF67" s="196"/>
      <c r="EG67" s="196"/>
      <c r="EH67" s="196"/>
      <c r="EI67" s="196"/>
      <c r="EJ67" s="196"/>
      <c r="EK67" s="196"/>
      <c r="EL67" s="196"/>
      <c r="EM67" s="196"/>
      <c r="EN67" s="196"/>
      <c r="EO67" s="196"/>
      <c r="EP67" s="196"/>
      <c r="EQ67" s="196"/>
      <c r="ER67" s="196"/>
      <c r="ES67" s="196"/>
      <c r="ET67" s="196"/>
      <c r="EU67" s="196"/>
      <c r="EV67" s="196"/>
      <c r="EW67" s="196"/>
      <c r="EX67" s="196"/>
      <c r="EY67" s="196"/>
      <c r="EZ67" s="196"/>
      <c r="FA67" s="196"/>
      <c r="FB67" s="196"/>
      <c r="FC67" s="196"/>
      <c r="FD67" s="196"/>
      <c r="FE67" s="196"/>
      <c r="FF67" s="196"/>
      <c r="FG67" s="196"/>
      <c r="FH67" s="196"/>
      <c r="FI67" s="196"/>
      <c r="FJ67" s="196"/>
      <c r="FK67" s="196"/>
      <c r="FL67" s="196"/>
      <c r="FM67" s="196"/>
      <c r="FN67" s="196"/>
      <c r="FO67" s="196"/>
      <c r="FP67" s="196"/>
      <c r="FQ67" s="196"/>
      <c r="FR67" s="196"/>
      <c r="FS67" s="196"/>
      <c r="FT67" s="196"/>
      <c r="FU67" s="196"/>
      <c r="FV67" s="196"/>
      <c r="FW67" s="196"/>
      <c r="FX67" s="196"/>
      <c r="FY67" s="196"/>
      <c r="FZ67" s="196"/>
      <c r="GA67" s="196"/>
      <c r="GB67" s="196"/>
      <c r="GC67" s="196"/>
      <c r="GD67" s="196"/>
      <c r="GE67" s="196"/>
      <c r="GF67" s="196"/>
      <c r="GG67" s="196"/>
      <c r="GH67" s="196"/>
      <c r="GI67" s="196"/>
      <c r="GJ67" s="196"/>
      <c r="GK67" s="196"/>
      <c r="GL67" s="196"/>
      <c r="GM67" s="196"/>
      <c r="GN67" s="196"/>
      <c r="GO67" s="196"/>
      <c r="GP67" s="196"/>
      <c r="GQ67" s="196"/>
      <c r="GR67" s="196"/>
      <c r="GS67" s="196"/>
      <c r="GT67" s="196"/>
      <c r="GU67" s="196"/>
      <c r="GV67" s="196"/>
      <c r="GW67" s="196"/>
      <c r="GX67" s="196"/>
      <c r="GY67" s="196"/>
      <c r="GZ67" s="196"/>
      <c r="HA67" s="196"/>
      <c r="HB67" s="196"/>
      <c r="HC67" s="196"/>
      <c r="HD67" s="196"/>
      <c r="HE67" s="196"/>
      <c r="HF67" s="196"/>
      <c r="HG67" s="196"/>
      <c r="HH67" s="196"/>
      <c r="HI67" s="196"/>
      <c r="HJ67" s="196"/>
      <c r="HK67" s="196"/>
      <c r="HL67" s="196"/>
      <c r="HM67" s="196"/>
      <c r="HN67" s="196"/>
      <c r="HO67" s="196"/>
      <c r="HP67" s="196"/>
      <c r="HQ67" s="196"/>
      <c r="HR67" s="196"/>
      <c r="HS67" s="196"/>
      <c r="HT67" s="196"/>
      <c r="HU67" s="196"/>
      <c r="HV67" s="196"/>
      <c r="HW67" s="196"/>
      <c r="HX67" s="196"/>
      <c r="HY67" s="196"/>
      <c r="HZ67" s="196"/>
      <c r="IA67" s="196"/>
      <c r="IB67" s="196"/>
      <c r="IC67" s="196"/>
      <c r="ID67" s="196"/>
      <c r="IE67" s="196"/>
      <c r="IF67" s="196"/>
      <c r="IG67" s="196"/>
      <c r="IH67" s="196"/>
      <c r="II67" s="196"/>
      <c r="IJ67" s="196"/>
      <c r="IK67" s="196"/>
      <c r="IL67" s="196"/>
      <c r="IM67" s="196"/>
      <c r="IN67" s="196"/>
      <c r="IO67" s="196"/>
      <c r="IP67" s="196"/>
      <c r="IQ67" s="196"/>
      <c r="IR67" s="196"/>
    </row>
    <row r="68" spans="1:252" ht="15.6">
      <c r="A68" s="196"/>
      <c r="B68" s="196"/>
      <c r="C68" s="587"/>
      <c r="D68" s="584"/>
      <c r="E68" s="584"/>
      <c r="F68" s="584"/>
      <c r="G68" s="584"/>
      <c r="H68" s="584"/>
      <c r="I68" s="584"/>
      <c r="J68" s="584"/>
      <c r="K68" s="584"/>
      <c r="L68" s="584"/>
      <c r="M68" s="584"/>
      <c r="N68" s="584"/>
      <c r="O68" s="584"/>
      <c r="P68" s="584"/>
      <c r="Q68" s="584"/>
      <c r="R68" s="579"/>
      <c r="S68" s="579"/>
      <c r="T68" s="579"/>
      <c r="U68" s="579"/>
      <c r="V68" s="579"/>
      <c r="W68" s="579"/>
      <c r="X68" s="579"/>
      <c r="Y68" s="579"/>
      <c r="Z68" s="579"/>
      <c r="AA68" s="579"/>
      <c r="AB68" s="579"/>
      <c r="AC68" s="579"/>
      <c r="AD68" s="579"/>
      <c r="AE68" s="579"/>
      <c r="AF68" s="579"/>
      <c r="AG68" s="579"/>
      <c r="AH68" s="579"/>
      <c r="AI68" s="579"/>
      <c r="AJ68" s="579"/>
      <c r="AK68" s="579"/>
      <c r="AL68" s="579"/>
      <c r="AM68" s="579"/>
      <c r="AN68" s="579"/>
      <c r="AO68" s="579"/>
      <c r="AP68" s="584"/>
      <c r="AQ68" s="584"/>
      <c r="AR68" s="584"/>
      <c r="AS68" s="584"/>
      <c r="AT68" s="584"/>
      <c r="AU68" s="584"/>
      <c r="AV68" s="584"/>
      <c r="AW68" s="584"/>
      <c r="AX68" s="584"/>
      <c r="AY68" s="584"/>
      <c r="AZ68" s="196"/>
      <c r="BA68" s="196"/>
      <c r="BB68" s="196"/>
      <c r="BC68" s="196"/>
      <c r="BD68" s="196"/>
      <c r="BE68" s="196"/>
      <c r="BF68" s="196"/>
      <c r="BG68" s="196"/>
      <c r="BH68" s="196"/>
      <c r="BI68" s="196"/>
      <c r="BJ68" s="196"/>
      <c r="BK68" s="196"/>
      <c r="BL68" s="196"/>
      <c r="BM68" s="196"/>
      <c r="BN68" s="196"/>
      <c r="BO68" s="196"/>
      <c r="BP68" s="196"/>
      <c r="BQ68" s="196"/>
      <c r="BR68" s="196"/>
      <c r="BS68" s="196"/>
      <c r="BT68" s="196"/>
      <c r="BU68" s="196"/>
      <c r="BV68" s="196"/>
      <c r="BW68" s="196"/>
      <c r="BX68" s="196"/>
      <c r="BY68" s="196"/>
      <c r="BZ68" s="196"/>
      <c r="CA68" s="196"/>
      <c r="CB68" s="196"/>
      <c r="CC68" s="196"/>
      <c r="CD68" s="196"/>
      <c r="CE68" s="196"/>
      <c r="CF68" s="196"/>
      <c r="CG68" s="196"/>
      <c r="CH68" s="196"/>
      <c r="CI68" s="196"/>
      <c r="CJ68" s="196"/>
      <c r="CK68" s="196"/>
      <c r="CL68" s="196"/>
      <c r="CM68" s="196"/>
      <c r="CN68" s="196"/>
      <c r="CO68" s="196"/>
      <c r="CP68" s="196"/>
      <c r="CQ68" s="196"/>
      <c r="CR68" s="196"/>
      <c r="CS68" s="196"/>
      <c r="CT68" s="196"/>
      <c r="CU68" s="196"/>
      <c r="CV68" s="196"/>
      <c r="CW68" s="196"/>
      <c r="CX68" s="196"/>
      <c r="CY68" s="196"/>
      <c r="CZ68" s="196"/>
      <c r="DA68" s="196"/>
      <c r="DB68" s="196"/>
      <c r="DC68" s="196"/>
      <c r="DD68" s="196"/>
      <c r="DE68" s="196"/>
      <c r="DF68" s="196"/>
      <c r="DG68" s="196"/>
      <c r="DH68" s="196"/>
      <c r="DI68" s="196"/>
      <c r="DJ68" s="196"/>
      <c r="DK68" s="196"/>
      <c r="DL68" s="196"/>
      <c r="DM68" s="196"/>
      <c r="DN68" s="196"/>
      <c r="DO68" s="196"/>
      <c r="DP68" s="196"/>
      <c r="DQ68" s="196"/>
      <c r="DR68" s="196"/>
      <c r="DS68" s="196"/>
      <c r="DT68" s="196"/>
      <c r="DU68" s="196"/>
      <c r="DV68" s="196"/>
      <c r="DW68" s="196"/>
      <c r="DX68" s="196"/>
      <c r="DY68" s="196"/>
      <c r="DZ68" s="196"/>
      <c r="EA68" s="196"/>
      <c r="EB68" s="196"/>
      <c r="EC68" s="196"/>
      <c r="ED68" s="196"/>
      <c r="EE68" s="196"/>
      <c r="EF68" s="196"/>
      <c r="EG68" s="196"/>
      <c r="EH68" s="196"/>
      <c r="EI68" s="196"/>
      <c r="EJ68" s="196"/>
      <c r="EK68" s="196"/>
      <c r="EL68" s="196"/>
      <c r="EM68" s="196"/>
      <c r="EN68" s="196"/>
      <c r="EO68" s="196"/>
      <c r="EP68" s="196"/>
      <c r="EQ68" s="196"/>
      <c r="ER68" s="196"/>
      <c r="ES68" s="196"/>
      <c r="ET68" s="196"/>
      <c r="EU68" s="196"/>
      <c r="EV68" s="196"/>
      <c r="EW68" s="196"/>
      <c r="EX68" s="196"/>
      <c r="EY68" s="196"/>
      <c r="EZ68" s="196"/>
      <c r="FA68" s="196"/>
      <c r="FB68" s="196"/>
      <c r="FC68" s="196"/>
      <c r="FD68" s="196"/>
      <c r="FE68" s="196"/>
      <c r="FF68" s="196"/>
      <c r="FG68" s="196"/>
      <c r="FH68" s="196"/>
      <c r="FI68" s="196"/>
      <c r="FJ68" s="196"/>
      <c r="FK68" s="196"/>
      <c r="FL68" s="196"/>
      <c r="FM68" s="196"/>
      <c r="FN68" s="196"/>
      <c r="FO68" s="196"/>
      <c r="FP68" s="196"/>
      <c r="FQ68" s="196"/>
      <c r="FR68" s="196"/>
      <c r="FS68" s="196"/>
      <c r="FT68" s="196"/>
      <c r="FU68" s="196"/>
      <c r="FV68" s="196"/>
      <c r="FW68" s="196"/>
      <c r="FX68" s="196"/>
      <c r="FY68" s="196"/>
      <c r="FZ68" s="196"/>
      <c r="GA68" s="196"/>
      <c r="GB68" s="196"/>
      <c r="GC68" s="196"/>
      <c r="GD68" s="196"/>
      <c r="GE68" s="196"/>
      <c r="GF68" s="196"/>
      <c r="GG68" s="196"/>
      <c r="GH68" s="196"/>
      <c r="GI68" s="196"/>
      <c r="GJ68" s="196"/>
      <c r="GK68" s="196"/>
      <c r="GL68" s="196"/>
      <c r="GM68" s="196"/>
      <c r="GN68" s="196"/>
      <c r="GO68" s="196"/>
      <c r="GP68" s="196"/>
      <c r="GQ68" s="196"/>
      <c r="GR68" s="196"/>
      <c r="GS68" s="196"/>
      <c r="GT68" s="196"/>
      <c r="GU68" s="196"/>
      <c r="GV68" s="196"/>
      <c r="GW68" s="196"/>
      <c r="GX68" s="196"/>
      <c r="GY68" s="196"/>
      <c r="GZ68" s="196"/>
      <c r="HA68" s="196"/>
      <c r="HB68" s="196"/>
      <c r="HC68" s="196"/>
      <c r="HD68" s="196"/>
      <c r="HE68" s="196"/>
      <c r="HF68" s="196"/>
      <c r="HG68" s="196"/>
      <c r="HH68" s="196"/>
      <c r="HI68" s="196"/>
      <c r="HJ68" s="196"/>
      <c r="HK68" s="196"/>
      <c r="HL68" s="196"/>
      <c r="HM68" s="196"/>
      <c r="HN68" s="196"/>
      <c r="HO68" s="196"/>
      <c r="HP68" s="196"/>
      <c r="HQ68" s="196"/>
      <c r="HR68" s="196"/>
      <c r="HS68" s="196"/>
      <c r="HT68" s="196"/>
      <c r="HU68" s="196"/>
      <c r="HV68" s="196"/>
      <c r="HW68" s="196"/>
      <c r="HX68" s="196"/>
      <c r="HY68" s="196"/>
      <c r="HZ68" s="196"/>
      <c r="IA68" s="196"/>
      <c r="IB68" s="196"/>
      <c r="IC68" s="196"/>
      <c r="ID68" s="196"/>
      <c r="IE68" s="196"/>
      <c r="IF68" s="196"/>
      <c r="IG68" s="196"/>
      <c r="IH68" s="196"/>
      <c r="II68" s="196"/>
      <c r="IJ68" s="196"/>
      <c r="IK68" s="196"/>
      <c r="IL68" s="196"/>
      <c r="IM68" s="196"/>
      <c r="IN68" s="196"/>
      <c r="IO68" s="196"/>
      <c r="IP68" s="196"/>
      <c r="IQ68" s="196"/>
      <c r="IR68" s="196"/>
    </row>
    <row r="69" spans="1:252" ht="15.6">
      <c r="A69" s="196"/>
      <c r="B69" s="196"/>
      <c r="C69" s="587"/>
      <c r="D69" s="584"/>
      <c r="E69" s="584"/>
      <c r="F69" s="584"/>
      <c r="G69" s="584"/>
      <c r="H69" s="584"/>
      <c r="I69" s="584"/>
      <c r="J69" s="584"/>
      <c r="K69" s="584"/>
      <c r="L69" s="584"/>
      <c r="M69" s="584"/>
      <c r="N69" s="584"/>
      <c r="O69" s="584"/>
      <c r="P69" s="584"/>
      <c r="Q69" s="584"/>
      <c r="R69" s="579"/>
      <c r="S69" s="579"/>
      <c r="T69" s="579"/>
      <c r="U69" s="579"/>
      <c r="V69" s="579"/>
      <c r="W69" s="579"/>
      <c r="X69" s="579"/>
      <c r="Y69" s="579"/>
      <c r="Z69" s="579"/>
      <c r="AA69" s="579"/>
      <c r="AB69" s="579"/>
      <c r="AC69" s="579"/>
      <c r="AD69" s="579"/>
      <c r="AE69" s="579"/>
      <c r="AF69" s="579"/>
      <c r="AG69" s="579"/>
      <c r="AH69" s="579"/>
      <c r="AI69" s="579"/>
      <c r="AJ69" s="579"/>
      <c r="AK69" s="579"/>
      <c r="AL69" s="579"/>
      <c r="AM69" s="579"/>
      <c r="AN69" s="579"/>
      <c r="AO69" s="579"/>
      <c r="AP69" s="584"/>
      <c r="AQ69" s="584"/>
      <c r="AR69" s="584"/>
      <c r="AS69" s="584"/>
      <c r="AT69" s="584"/>
      <c r="AU69" s="584"/>
      <c r="AV69" s="584"/>
      <c r="AW69" s="584"/>
      <c r="AX69" s="584"/>
      <c r="AY69" s="584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  <c r="BJ69" s="196"/>
      <c r="BK69" s="196"/>
      <c r="BL69" s="196"/>
      <c r="BM69" s="196"/>
      <c r="BN69" s="196"/>
      <c r="BO69" s="196"/>
      <c r="BP69" s="196"/>
      <c r="BQ69" s="196"/>
      <c r="BR69" s="196"/>
      <c r="BS69" s="196"/>
      <c r="BT69" s="196"/>
      <c r="BU69" s="196"/>
      <c r="BV69" s="196"/>
      <c r="BW69" s="196"/>
      <c r="BX69" s="196"/>
      <c r="BY69" s="196"/>
      <c r="BZ69" s="196"/>
      <c r="CA69" s="196"/>
      <c r="CB69" s="196"/>
      <c r="CC69" s="196"/>
      <c r="CD69" s="196"/>
      <c r="CE69" s="196"/>
      <c r="CF69" s="196"/>
      <c r="CG69" s="196"/>
      <c r="CH69" s="196"/>
      <c r="CI69" s="196"/>
      <c r="CJ69" s="196"/>
      <c r="CK69" s="196"/>
      <c r="CL69" s="196"/>
      <c r="CM69" s="196"/>
      <c r="CN69" s="196"/>
      <c r="CO69" s="196"/>
      <c r="CP69" s="196"/>
      <c r="CQ69" s="196"/>
      <c r="CR69" s="196"/>
      <c r="CS69" s="196"/>
      <c r="CT69" s="196"/>
      <c r="CU69" s="196"/>
      <c r="CV69" s="196"/>
      <c r="CW69" s="196"/>
      <c r="CX69" s="196"/>
      <c r="CY69" s="196"/>
      <c r="CZ69" s="196"/>
      <c r="DA69" s="196"/>
      <c r="DB69" s="196"/>
      <c r="DC69" s="196"/>
      <c r="DD69" s="196"/>
      <c r="DE69" s="196"/>
      <c r="DF69" s="196"/>
      <c r="DG69" s="196"/>
      <c r="DH69" s="196"/>
      <c r="DI69" s="196"/>
      <c r="DJ69" s="196"/>
      <c r="DK69" s="196"/>
      <c r="DL69" s="196"/>
      <c r="DM69" s="196"/>
      <c r="DN69" s="196"/>
      <c r="DO69" s="196"/>
      <c r="DP69" s="196"/>
      <c r="DQ69" s="196"/>
      <c r="DR69" s="196"/>
      <c r="DS69" s="196"/>
      <c r="DT69" s="196"/>
      <c r="DU69" s="196"/>
      <c r="DV69" s="196"/>
      <c r="DW69" s="196"/>
      <c r="DX69" s="196"/>
      <c r="DY69" s="196"/>
      <c r="DZ69" s="196"/>
      <c r="EA69" s="196"/>
      <c r="EB69" s="196"/>
      <c r="EC69" s="196"/>
      <c r="ED69" s="196"/>
      <c r="EE69" s="196"/>
      <c r="EF69" s="196"/>
      <c r="EG69" s="196"/>
      <c r="EH69" s="196"/>
      <c r="EI69" s="196"/>
      <c r="EJ69" s="196"/>
      <c r="EK69" s="196"/>
      <c r="EL69" s="196"/>
      <c r="EM69" s="196"/>
      <c r="EN69" s="196"/>
      <c r="EO69" s="196"/>
      <c r="EP69" s="196"/>
      <c r="EQ69" s="196"/>
      <c r="ER69" s="196"/>
      <c r="ES69" s="196"/>
      <c r="ET69" s="196"/>
      <c r="EU69" s="196"/>
      <c r="EV69" s="196"/>
      <c r="EW69" s="196"/>
      <c r="EX69" s="196"/>
      <c r="EY69" s="196"/>
      <c r="EZ69" s="196"/>
      <c r="FA69" s="196"/>
      <c r="FB69" s="196"/>
      <c r="FC69" s="196"/>
      <c r="FD69" s="196"/>
      <c r="FE69" s="196"/>
      <c r="FF69" s="196"/>
      <c r="FG69" s="196"/>
      <c r="FH69" s="196"/>
      <c r="FI69" s="196"/>
      <c r="FJ69" s="196"/>
      <c r="FK69" s="196"/>
      <c r="FL69" s="196"/>
      <c r="FM69" s="196"/>
      <c r="FN69" s="196"/>
      <c r="FO69" s="196"/>
      <c r="FP69" s="196"/>
      <c r="FQ69" s="196"/>
      <c r="FR69" s="196"/>
      <c r="FS69" s="196"/>
      <c r="FT69" s="196"/>
      <c r="FU69" s="196"/>
      <c r="FV69" s="196"/>
      <c r="FW69" s="196"/>
      <c r="FX69" s="196"/>
      <c r="FY69" s="196"/>
      <c r="FZ69" s="196"/>
      <c r="GA69" s="196"/>
      <c r="GB69" s="196"/>
      <c r="GC69" s="196"/>
      <c r="GD69" s="196"/>
      <c r="GE69" s="196"/>
      <c r="GF69" s="196"/>
      <c r="GG69" s="196"/>
      <c r="GH69" s="196"/>
      <c r="GI69" s="196"/>
      <c r="GJ69" s="196"/>
      <c r="GK69" s="196"/>
      <c r="GL69" s="196"/>
      <c r="GM69" s="196"/>
      <c r="GN69" s="196"/>
      <c r="GO69" s="196"/>
      <c r="GP69" s="196"/>
      <c r="GQ69" s="196"/>
      <c r="GR69" s="196"/>
      <c r="GS69" s="196"/>
      <c r="GT69" s="196"/>
      <c r="GU69" s="196"/>
      <c r="GV69" s="196"/>
      <c r="GW69" s="196"/>
      <c r="GX69" s="196"/>
      <c r="GY69" s="196"/>
      <c r="GZ69" s="196"/>
      <c r="HA69" s="196"/>
      <c r="HB69" s="196"/>
      <c r="HC69" s="196"/>
      <c r="HD69" s="196"/>
      <c r="HE69" s="196"/>
      <c r="HF69" s="196"/>
      <c r="HG69" s="196"/>
      <c r="HH69" s="196"/>
      <c r="HI69" s="196"/>
      <c r="HJ69" s="196"/>
      <c r="HK69" s="196"/>
      <c r="HL69" s="196"/>
      <c r="HM69" s="196"/>
      <c r="HN69" s="196"/>
      <c r="HO69" s="196"/>
      <c r="HP69" s="196"/>
      <c r="HQ69" s="196"/>
      <c r="HR69" s="196"/>
      <c r="HS69" s="196"/>
      <c r="HT69" s="196"/>
      <c r="HU69" s="196"/>
      <c r="HV69" s="196"/>
      <c r="HW69" s="196"/>
      <c r="HX69" s="196"/>
      <c r="HY69" s="196"/>
      <c r="HZ69" s="196"/>
      <c r="IA69" s="196"/>
      <c r="IB69" s="196"/>
      <c r="IC69" s="196"/>
      <c r="ID69" s="196"/>
      <c r="IE69" s="196"/>
      <c r="IF69" s="196"/>
      <c r="IG69" s="196"/>
      <c r="IH69" s="196"/>
      <c r="II69" s="196"/>
      <c r="IJ69" s="196"/>
      <c r="IK69" s="196"/>
      <c r="IL69" s="196"/>
      <c r="IM69" s="196"/>
      <c r="IN69" s="196"/>
      <c r="IO69" s="196"/>
      <c r="IP69" s="196"/>
      <c r="IQ69" s="196"/>
      <c r="IR69" s="196"/>
    </row>
    <row r="70" spans="1:252" ht="15.6">
      <c r="A70" s="196"/>
      <c r="B70" s="196"/>
      <c r="C70" s="587"/>
      <c r="D70" s="584"/>
      <c r="E70" s="584"/>
      <c r="F70" s="584"/>
      <c r="G70" s="584"/>
      <c r="H70" s="584"/>
      <c r="I70" s="584"/>
      <c r="J70" s="584"/>
      <c r="K70" s="584"/>
      <c r="L70" s="584"/>
      <c r="M70" s="584"/>
      <c r="N70" s="584"/>
      <c r="O70" s="584"/>
      <c r="P70" s="584"/>
      <c r="Q70" s="584"/>
      <c r="R70" s="579"/>
      <c r="S70" s="579"/>
      <c r="T70" s="579"/>
      <c r="U70" s="579"/>
      <c r="V70" s="579"/>
      <c r="W70" s="579"/>
      <c r="X70" s="579"/>
      <c r="Y70" s="579"/>
      <c r="Z70" s="579"/>
      <c r="AA70" s="579"/>
      <c r="AB70" s="579"/>
      <c r="AC70" s="579"/>
      <c r="AD70" s="579"/>
      <c r="AE70" s="579"/>
      <c r="AF70" s="579"/>
      <c r="AG70" s="579"/>
      <c r="AH70" s="579"/>
      <c r="AI70" s="579"/>
      <c r="AJ70" s="579"/>
      <c r="AK70" s="579"/>
      <c r="AL70" s="579"/>
      <c r="AM70" s="579"/>
      <c r="AN70" s="579"/>
      <c r="AO70" s="579"/>
      <c r="AP70" s="584"/>
      <c r="AQ70" s="584"/>
      <c r="AR70" s="584"/>
      <c r="AS70" s="584"/>
      <c r="AT70" s="584"/>
      <c r="AU70" s="584"/>
      <c r="AV70" s="584"/>
      <c r="AW70" s="584"/>
      <c r="AX70" s="584"/>
      <c r="AY70" s="584"/>
      <c r="AZ70" s="196"/>
      <c r="BA70" s="196"/>
      <c r="BB70" s="196"/>
      <c r="BC70" s="196"/>
      <c r="BD70" s="196"/>
      <c r="BE70" s="196"/>
      <c r="BF70" s="196"/>
      <c r="BG70" s="196"/>
      <c r="BH70" s="196"/>
      <c r="BI70" s="196"/>
      <c r="BJ70" s="196"/>
      <c r="BK70" s="196"/>
      <c r="BL70" s="196"/>
      <c r="BM70" s="196"/>
      <c r="BN70" s="196"/>
      <c r="BO70" s="196"/>
      <c r="BP70" s="196"/>
      <c r="BQ70" s="196"/>
      <c r="BR70" s="196"/>
      <c r="BS70" s="196"/>
      <c r="BT70" s="196"/>
      <c r="BU70" s="196"/>
      <c r="BV70" s="196"/>
      <c r="BW70" s="196"/>
      <c r="BX70" s="196"/>
      <c r="BY70" s="196"/>
      <c r="BZ70" s="196"/>
      <c r="CA70" s="196"/>
      <c r="CB70" s="196"/>
      <c r="CC70" s="196"/>
      <c r="CD70" s="196"/>
      <c r="CE70" s="196"/>
      <c r="CF70" s="196"/>
      <c r="CG70" s="196"/>
      <c r="CH70" s="196"/>
      <c r="CI70" s="196"/>
      <c r="CJ70" s="196"/>
      <c r="CK70" s="196"/>
      <c r="CL70" s="196"/>
      <c r="CM70" s="196"/>
      <c r="CN70" s="196"/>
      <c r="CO70" s="196"/>
      <c r="CP70" s="196"/>
      <c r="CQ70" s="196"/>
      <c r="CR70" s="196"/>
      <c r="CS70" s="196"/>
      <c r="CT70" s="196"/>
      <c r="CU70" s="196"/>
      <c r="CV70" s="196"/>
      <c r="CW70" s="196"/>
      <c r="CX70" s="196"/>
      <c r="CY70" s="196"/>
      <c r="CZ70" s="196"/>
      <c r="DA70" s="196"/>
      <c r="DB70" s="196"/>
      <c r="DC70" s="196"/>
      <c r="DD70" s="196"/>
      <c r="DE70" s="196"/>
      <c r="DF70" s="196"/>
      <c r="DG70" s="196"/>
      <c r="DH70" s="196"/>
      <c r="DI70" s="196"/>
      <c r="DJ70" s="196"/>
      <c r="DK70" s="196"/>
      <c r="DL70" s="196"/>
      <c r="DM70" s="196"/>
      <c r="DN70" s="196"/>
      <c r="DO70" s="196"/>
      <c r="DP70" s="196"/>
      <c r="DQ70" s="196"/>
      <c r="DR70" s="196"/>
      <c r="DS70" s="196"/>
      <c r="DT70" s="196"/>
      <c r="DU70" s="196"/>
      <c r="DV70" s="196"/>
      <c r="DW70" s="196"/>
      <c r="DX70" s="196"/>
      <c r="DY70" s="196"/>
      <c r="DZ70" s="196"/>
      <c r="EA70" s="196"/>
      <c r="EB70" s="196"/>
      <c r="EC70" s="196"/>
      <c r="ED70" s="196"/>
      <c r="EE70" s="196"/>
      <c r="EF70" s="196"/>
      <c r="EG70" s="196"/>
      <c r="EH70" s="196"/>
      <c r="EI70" s="196"/>
      <c r="EJ70" s="196"/>
      <c r="EK70" s="196"/>
      <c r="EL70" s="196"/>
      <c r="EM70" s="196"/>
      <c r="EN70" s="196"/>
      <c r="EO70" s="196"/>
      <c r="EP70" s="196"/>
      <c r="EQ70" s="196"/>
      <c r="ER70" s="196"/>
      <c r="ES70" s="196"/>
      <c r="ET70" s="196"/>
      <c r="EU70" s="196"/>
      <c r="EV70" s="196"/>
      <c r="EW70" s="196"/>
      <c r="EX70" s="196"/>
      <c r="EY70" s="196"/>
      <c r="EZ70" s="196"/>
      <c r="FA70" s="196"/>
      <c r="FB70" s="196"/>
      <c r="FC70" s="196"/>
      <c r="FD70" s="196"/>
      <c r="FE70" s="196"/>
      <c r="FF70" s="196"/>
      <c r="FG70" s="196"/>
      <c r="FH70" s="196"/>
      <c r="FI70" s="196"/>
      <c r="FJ70" s="196"/>
      <c r="FK70" s="196"/>
      <c r="FL70" s="196"/>
      <c r="FM70" s="196"/>
      <c r="FN70" s="196"/>
      <c r="FO70" s="196"/>
      <c r="FP70" s="196"/>
      <c r="FQ70" s="196"/>
      <c r="FR70" s="196"/>
      <c r="FS70" s="196"/>
      <c r="FT70" s="196"/>
      <c r="FU70" s="196"/>
      <c r="FV70" s="196"/>
      <c r="FW70" s="196"/>
      <c r="FX70" s="196"/>
      <c r="FY70" s="196"/>
      <c r="FZ70" s="196"/>
      <c r="GA70" s="196"/>
      <c r="GB70" s="196"/>
      <c r="GC70" s="196"/>
      <c r="GD70" s="196"/>
      <c r="GE70" s="196"/>
      <c r="GF70" s="196"/>
      <c r="GG70" s="196"/>
      <c r="GH70" s="196"/>
      <c r="GI70" s="196"/>
      <c r="GJ70" s="196"/>
      <c r="GK70" s="196"/>
      <c r="GL70" s="196"/>
      <c r="GM70" s="196"/>
      <c r="GN70" s="196"/>
      <c r="GO70" s="196"/>
      <c r="GP70" s="196"/>
      <c r="GQ70" s="196"/>
      <c r="GR70" s="196"/>
      <c r="GS70" s="196"/>
      <c r="GT70" s="196"/>
      <c r="GU70" s="196"/>
      <c r="GV70" s="196"/>
      <c r="GW70" s="196"/>
      <c r="GX70" s="196"/>
      <c r="GY70" s="196"/>
      <c r="GZ70" s="196"/>
      <c r="HA70" s="196"/>
      <c r="HB70" s="196"/>
      <c r="HC70" s="196"/>
      <c r="HD70" s="196"/>
      <c r="HE70" s="196"/>
      <c r="HF70" s="196"/>
      <c r="HG70" s="196"/>
      <c r="HH70" s="196"/>
      <c r="HI70" s="196"/>
      <c r="HJ70" s="196"/>
      <c r="HK70" s="196"/>
      <c r="HL70" s="196"/>
      <c r="HM70" s="196"/>
      <c r="HN70" s="196"/>
      <c r="HO70" s="196"/>
      <c r="HP70" s="196"/>
      <c r="HQ70" s="196"/>
      <c r="HR70" s="196"/>
      <c r="HS70" s="196"/>
      <c r="HT70" s="196"/>
      <c r="HU70" s="196"/>
      <c r="HV70" s="196"/>
      <c r="HW70" s="196"/>
      <c r="HX70" s="196"/>
      <c r="HY70" s="196"/>
      <c r="HZ70" s="196"/>
      <c r="IA70" s="196"/>
      <c r="IB70" s="196"/>
      <c r="IC70" s="196"/>
      <c r="ID70" s="196"/>
      <c r="IE70" s="196"/>
      <c r="IF70" s="196"/>
      <c r="IG70" s="196"/>
      <c r="IH70" s="196"/>
      <c r="II70" s="196"/>
      <c r="IJ70" s="196"/>
      <c r="IK70" s="196"/>
      <c r="IL70" s="196"/>
      <c r="IM70" s="196"/>
      <c r="IN70" s="196"/>
      <c r="IO70" s="196"/>
      <c r="IP70" s="196"/>
      <c r="IQ70" s="196"/>
      <c r="IR70" s="196"/>
    </row>
    <row r="71" spans="1:252" ht="15.6">
      <c r="A71" s="196"/>
      <c r="B71" s="196"/>
      <c r="C71" s="584"/>
      <c r="D71" s="584"/>
      <c r="E71" s="584"/>
      <c r="F71" s="584"/>
      <c r="G71" s="584"/>
      <c r="H71" s="584"/>
      <c r="I71" s="584"/>
      <c r="J71" s="584"/>
      <c r="K71" s="584"/>
      <c r="L71" s="584"/>
      <c r="M71" s="584"/>
      <c r="N71" s="584"/>
      <c r="O71" s="584"/>
      <c r="P71" s="584"/>
      <c r="Q71" s="584"/>
      <c r="R71" s="579"/>
      <c r="S71" s="579"/>
      <c r="T71" s="579"/>
      <c r="U71" s="579"/>
      <c r="V71" s="579"/>
      <c r="W71" s="579"/>
      <c r="X71" s="579"/>
      <c r="Y71" s="579"/>
      <c r="Z71" s="579"/>
      <c r="AA71" s="579"/>
      <c r="AB71" s="579"/>
      <c r="AC71" s="579"/>
      <c r="AD71" s="579"/>
      <c r="AE71" s="579"/>
      <c r="AF71" s="579"/>
      <c r="AG71" s="579"/>
      <c r="AH71" s="579"/>
      <c r="AI71" s="579"/>
      <c r="AJ71" s="579"/>
      <c r="AK71" s="579"/>
      <c r="AL71" s="579"/>
      <c r="AM71" s="579"/>
      <c r="AN71" s="579"/>
      <c r="AO71" s="579"/>
      <c r="AP71" s="584"/>
      <c r="AQ71" s="584"/>
      <c r="AR71" s="584"/>
      <c r="AS71" s="584"/>
      <c r="AT71" s="584"/>
      <c r="AU71" s="584"/>
      <c r="AV71" s="584"/>
      <c r="AW71" s="584"/>
      <c r="AX71" s="584"/>
      <c r="AY71" s="584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  <c r="BJ71" s="196"/>
      <c r="BK71" s="196"/>
      <c r="BL71" s="196"/>
      <c r="BM71" s="196"/>
      <c r="BN71" s="196"/>
      <c r="BO71" s="196"/>
      <c r="BP71" s="196"/>
      <c r="BQ71" s="196"/>
      <c r="BR71" s="196"/>
      <c r="BS71" s="196"/>
      <c r="BT71" s="196"/>
      <c r="BU71" s="196"/>
      <c r="BV71" s="196"/>
      <c r="BW71" s="196"/>
      <c r="BX71" s="196"/>
      <c r="BY71" s="196"/>
      <c r="BZ71" s="196"/>
      <c r="CA71" s="196"/>
      <c r="CB71" s="196"/>
      <c r="CC71" s="196"/>
      <c r="CD71" s="196"/>
      <c r="CE71" s="196"/>
      <c r="CF71" s="196"/>
      <c r="CG71" s="196"/>
      <c r="CH71" s="196"/>
      <c r="CI71" s="196"/>
      <c r="CJ71" s="196"/>
      <c r="CK71" s="196"/>
      <c r="CL71" s="196"/>
      <c r="CM71" s="196"/>
      <c r="CN71" s="196"/>
      <c r="CO71" s="196"/>
      <c r="CP71" s="196"/>
      <c r="CQ71" s="196"/>
      <c r="CR71" s="196"/>
      <c r="CS71" s="196"/>
      <c r="CT71" s="196"/>
      <c r="CU71" s="196"/>
      <c r="CV71" s="196"/>
      <c r="CW71" s="196"/>
      <c r="CX71" s="196"/>
      <c r="CY71" s="196"/>
      <c r="CZ71" s="196"/>
      <c r="DA71" s="196"/>
      <c r="DB71" s="196"/>
      <c r="DC71" s="196"/>
      <c r="DD71" s="196"/>
      <c r="DE71" s="196"/>
      <c r="DF71" s="196"/>
      <c r="DG71" s="196"/>
      <c r="DH71" s="196"/>
      <c r="DI71" s="196"/>
      <c r="DJ71" s="196"/>
      <c r="DK71" s="196"/>
      <c r="DL71" s="196"/>
      <c r="DM71" s="196"/>
      <c r="DN71" s="196"/>
      <c r="DO71" s="196"/>
      <c r="DP71" s="196"/>
      <c r="DQ71" s="196"/>
      <c r="DR71" s="196"/>
      <c r="DS71" s="196"/>
      <c r="DT71" s="196"/>
      <c r="DU71" s="196"/>
      <c r="DV71" s="196"/>
      <c r="DW71" s="196"/>
      <c r="DX71" s="196"/>
      <c r="DY71" s="196"/>
      <c r="DZ71" s="196"/>
      <c r="EA71" s="196"/>
      <c r="EB71" s="196"/>
      <c r="EC71" s="196"/>
      <c r="ED71" s="196"/>
      <c r="EE71" s="196"/>
      <c r="EF71" s="196"/>
      <c r="EG71" s="196"/>
      <c r="EH71" s="196"/>
      <c r="EI71" s="196"/>
      <c r="EJ71" s="196"/>
      <c r="EK71" s="196"/>
      <c r="EL71" s="196"/>
      <c r="EM71" s="196"/>
      <c r="EN71" s="196"/>
      <c r="EO71" s="196"/>
      <c r="EP71" s="196"/>
      <c r="EQ71" s="196"/>
      <c r="ER71" s="196"/>
      <c r="ES71" s="196"/>
      <c r="ET71" s="196"/>
      <c r="EU71" s="196"/>
      <c r="EV71" s="196"/>
      <c r="EW71" s="196"/>
      <c r="EX71" s="196"/>
      <c r="EY71" s="196"/>
      <c r="EZ71" s="196"/>
      <c r="FA71" s="196"/>
      <c r="FB71" s="196"/>
      <c r="FC71" s="196"/>
      <c r="FD71" s="196"/>
      <c r="FE71" s="196"/>
      <c r="FF71" s="196"/>
      <c r="FG71" s="196"/>
      <c r="FH71" s="196"/>
      <c r="FI71" s="196"/>
      <c r="FJ71" s="196"/>
      <c r="FK71" s="196"/>
      <c r="FL71" s="196"/>
      <c r="FM71" s="196"/>
      <c r="FN71" s="196"/>
      <c r="FO71" s="196"/>
      <c r="FP71" s="196"/>
      <c r="FQ71" s="196"/>
      <c r="FR71" s="196"/>
      <c r="FS71" s="196"/>
      <c r="FT71" s="196"/>
      <c r="FU71" s="196"/>
      <c r="FV71" s="196"/>
      <c r="FW71" s="196"/>
      <c r="FX71" s="196"/>
      <c r="FY71" s="196"/>
      <c r="FZ71" s="196"/>
      <c r="GA71" s="196"/>
      <c r="GB71" s="196"/>
      <c r="GC71" s="196"/>
      <c r="GD71" s="196"/>
      <c r="GE71" s="196"/>
      <c r="GF71" s="196"/>
      <c r="GG71" s="196"/>
      <c r="GH71" s="196"/>
      <c r="GI71" s="196"/>
      <c r="GJ71" s="196"/>
      <c r="GK71" s="196"/>
      <c r="GL71" s="196"/>
      <c r="GM71" s="196"/>
      <c r="GN71" s="196"/>
      <c r="GO71" s="196"/>
      <c r="GP71" s="196"/>
      <c r="GQ71" s="196"/>
      <c r="GR71" s="196"/>
      <c r="GS71" s="196"/>
      <c r="GT71" s="196"/>
      <c r="GU71" s="196"/>
      <c r="GV71" s="196"/>
      <c r="GW71" s="196"/>
      <c r="GX71" s="196"/>
      <c r="GY71" s="196"/>
      <c r="GZ71" s="196"/>
      <c r="HA71" s="196"/>
      <c r="HB71" s="196"/>
      <c r="HC71" s="196"/>
      <c r="HD71" s="196"/>
      <c r="HE71" s="196"/>
      <c r="HF71" s="196"/>
      <c r="HG71" s="196"/>
      <c r="HH71" s="196"/>
      <c r="HI71" s="196"/>
      <c r="HJ71" s="196"/>
      <c r="HK71" s="196"/>
      <c r="HL71" s="196"/>
      <c r="HM71" s="196"/>
      <c r="HN71" s="196"/>
      <c r="HO71" s="196"/>
      <c r="HP71" s="196"/>
      <c r="HQ71" s="196"/>
      <c r="HR71" s="196"/>
      <c r="HS71" s="196"/>
      <c r="HT71" s="196"/>
      <c r="HU71" s="196"/>
      <c r="HV71" s="196"/>
      <c r="HW71" s="196"/>
      <c r="HX71" s="196"/>
      <c r="HY71" s="196"/>
      <c r="HZ71" s="196"/>
      <c r="IA71" s="196"/>
      <c r="IB71" s="196"/>
      <c r="IC71" s="196"/>
      <c r="ID71" s="196"/>
      <c r="IE71" s="196"/>
      <c r="IF71" s="196"/>
      <c r="IG71" s="196"/>
      <c r="IH71" s="196"/>
      <c r="II71" s="196"/>
      <c r="IJ71" s="196"/>
      <c r="IK71" s="196"/>
      <c r="IL71" s="196"/>
      <c r="IM71" s="196"/>
      <c r="IN71" s="196"/>
      <c r="IO71" s="196"/>
      <c r="IP71" s="196"/>
      <c r="IQ71" s="196"/>
      <c r="IR71" s="196"/>
    </row>
    <row r="72" spans="1:252" ht="15.6">
      <c r="A72" s="196"/>
      <c r="B72" s="196"/>
      <c r="C72" s="584"/>
      <c r="D72" s="584"/>
      <c r="E72" s="584"/>
      <c r="F72" s="584"/>
      <c r="G72" s="584"/>
      <c r="H72" s="584"/>
      <c r="I72" s="584"/>
      <c r="J72" s="584"/>
      <c r="K72" s="584"/>
      <c r="L72" s="584"/>
      <c r="M72" s="584"/>
      <c r="N72" s="584"/>
      <c r="O72" s="584"/>
      <c r="P72" s="584"/>
      <c r="Q72" s="584"/>
      <c r="R72" s="579"/>
      <c r="S72" s="579"/>
      <c r="T72" s="579"/>
      <c r="U72" s="579"/>
      <c r="V72" s="579"/>
      <c r="W72" s="579"/>
      <c r="X72" s="579"/>
      <c r="Y72" s="579"/>
      <c r="Z72" s="579"/>
      <c r="AA72" s="579"/>
      <c r="AB72" s="579"/>
      <c r="AC72" s="579"/>
      <c r="AD72" s="579"/>
      <c r="AE72" s="579"/>
      <c r="AF72" s="579"/>
      <c r="AG72" s="579"/>
      <c r="AH72" s="579"/>
      <c r="AI72" s="579"/>
      <c r="AJ72" s="579"/>
      <c r="AK72" s="579"/>
      <c r="AL72" s="579"/>
      <c r="AM72" s="579"/>
      <c r="AN72" s="579"/>
      <c r="AO72" s="579"/>
      <c r="AP72" s="584"/>
      <c r="AQ72" s="584"/>
      <c r="AR72" s="584"/>
      <c r="AS72" s="584"/>
      <c r="AT72" s="584"/>
      <c r="AU72" s="584"/>
      <c r="AV72" s="584"/>
      <c r="AW72" s="584"/>
      <c r="AX72" s="584"/>
      <c r="AY72" s="584"/>
      <c r="AZ72" s="196"/>
      <c r="BA72" s="196"/>
      <c r="BB72" s="196"/>
      <c r="BC72" s="196"/>
      <c r="BD72" s="196"/>
      <c r="BE72" s="196"/>
      <c r="BF72" s="196"/>
      <c r="BG72" s="196"/>
      <c r="BH72" s="196"/>
      <c r="BI72" s="196"/>
      <c r="BJ72" s="196"/>
      <c r="BK72" s="196"/>
      <c r="BL72" s="196"/>
      <c r="BM72" s="196"/>
      <c r="BN72" s="196"/>
      <c r="BO72" s="196"/>
      <c r="BP72" s="196"/>
      <c r="BQ72" s="196"/>
      <c r="BR72" s="196"/>
      <c r="BS72" s="196"/>
      <c r="BT72" s="196"/>
      <c r="BU72" s="196"/>
      <c r="BV72" s="196"/>
      <c r="BW72" s="196"/>
      <c r="BX72" s="196"/>
      <c r="BY72" s="196"/>
      <c r="BZ72" s="196"/>
      <c r="CA72" s="196"/>
      <c r="CB72" s="196"/>
      <c r="CC72" s="196"/>
      <c r="CD72" s="196"/>
      <c r="CE72" s="196"/>
      <c r="CF72" s="196"/>
      <c r="CG72" s="196"/>
      <c r="CH72" s="196"/>
      <c r="CI72" s="196"/>
      <c r="CJ72" s="196"/>
      <c r="CK72" s="196"/>
      <c r="CL72" s="196"/>
      <c r="CM72" s="196"/>
      <c r="CN72" s="196"/>
      <c r="CO72" s="196"/>
      <c r="CP72" s="196"/>
      <c r="CQ72" s="196"/>
      <c r="CR72" s="196"/>
      <c r="CS72" s="196"/>
      <c r="CT72" s="196"/>
      <c r="CU72" s="196"/>
      <c r="CV72" s="196"/>
      <c r="CW72" s="196"/>
      <c r="CX72" s="196"/>
      <c r="CY72" s="196"/>
      <c r="CZ72" s="196"/>
      <c r="DA72" s="196"/>
      <c r="DB72" s="196"/>
      <c r="DC72" s="196"/>
      <c r="DD72" s="196"/>
      <c r="DE72" s="196"/>
      <c r="DF72" s="196"/>
      <c r="DG72" s="196"/>
      <c r="DH72" s="196"/>
      <c r="DI72" s="196"/>
      <c r="DJ72" s="196"/>
      <c r="DK72" s="196"/>
      <c r="DL72" s="196"/>
      <c r="DM72" s="196"/>
      <c r="DN72" s="196"/>
      <c r="DO72" s="196"/>
      <c r="DP72" s="196"/>
      <c r="DQ72" s="196"/>
      <c r="DR72" s="196"/>
      <c r="DS72" s="196"/>
      <c r="DT72" s="196"/>
      <c r="DU72" s="196"/>
      <c r="DV72" s="196"/>
      <c r="DW72" s="196"/>
      <c r="DX72" s="196"/>
      <c r="DY72" s="196"/>
      <c r="DZ72" s="196"/>
      <c r="EA72" s="196"/>
      <c r="EB72" s="196"/>
      <c r="EC72" s="196"/>
      <c r="ED72" s="196"/>
      <c r="EE72" s="196"/>
      <c r="EF72" s="196"/>
      <c r="EG72" s="196"/>
      <c r="EH72" s="196"/>
      <c r="EI72" s="196"/>
      <c r="EJ72" s="196"/>
      <c r="EK72" s="196"/>
      <c r="EL72" s="196"/>
      <c r="EM72" s="196"/>
      <c r="EN72" s="196"/>
      <c r="EO72" s="196"/>
      <c r="EP72" s="196"/>
      <c r="EQ72" s="196"/>
      <c r="ER72" s="196"/>
      <c r="ES72" s="196"/>
      <c r="ET72" s="196"/>
      <c r="EU72" s="196"/>
      <c r="EV72" s="196"/>
      <c r="EW72" s="196"/>
      <c r="EX72" s="196"/>
      <c r="EY72" s="196"/>
      <c r="EZ72" s="196"/>
      <c r="FA72" s="196"/>
      <c r="FB72" s="196"/>
      <c r="FC72" s="196"/>
      <c r="FD72" s="196"/>
      <c r="FE72" s="196"/>
      <c r="FF72" s="196"/>
      <c r="FG72" s="196"/>
      <c r="FH72" s="196"/>
      <c r="FI72" s="196"/>
      <c r="FJ72" s="196"/>
      <c r="FK72" s="196"/>
      <c r="FL72" s="196"/>
      <c r="FM72" s="196"/>
      <c r="FN72" s="196"/>
      <c r="FO72" s="196"/>
      <c r="FP72" s="196"/>
      <c r="FQ72" s="196"/>
      <c r="FR72" s="196"/>
      <c r="FS72" s="196"/>
      <c r="FT72" s="196"/>
      <c r="FU72" s="196"/>
      <c r="FV72" s="196"/>
      <c r="FW72" s="196"/>
      <c r="FX72" s="196"/>
      <c r="FY72" s="196"/>
      <c r="FZ72" s="196"/>
      <c r="GA72" s="196"/>
      <c r="GB72" s="196"/>
      <c r="GC72" s="196"/>
      <c r="GD72" s="196"/>
      <c r="GE72" s="196"/>
      <c r="GF72" s="196"/>
      <c r="GG72" s="196"/>
      <c r="GH72" s="196"/>
      <c r="GI72" s="196"/>
      <c r="GJ72" s="196"/>
      <c r="GK72" s="196"/>
      <c r="GL72" s="196"/>
      <c r="GM72" s="196"/>
      <c r="GN72" s="196"/>
      <c r="GO72" s="196"/>
      <c r="GP72" s="196"/>
      <c r="GQ72" s="196"/>
      <c r="GR72" s="196"/>
      <c r="GS72" s="196"/>
      <c r="GT72" s="196"/>
      <c r="GU72" s="196"/>
      <c r="GV72" s="196"/>
      <c r="GW72" s="196"/>
      <c r="GX72" s="196"/>
      <c r="GY72" s="196"/>
      <c r="GZ72" s="196"/>
      <c r="HA72" s="196"/>
      <c r="HB72" s="196"/>
      <c r="HC72" s="196"/>
      <c r="HD72" s="196"/>
      <c r="HE72" s="196"/>
      <c r="HF72" s="196"/>
      <c r="HG72" s="196"/>
      <c r="HH72" s="196"/>
      <c r="HI72" s="196"/>
      <c r="HJ72" s="196"/>
      <c r="HK72" s="196"/>
      <c r="HL72" s="196"/>
      <c r="HM72" s="196"/>
      <c r="HN72" s="196"/>
      <c r="HO72" s="196"/>
      <c r="HP72" s="196"/>
      <c r="HQ72" s="196"/>
      <c r="HR72" s="196"/>
      <c r="HS72" s="196"/>
      <c r="HT72" s="196"/>
      <c r="HU72" s="196"/>
      <c r="HV72" s="196"/>
      <c r="HW72" s="196"/>
      <c r="HX72" s="196"/>
      <c r="HY72" s="196"/>
      <c r="HZ72" s="196"/>
      <c r="IA72" s="196"/>
      <c r="IB72" s="196"/>
      <c r="IC72" s="196"/>
      <c r="ID72" s="196"/>
      <c r="IE72" s="196"/>
      <c r="IF72" s="196"/>
      <c r="IG72" s="196"/>
      <c r="IH72" s="196"/>
      <c r="II72" s="196"/>
      <c r="IJ72" s="196"/>
      <c r="IK72" s="196"/>
      <c r="IL72" s="196"/>
      <c r="IM72" s="196"/>
      <c r="IN72" s="196"/>
      <c r="IO72" s="196"/>
      <c r="IP72" s="196"/>
      <c r="IQ72" s="196"/>
      <c r="IR72" s="196"/>
    </row>
    <row r="73" spans="1:252" ht="15.6">
      <c r="A73" s="196"/>
      <c r="B73" s="196"/>
      <c r="C73" s="584"/>
      <c r="D73" s="584"/>
      <c r="E73" s="584"/>
      <c r="F73" s="584"/>
      <c r="G73" s="584"/>
      <c r="H73" s="584"/>
      <c r="I73" s="584"/>
      <c r="J73" s="584"/>
      <c r="K73" s="584"/>
      <c r="L73" s="584"/>
      <c r="M73" s="584"/>
      <c r="N73" s="584"/>
      <c r="O73" s="584"/>
      <c r="P73" s="584"/>
      <c r="Q73" s="584"/>
      <c r="R73" s="579"/>
      <c r="S73" s="579"/>
      <c r="T73" s="579"/>
      <c r="U73" s="579"/>
      <c r="V73" s="579"/>
      <c r="W73" s="579"/>
      <c r="X73" s="579"/>
      <c r="Y73" s="579"/>
      <c r="Z73" s="579"/>
      <c r="AA73" s="579"/>
      <c r="AB73" s="579"/>
      <c r="AC73" s="579"/>
      <c r="AD73" s="579"/>
      <c r="AE73" s="579"/>
      <c r="AF73" s="579"/>
      <c r="AG73" s="579"/>
      <c r="AH73" s="579"/>
      <c r="AI73" s="579"/>
      <c r="AJ73" s="579"/>
      <c r="AK73" s="579"/>
      <c r="AL73" s="579"/>
      <c r="AM73" s="579"/>
      <c r="AN73" s="579"/>
      <c r="AO73" s="579"/>
      <c r="AP73" s="584"/>
      <c r="AQ73" s="584"/>
      <c r="AR73" s="584"/>
      <c r="AS73" s="584"/>
      <c r="AT73" s="584"/>
      <c r="AU73" s="584"/>
      <c r="AV73" s="584"/>
      <c r="AW73" s="584"/>
      <c r="AX73" s="584"/>
      <c r="AY73" s="584"/>
      <c r="AZ73" s="196"/>
      <c r="BA73" s="196"/>
      <c r="BB73" s="196"/>
      <c r="BC73" s="196"/>
      <c r="BD73" s="196"/>
      <c r="BE73" s="196"/>
      <c r="BF73" s="196"/>
      <c r="BG73" s="196"/>
      <c r="BH73" s="196"/>
      <c r="BI73" s="196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  <c r="BX73" s="196"/>
      <c r="BY73" s="196"/>
      <c r="BZ73" s="196"/>
      <c r="CA73" s="196"/>
      <c r="CB73" s="196"/>
      <c r="CC73" s="196"/>
      <c r="CD73" s="196"/>
      <c r="CE73" s="196"/>
      <c r="CF73" s="196"/>
      <c r="CG73" s="196"/>
      <c r="CH73" s="196"/>
      <c r="CI73" s="196"/>
      <c r="CJ73" s="196"/>
      <c r="CK73" s="196"/>
      <c r="CL73" s="196"/>
      <c r="CM73" s="196"/>
      <c r="CN73" s="196"/>
      <c r="CO73" s="196"/>
      <c r="CP73" s="196"/>
      <c r="CQ73" s="196"/>
      <c r="CR73" s="196"/>
      <c r="CS73" s="196"/>
      <c r="CT73" s="196"/>
      <c r="CU73" s="196"/>
      <c r="CV73" s="196"/>
      <c r="CW73" s="196"/>
      <c r="CX73" s="196"/>
      <c r="CY73" s="196"/>
      <c r="CZ73" s="196"/>
      <c r="DA73" s="196"/>
      <c r="DB73" s="196"/>
      <c r="DC73" s="196"/>
      <c r="DD73" s="196"/>
      <c r="DE73" s="196"/>
      <c r="DF73" s="196"/>
      <c r="DG73" s="196"/>
      <c r="DH73" s="196"/>
      <c r="DI73" s="196"/>
      <c r="DJ73" s="196"/>
      <c r="DK73" s="196"/>
      <c r="DL73" s="196"/>
      <c r="DM73" s="196"/>
      <c r="DN73" s="196"/>
      <c r="DO73" s="196"/>
      <c r="DP73" s="196"/>
      <c r="DQ73" s="196"/>
      <c r="DR73" s="196"/>
      <c r="DS73" s="196"/>
      <c r="DT73" s="196"/>
      <c r="DU73" s="196"/>
      <c r="DV73" s="196"/>
      <c r="DW73" s="196"/>
      <c r="DX73" s="196"/>
      <c r="DY73" s="196"/>
      <c r="DZ73" s="196"/>
      <c r="EA73" s="196"/>
      <c r="EB73" s="196"/>
      <c r="EC73" s="196"/>
      <c r="ED73" s="196"/>
      <c r="EE73" s="196"/>
      <c r="EF73" s="196"/>
      <c r="EG73" s="196"/>
      <c r="EH73" s="196"/>
      <c r="EI73" s="196"/>
      <c r="EJ73" s="196"/>
      <c r="EK73" s="196"/>
      <c r="EL73" s="196"/>
      <c r="EM73" s="196"/>
      <c r="EN73" s="196"/>
      <c r="EO73" s="196"/>
      <c r="EP73" s="196"/>
      <c r="EQ73" s="196"/>
      <c r="ER73" s="196"/>
      <c r="ES73" s="196"/>
      <c r="ET73" s="196"/>
      <c r="EU73" s="196"/>
      <c r="EV73" s="196"/>
      <c r="EW73" s="196"/>
      <c r="EX73" s="196"/>
      <c r="EY73" s="196"/>
      <c r="EZ73" s="196"/>
      <c r="FA73" s="196"/>
      <c r="FB73" s="196"/>
      <c r="FC73" s="196"/>
      <c r="FD73" s="196"/>
      <c r="FE73" s="196"/>
      <c r="FF73" s="196"/>
      <c r="FG73" s="196"/>
      <c r="FH73" s="196"/>
      <c r="FI73" s="196"/>
      <c r="FJ73" s="196"/>
      <c r="FK73" s="196"/>
      <c r="FL73" s="196"/>
      <c r="FM73" s="196"/>
      <c r="FN73" s="196"/>
      <c r="FO73" s="196"/>
      <c r="FP73" s="196"/>
      <c r="FQ73" s="196"/>
      <c r="FR73" s="196"/>
      <c r="FS73" s="196"/>
      <c r="FT73" s="196"/>
      <c r="FU73" s="196"/>
      <c r="FV73" s="196"/>
      <c r="FW73" s="196"/>
      <c r="FX73" s="196"/>
      <c r="FY73" s="196"/>
      <c r="FZ73" s="196"/>
      <c r="GA73" s="196"/>
      <c r="GB73" s="196"/>
      <c r="GC73" s="196"/>
      <c r="GD73" s="196"/>
      <c r="GE73" s="196"/>
      <c r="GF73" s="196"/>
      <c r="GG73" s="196"/>
      <c r="GH73" s="196"/>
      <c r="GI73" s="196"/>
      <c r="GJ73" s="196"/>
      <c r="GK73" s="196"/>
      <c r="GL73" s="196"/>
      <c r="GM73" s="196"/>
      <c r="GN73" s="196"/>
      <c r="GO73" s="196"/>
      <c r="GP73" s="196"/>
      <c r="GQ73" s="196"/>
      <c r="GR73" s="196"/>
      <c r="GS73" s="196"/>
      <c r="GT73" s="196"/>
      <c r="GU73" s="196"/>
      <c r="GV73" s="196"/>
      <c r="GW73" s="196"/>
      <c r="GX73" s="196"/>
      <c r="GY73" s="196"/>
      <c r="GZ73" s="196"/>
      <c r="HA73" s="196"/>
      <c r="HB73" s="196"/>
      <c r="HC73" s="196"/>
      <c r="HD73" s="196"/>
      <c r="HE73" s="196"/>
      <c r="HF73" s="196"/>
      <c r="HG73" s="196"/>
      <c r="HH73" s="196"/>
      <c r="HI73" s="196"/>
      <c r="HJ73" s="196"/>
      <c r="HK73" s="196"/>
      <c r="HL73" s="196"/>
      <c r="HM73" s="196"/>
      <c r="HN73" s="196"/>
      <c r="HO73" s="196"/>
      <c r="HP73" s="196"/>
      <c r="HQ73" s="196"/>
      <c r="HR73" s="196"/>
      <c r="HS73" s="196"/>
      <c r="HT73" s="196"/>
      <c r="HU73" s="196"/>
      <c r="HV73" s="196"/>
      <c r="HW73" s="196"/>
      <c r="HX73" s="196"/>
      <c r="HY73" s="196"/>
      <c r="HZ73" s="196"/>
      <c r="IA73" s="196"/>
      <c r="IB73" s="196"/>
      <c r="IC73" s="196"/>
      <c r="ID73" s="196"/>
      <c r="IE73" s="196"/>
      <c r="IF73" s="196"/>
      <c r="IG73" s="196"/>
      <c r="IH73" s="196"/>
      <c r="II73" s="196"/>
      <c r="IJ73" s="196"/>
      <c r="IK73" s="196"/>
      <c r="IL73" s="196"/>
      <c r="IM73" s="196"/>
      <c r="IN73" s="196"/>
      <c r="IO73" s="196"/>
      <c r="IP73" s="196"/>
      <c r="IQ73" s="196"/>
      <c r="IR73" s="196"/>
    </row>
    <row r="74" spans="1:252" ht="15.6">
      <c r="A74" s="196"/>
      <c r="B74" s="196"/>
      <c r="C74" s="584"/>
      <c r="D74" s="584"/>
      <c r="E74" s="584"/>
      <c r="F74" s="584"/>
      <c r="G74" s="584"/>
      <c r="H74" s="584"/>
      <c r="I74" s="584"/>
      <c r="J74" s="584"/>
      <c r="K74" s="584"/>
      <c r="L74" s="584"/>
      <c r="M74" s="584"/>
      <c r="N74" s="584"/>
      <c r="O74" s="584"/>
      <c r="P74" s="584"/>
      <c r="Q74" s="584"/>
      <c r="R74" s="579"/>
      <c r="S74" s="579"/>
      <c r="T74" s="579"/>
      <c r="U74" s="579"/>
      <c r="V74" s="579"/>
      <c r="W74" s="579"/>
      <c r="X74" s="579"/>
      <c r="Y74" s="579"/>
      <c r="Z74" s="579"/>
      <c r="AA74" s="579"/>
      <c r="AB74" s="579"/>
      <c r="AC74" s="579"/>
      <c r="AD74" s="579"/>
      <c r="AE74" s="579"/>
      <c r="AF74" s="579"/>
      <c r="AG74" s="579"/>
      <c r="AH74" s="579"/>
      <c r="AI74" s="579"/>
      <c r="AJ74" s="579"/>
      <c r="AK74" s="579"/>
      <c r="AL74" s="579"/>
      <c r="AM74" s="579"/>
      <c r="AN74" s="579"/>
      <c r="AO74" s="579"/>
      <c r="AP74" s="584"/>
      <c r="AQ74" s="584"/>
      <c r="AR74" s="584"/>
      <c r="AS74" s="584"/>
      <c r="AT74" s="584"/>
      <c r="AU74" s="584"/>
      <c r="AV74" s="584"/>
      <c r="AW74" s="584"/>
      <c r="AX74" s="584"/>
      <c r="AY74" s="584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  <c r="BX74" s="196"/>
      <c r="BY74" s="196"/>
      <c r="BZ74" s="196"/>
      <c r="CA74" s="196"/>
      <c r="CB74" s="196"/>
      <c r="CC74" s="196"/>
      <c r="CD74" s="196"/>
      <c r="CE74" s="196"/>
      <c r="CF74" s="196"/>
      <c r="CG74" s="196"/>
      <c r="CH74" s="196"/>
      <c r="CI74" s="196"/>
      <c r="CJ74" s="196"/>
      <c r="CK74" s="196"/>
      <c r="CL74" s="196"/>
      <c r="CM74" s="196"/>
      <c r="CN74" s="196"/>
      <c r="CO74" s="196"/>
      <c r="CP74" s="196"/>
      <c r="CQ74" s="196"/>
      <c r="CR74" s="196"/>
      <c r="CS74" s="196"/>
      <c r="CT74" s="196"/>
      <c r="CU74" s="196"/>
      <c r="CV74" s="196"/>
      <c r="CW74" s="196"/>
      <c r="CX74" s="196"/>
      <c r="CY74" s="196"/>
      <c r="CZ74" s="196"/>
      <c r="DA74" s="196"/>
      <c r="DB74" s="196"/>
      <c r="DC74" s="196"/>
      <c r="DD74" s="196"/>
      <c r="DE74" s="196"/>
      <c r="DF74" s="196"/>
      <c r="DG74" s="196"/>
      <c r="DH74" s="196"/>
      <c r="DI74" s="196"/>
      <c r="DJ74" s="196"/>
      <c r="DK74" s="196"/>
      <c r="DL74" s="196"/>
      <c r="DM74" s="196"/>
      <c r="DN74" s="196"/>
      <c r="DO74" s="196"/>
      <c r="DP74" s="196"/>
      <c r="DQ74" s="196"/>
      <c r="DR74" s="196"/>
      <c r="DS74" s="196"/>
      <c r="DT74" s="196"/>
      <c r="DU74" s="196"/>
      <c r="DV74" s="196"/>
      <c r="DW74" s="196"/>
      <c r="DX74" s="196"/>
      <c r="DY74" s="196"/>
      <c r="DZ74" s="196"/>
      <c r="EA74" s="196"/>
      <c r="EB74" s="196"/>
      <c r="EC74" s="196"/>
      <c r="ED74" s="196"/>
      <c r="EE74" s="196"/>
      <c r="EF74" s="196"/>
      <c r="EG74" s="196"/>
      <c r="EH74" s="196"/>
      <c r="EI74" s="196"/>
      <c r="EJ74" s="196"/>
      <c r="EK74" s="196"/>
      <c r="EL74" s="196"/>
      <c r="EM74" s="196"/>
      <c r="EN74" s="196"/>
      <c r="EO74" s="196"/>
      <c r="EP74" s="196"/>
      <c r="EQ74" s="196"/>
      <c r="ER74" s="196"/>
      <c r="ES74" s="196"/>
      <c r="ET74" s="196"/>
      <c r="EU74" s="196"/>
      <c r="EV74" s="196"/>
      <c r="EW74" s="196"/>
      <c r="EX74" s="196"/>
      <c r="EY74" s="196"/>
      <c r="EZ74" s="196"/>
      <c r="FA74" s="196"/>
      <c r="FB74" s="196"/>
      <c r="FC74" s="196"/>
      <c r="FD74" s="196"/>
      <c r="FE74" s="196"/>
      <c r="FF74" s="196"/>
      <c r="FG74" s="196"/>
      <c r="FH74" s="196"/>
      <c r="FI74" s="196"/>
      <c r="FJ74" s="196"/>
      <c r="FK74" s="196"/>
      <c r="FL74" s="196"/>
      <c r="FM74" s="196"/>
      <c r="FN74" s="196"/>
      <c r="FO74" s="196"/>
      <c r="FP74" s="196"/>
      <c r="FQ74" s="196"/>
      <c r="FR74" s="196"/>
      <c r="FS74" s="196"/>
      <c r="FT74" s="196"/>
      <c r="FU74" s="196"/>
      <c r="FV74" s="196"/>
      <c r="FW74" s="196"/>
      <c r="FX74" s="196"/>
      <c r="FY74" s="196"/>
      <c r="FZ74" s="196"/>
      <c r="GA74" s="196"/>
      <c r="GB74" s="196"/>
      <c r="GC74" s="196"/>
      <c r="GD74" s="196"/>
      <c r="GE74" s="196"/>
      <c r="GF74" s="196"/>
      <c r="GG74" s="196"/>
      <c r="GH74" s="196"/>
      <c r="GI74" s="196"/>
      <c r="GJ74" s="196"/>
      <c r="GK74" s="196"/>
      <c r="GL74" s="196"/>
      <c r="GM74" s="196"/>
      <c r="GN74" s="196"/>
      <c r="GO74" s="196"/>
      <c r="GP74" s="196"/>
      <c r="GQ74" s="196"/>
      <c r="GR74" s="196"/>
      <c r="GS74" s="196"/>
      <c r="GT74" s="196"/>
      <c r="GU74" s="196"/>
      <c r="GV74" s="196"/>
      <c r="GW74" s="196"/>
      <c r="GX74" s="196"/>
      <c r="GY74" s="196"/>
      <c r="GZ74" s="196"/>
      <c r="HA74" s="196"/>
      <c r="HB74" s="196"/>
      <c r="HC74" s="196"/>
      <c r="HD74" s="196"/>
      <c r="HE74" s="196"/>
      <c r="HF74" s="196"/>
      <c r="HG74" s="196"/>
      <c r="HH74" s="196"/>
      <c r="HI74" s="196"/>
      <c r="HJ74" s="196"/>
      <c r="HK74" s="196"/>
      <c r="HL74" s="196"/>
      <c r="HM74" s="196"/>
      <c r="HN74" s="196"/>
      <c r="HO74" s="196"/>
      <c r="HP74" s="196"/>
      <c r="HQ74" s="196"/>
      <c r="HR74" s="196"/>
      <c r="HS74" s="196"/>
      <c r="HT74" s="196"/>
      <c r="HU74" s="196"/>
      <c r="HV74" s="196"/>
      <c r="HW74" s="196"/>
      <c r="HX74" s="196"/>
      <c r="HY74" s="196"/>
      <c r="HZ74" s="196"/>
      <c r="IA74" s="196"/>
      <c r="IB74" s="196"/>
      <c r="IC74" s="196"/>
      <c r="ID74" s="196"/>
      <c r="IE74" s="196"/>
      <c r="IF74" s="196"/>
      <c r="IG74" s="196"/>
      <c r="IH74" s="196"/>
      <c r="II74" s="196"/>
      <c r="IJ74" s="196"/>
      <c r="IK74" s="196"/>
      <c r="IL74" s="196"/>
      <c r="IM74" s="196"/>
      <c r="IN74" s="196"/>
      <c r="IO74" s="196"/>
      <c r="IP74" s="196"/>
      <c r="IQ74" s="196"/>
      <c r="IR74" s="196"/>
    </row>
    <row r="75" spans="1:252" ht="15.6">
      <c r="A75" s="196"/>
      <c r="B75" s="196"/>
      <c r="C75" s="584"/>
      <c r="D75" s="584"/>
      <c r="E75" s="584"/>
      <c r="F75" s="584"/>
      <c r="G75" s="584"/>
      <c r="H75" s="584"/>
      <c r="I75" s="584"/>
      <c r="J75" s="584"/>
      <c r="K75" s="584"/>
      <c r="L75" s="584"/>
      <c r="M75" s="584"/>
      <c r="N75" s="584"/>
      <c r="O75" s="584"/>
      <c r="P75" s="584"/>
      <c r="Q75" s="584"/>
      <c r="R75" s="579"/>
      <c r="S75" s="579"/>
      <c r="T75" s="579"/>
      <c r="U75" s="579"/>
      <c r="V75" s="579"/>
      <c r="W75" s="579"/>
      <c r="X75" s="579"/>
      <c r="Y75" s="579"/>
      <c r="Z75" s="579"/>
      <c r="AA75" s="579"/>
      <c r="AB75" s="579"/>
      <c r="AC75" s="579"/>
      <c r="AD75" s="579"/>
      <c r="AE75" s="579"/>
      <c r="AF75" s="579"/>
      <c r="AG75" s="579"/>
      <c r="AH75" s="579"/>
      <c r="AI75" s="579"/>
      <c r="AJ75" s="579"/>
      <c r="AK75" s="579"/>
      <c r="AL75" s="579"/>
      <c r="AM75" s="579"/>
      <c r="AN75" s="579"/>
      <c r="AO75" s="579"/>
      <c r="AP75" s="584"/>
      <c r="AQ75" s="584"/>
      <c r="AR75" s="584"/>
      <c r="AS75" s="584"/>
      <c r="AT75" s="584"/>
      <c r="AU75" s="584"/>
      <c r="AV75" s="584"/>
      <c r="AW75" s="584"/>
      <c r="AX75" s="584"/>
      <c r="AY75" s="584"/>
      <c r="AZ75" s="196"/>
      <c r="BA75" s="196"/>
      <c r="BB75" s="196"/>
      <c r="BC75" s="196"/>
      <c r="BD75" s="196"/>
      <c r="BE75" s="196"/>
      <c r="BF75" s="196"/>
      <c r="BG75" s="196"/>
      <c r="BH75" s="196"/>
      <c r="BI75" s="196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  <c r="BX75" s="196"/>
      <c r="BY75" s="196"/>
      <c r="BZ75" s="196"/>
      <c r="CA75" s="196"/>
      <c r="CB75" s="196"/>
      <c r="CC75" s="196"/>
      <c r="CD75" s="196"/>
      <c r="CE75" s="196"/>
      <c r="CF75" s="196"/>
      <c r="CG75" s="196"/>
      <c r="CH75" s="196"/>
      <c r="CI75" s="196"/>
      <c r="CJ75" s="196"/>
      <c r="CK75" s="196"/>
      <c r="CL75" s="196"/>
      <c r="CM75" s="196"/>
      <c r="CN75" s="196"/>
      <c r="CO75" s="196"/>
      <c r="CP75" s="196"/>
      <c r="CQ75" s="196"/>
      <c r="CR75" s="196"/>
      <c r="CS75" s="196"/>
      <c r="CT75" s="196"/>
      <c r="CU75" s="196"/>
      <c r="CV75" s="196"/>
      <c r="CW75" s="196"/>
      <c r="CX75" s="196"/>
      <c r="CY75" s="196"/>
      <c r="CZ75" s="196"/>
      <c r="DA75" s="196"/>
      <c r="DB75" s="196"/>
      <c r="DC75" s="196"/>
      <c r="DD75" s="196"/>
      <c r="DE75" s="196"/>
      <c r="DF75" s="196"/>
      <c r="DG75" s="196"/>
      <c r="DH75" s="196"/>
      <c r="DI75" s="196"/>
      <c r="DJ75" s="196"/>
      <c r="DK75" s="196"/>
      <c r="DL75" s="196"/>
      <c r="DM75" s="196"/>
      <c r="DN75" s="196"/>
      <c r="DO75" s="196"/>
      <c r="DP75" s="196"/>
      <c r="DQ75" s="196"/>
      <c r="DR75" s="196"/>
      <c r="DS75" s="196"/>
      <c r="DT75" s="196"/>
      <c r="DU75" s="196"/>
      <c r="DV75" s="196"/>
      <c r="DW75" s="196"/>
      <c r="DX75" s="196"/>
      <c r="DY75" s="196"/>
      <c r="DZ75" s="196"/>
      <c r="EA75" s="196"/>
      <c r="EB75" s="196"/>
      <c r="EC75" s="196"/>
      <c r="ED75" s="196"/>
      <c r="EE75" s="196"/>
      <c r="EF75" s="196"/>
      <c r="EG75" s="196"/>
      <c r="EH75" s="196"/>
      <c r="EI75" s="196"/>
      <c r="EJ75" s="196"/>
      <c r="EK75" s="196"/>
      <c r="EL75" s="196"/>
      <c r="EM75" s="196"/>
      <c r="EN75" s="196"/>
      <c r="EO75" s="196"/>
      <c r="EP75" s="196"/>
      <c r="EQ75" s="196"/>
      <c r="ER75" s="196"/>
      <c r="ES75" s="196"/>
      <c r="ET75" s="196"/>
      <c r="EU75" s="196"/>
      <c r="EV75" s="196"/>
      <c r="EW75" s="196"/>
      <c r="EX75" s="196"/>
      <c r="EY75" s="196"/>
      <c r="EZ75" s="196"/>
      <c r="FA75" s="196"/>
      <c r="FB75" s="196"/>
      <c r="FC75" s="196"/>
      <c r="FD75" s="196"/>
      <c r="FE75" s="196"/>
      <c r="FF75" s="196"/>
      <c r="FG75" s="196"/>
      <c r="FH75" s="196"/>
      <c r="FI75" s="196"/>
      <c r="FJ75" s="196"/>
      <c r="FK75" s="196"/>
      <c r="FL75" s="196"/>
      <c r="FM75" s="196"/>
      <c r="FN75" s="196"/>
      <c r="FO75" s="196"/>
      <c r="FP75" s="196"/>
      <c r="FQ75" s="196"/>
      <c r="FR75" s="196"/>
      <c r="FS75" s="196"/>
      <c r="FT75" s="196"/>
      <c r="FU75" s="196"/>
      <c r="FV75" s="196"/>
      <c r="FW75" s="196"/>
      <c r="FX75" s="196"/>
      <c r="FY75" s="196"/>
      <c r="FZ75" s="196"/>
      <c r="GA75" s="196"/>
      <c r="GB75" s="196"/>
      <c r="GC75" s="196"/>
      <c r="GD75" s="196"/>
      <c r="GE75" s="196"/>
      <c r="GF75" s="196"/>
      <c r="GG75" s="196"/>
      <c r="GH75" s="196"/>
      <c r="GI75" s="196"/>
      <c r="GJ75" s="196"/>
      <c r="GK75" s="196"/>
      <c r="GL75" s="196"/>
      <c r="GM75" s="196"/>
      <c r="GN75" s="196"/>
      <c r="GO75" s="196"/>
      <c r="GP75" s="196"/>
      <c r="GQ75" s="196"/>
      <c r="GR75" s="196"/>
      <c r="GS75" s="196"/>
      <c r="GT75" s="196"/>
      <c r="GU75" s="196"/>
      <c r="GV75" s="196"/>
      <c r="GW75" s="196"/>
      <c r="GX75" s="196"/>
      <c r="GY75" s="196"/>
      <c r="GZ75" s="196"/>
      <c r="HA75" s="196"/>
      <c r="HB75" s="196"/>
      <c r="HC75" s="196"/>
      <c r="HD75" s="196"/>
      <c r="HE75" s="196"/>
      <c r="HF75" s="196"/>
      <c r="HG75" s="196"/>
      <c r="HH75" s="196"/>
      <c r="HI75" s="196"/>
      <c r="HJ75" s="196"/>
      <c r="HK75" s="196"/>
      <c r="HL75" s="196"/>
      <c r="HM75" s="196"/>
      <c r="HN75" s="196"/>
      <c r="HO75" s="196"/>
      <c r="HP75" s="196"/>
      <c r="HQ75" s="196"/>
      <c r="HR75" s="196"/>
      <c r="HS75" s="196"/>
      <c r="HT75" s="196"/>
      <c r="HU75" s="196"/>
      <c r="HV75" s="196"/>
      <c r="HW75" s="196"/>
      <c r="HX75" s="196"/>
      <c r="HY75" s="196"/>
      <c r="HZ75" s="196"/>
      <c r="IA75" s="196"/>
      <c r="IB75" s="196"/>
      <c r="IC75" s="196"/>
      <c r="ID75" s="196"/>
      <c r="IE75" s="196"/>
      <c r="IF75" s="196"/>
      <c r="IG75" s="196"/>
      <c r="IH75" s="196"/>
      <c r="II75" s="196"/>
      <c r="IJ75" s="196"/>
      <c r="IK75" s="196"/>
      <c r="IL75" s="196"/>
      <c r="IM75" s="196"/>
      <c r="IN75" s="196"/>
      <c r="IO75" s="196"/>
      <c r="IP75" s="196"/>
      <c r="IQ75" s="196"/>
      <c r="IR75" s="196"/>
    </row>
    <row r="76" spans="1:252" ht="15.6">
      <c r="A76" s="196"/>
      <c r="B76" s="196"/>
      <c r="C76" s="584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584"/>
      <c r="Q76" s="584"/>
      <c r="R76" s="579"/>
      <c r="S76" s="579"/>
      <c r="T76" s="579"/>
      <c r="U76" s="579"/>
      <c r="V76" s="579"/>
      <c r="W76" s="579"/>
      <c r="X76" s="579"/>
      <c r="Y76" s="579"/>
      <c r="Z76" s="579"/>
      <c r="AA76" s="579"/>
      <c r="AB76" s="579"/>
      <c r="AC76" s="579"/>
      <c r="AD76" s="579"/>
      <c r="AE76" s="579"/>
      <c r="AF76" s="579"/>
      <c r="AG76" s="579"/>
      <c r="AH76" s="579"/>
      <c r="AI76" s="579"/>
      <c r="AJ76" s="579"/>
      <c r="AK76" s="579"/>
      <c r="AL76" s="579"/>
      <c r="AM76" s="579"/>
      <c r="AN76" s="579"/>
      <c r="AO76" s="579"/>
      <c r="AP76" s="584"/>
      <c r="AQ76" s="584"/>
      <c r="AR76" s="584"/>
      <c r="AS76" s="584"/>
      <c r="AT76" s="584"/>
      <c r="AU76" s="584"/>
      <c r="AV76" s="584"/>
      <c r="AW76" s="584"/>
      <c r="AX76" s="584"/>
      <c r="AY76" s="584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  <c r="BX76" s="196"/>
      <c r="BY76" s="196"/>
      <c r="BZ76" s="196"/>
      <c r="CA76" s="196"/>
      <c r="CB76" s="196"/>
      <c r="CC76" s="196"/>
      <c r="CD76" s="196"/>
      <c r="CE76" s="196"/>
      <c r="CF76" s="196"/>
      <c r="CG76" s="196"/>
      <c r="CH76" s="196"/>
      <c r="CI76" s="196"/>
      <c r="CJ76" s="196"/>
      <c r="CK76" s="196"/>
      <c r="CL76" s="196"/>
      <c r="CM76" s="196"/>
      <c r="CN76" s="196"/>
      <c r="CO76" s="196"/>
      <c r="CP76" s="196"/>
      <c r="CQ76" s="196"/>
      <c r="CR76" s="196"/>
      <c r="CS76" s="196"/>
      <c r="CT76" s="196"/>
      <c r="CU76" s="196"/>
      <c r="CV76" s="196"/>
      <c r="CW76" s="196"/>
      <c r="CX76" s="196"/>
      <c r="CY76" s="196"/>
      <c r="CZ76" s="196"/>
      <c r="DA76" s="196"/>
      <c r="DB76" s="196"/>
      <c r="DC76" s="196"/>
      <c r="DD76" s="196"/>
      <c r="DE76" s="196"/>
      <c r="DF76" s="196"/>
      <c r="DG76" s="196"/>
      <c r="DH76" s="196"/>
      <c r="DI76" s="196"/>
      <c r="DJ76" s="196"/>
      <c r="DK76" s="196"/>
      <c r="DL76" s="196"/>
      <c r="DM76" s="196"/>
      <c r="DN76" s="196"/>
      <c r="DO76" s="196"/>
      <c r="DP76" s="196"/>
      <c r="DQ76" s="196"/>
      <c r="DR76" s="196"/>
      <c r="DS76" s="196"/>
      <c r="DT76" s="196"/>
      <c r="DU76" s="196"/>
      <c r="DV76" s="196"/>
      <c r="DW76" s="196"/>
      <c r="DX76" s="196"/>
      <c r="DY76" s="196"/>
      <c r="DZ76" s="196"/>
      <c r="EA76" s="196"/>
      <c r="EB76" s="196"/>
      <c r="EC76" s="196"/>
      <c r="ED76" s="196"/>
      <c r="EE76" s="196"/>
      <c r="EF76" s="196"/>
      <c r="EG76" s="196"/>
      <c r="EH76" s="196"/>
      <c r="EI76" s="196"/>
      <c r="EJ76" s="196"/>
      <c r="EK76" s="196"/>
      <c r="EL76" s="196"/>
      <c r="EM76" s="196"/>
      <c r="EN76" s="196"/>
      <c r="EO76" s="196"/>
      <c r="EP76" s="196"/>
      <c r="EQ76" s="196"/>
      <c r="ER76" s="196"/>
      <c r="ES76" s="196"/>
      <c r="ET76" s="196"/>
      <c r="EU76" s="196"/>
      <c r="EV76" s="196"/>
      <c r="EW76" s="196"/>
      <c r="EX76" s="196"/>
      <c r="EY76" s="196"/>
      <c r="EZ76" s="196"/>
      <c r="FA76" s="196"/>
      <c r="FB76" s="196"/>
      <c r="FC76" s="196"/>
      <c r="FD76" s="196"/>
      <c r="FE76" s="196"/>
      <c r="FF76" s="196"/>
      <c r="FG76" s="196"/>
      <c r="FH76" s="196"/>
      <c r="FI76" s="196"/>
      <c r="FJ76" s="196"/>
      <c r="FK76" s="196"/>
      <c r="FL76" s="196"/>
      <c r="FM76" s="196"/>
      <c r="FN76" s="196"/>
      <c r="FO76" s="196"/>
      <c r="FP76" s="196"/>
      <c r="FQ76" s="196"/>
      <c r="FR76" s="196"/>
      <c r="FS76" s="196"/>
      <c r="FT76" s="196"/>
      <c r="FU76" s="196"/>
      <c r="FV76" s="196"/>
      <c r="FW76" s="196"/>
      <c r="FX76" s="196"/>
      <c r="FY76" s="196"/>
      <c r="FZ76" s="196"/>
      <c r="GA76" s="196"/>
      <c r="GB76" s="196"/>
      <c r="GC76" s="196"/>
      <c r="GD76" s="196"/>
      <c r="GE76" s="196"/>
      <c r="GF76" s="196"/>
      <c r="GG76" s="196"/>
      <c r="GH76" s="196"/>
      <c r="GI76" s="196"/>
      <c r="GJ76" s="196"/>
      <c r="GK76" s="196"/>
      <c r="GL76" s="196"/>
      <c r="GM76" s="196"/>
      <c r="GN76" s="196"/>
      <c r="GO76" s="196"/>
      <c r="GP76" s="196"/>
      <c r="GQ76" s="196"/>
      <c r="GR76" s="196"/>
      <c r="GS76" s="196"/>
      <c r="GT76" s="196"/>
      <c r="GU76" s="196"/>
      <c r="GV76" s="196"/>
      <c r="GW76" s="196"/>
      <c r="GX76" s="196"/>
      <c r="GY76" s="196"/>
      <c r="GZ76" s="196"/>
      <c r="HA76" s="196"/>
      <c r="HB76" s="196"/>
      <c r="HC76" s="196"/>
      <c r="HD76" s="196"/>
      <c r="HE76" s="196"/>
      <c r="HF76" s="196"/>
      <c r="HG76" s="196"/>
      <c r="HH76" s="196"/>
      <c r="HI76" s="196"/>
      <c r="HJ76" s="196"/>
      <c r="HK76" s="196"/>
      <c r="HL76" s="196"/>
      <c r="HM76" s="196"/>
      <c r="HN76" s="196"/>
      <c r="HO76" s="196"/>
      <c r="HP76" s="196"/>
      <c r="HQ76" s="196"/>
      <c r="HR76" s="196"/>
      <c r="HS76" s="196"/>
      <c r="HT76" s="196"/>
      <c r="HU76" s="196"/>
      <c r="HV76" s="196"/>
      <c r="HW76" s="196"/>
      <c r="HX76" s="196"/>
      <c r="HY76" s="196"/>
      <c r="HZ76" s="196"/>
      <c r="IA76" s="196"/>
      <c r="IB76" s="196"/>
      <c r="IC76" s="196"/>
      <c r="ID76" s="196"/>
      <c r="IE76" s="196"/>
      <c r="IF76" s="196"/>
      <c r="IG76" s="196"/>
      <c r="IH76" s="196"/>
      <c r="II76" s="196"/>
      <c r="IJ76" s="196"/>
      <c r="IK76" s="196"/>
      <c r="IL76" s="196"/>
      <c r="IM76" s="196"/>
      <c r="IN76" s="196"/>
      <c r="IO76" s="196"/>
      <c r="IP76" s="196"/>
      <c r="IQ76" s="196"/>
      <c r="IR76" s="196"/>
    </row>
    <row r="77" spans="1:252" ht="15.6">
      <c r="A77" s="196"/>
      <c r="B77" s="196"/>
      <c r="C77" s="584"/>
      <c r="D77" s="584"/>
      <c r="E77" s="584"/>
      <c r="F77" s="584"/>
      <c r="G77" s="584"/>
      <c r="H77" s="584"/>
      <c r="I77" s="584"/>
      <c r="J77" s="584"/>
      <c r="K77" s="584"/>
      <c r="L77" s="584"/>
      <c r="M77" s="584"/>
      <c r="N77" s="584"/>
      <c r="O77" s="584"/>
      <c r="P77" s="584"/>
      <c r="Q77" s="584"/>
      <c r="R77" s="579"/>
      <c r="S77" s="579"/>
      <c r="T77" s="579"/>
      <c r="U77" s="579"/>
      <c r="V77" s="579"/>
      <c r="W77" s="579"/>
      <c r="X77" s="579"/>
      <c r="Y77" s="579"/>
      <c r="Z77" s="579"/>
      <c r="AA77" s="579"/>
      <c r="AB77" s="579"/>
      <c r="AC77" s="579"/>
      <c r="AD77" s="579"/>
      <c r="AE77" s="579"/>
      <c r="AF77" s="579"/>
      <c r="AG77" s="579"/>
      <c r="AH77" s="579"/>
      <c r="AI77" s="579"/>
      <c r="AJ77" s="579"/>
      <c r="AK77" s="579"/>
      <c r="AL77" s="579"/>
      <c r="AM77" s="579"/>
      <c r="AN77" s="579"/>
      <c r="AO77" s="579"/>
      <c r="AP77" s="584"/>
      <c r="AQ77" s="584"/>
      <c r="AR77" s="584"/>
      <c r="AS77" s="584"/>
      <c r="AT77" s="584"/>
      <c r="AU77" s="584"/>
      <c r="AV77" s="584"/>
      <c r="AW77" s="584"/>
      <c r="AX77" s="584"/>
      <c r="AY77" s="584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  <c r="BX77" s="196"/>
      <c r="BY77" s="196"/>
      <c r="BZ77" s="196"/>
      <c r="CA77" s="196"/>
      <c r="CB77" s="196"/>
      <c r="CC77" s="196"/>
      <c r="CD77" s="196"/>
      <c r="CE77" s="196"/>
      <c r="CF77" s="196"/>
      <c r="CG77" s="196"/>
      <c r="CH77" s="196"/>
      <c r="CI77" s="196"/>
      <c r="CJ77" s="196"/>
      <c r="CK77" s="196"/>
      <c r="CL77" s="196"/>
      <c r="CM77" s="196"/>
      <c r="CN77" s="196"/>
      <c r="CO77" s="196"/>
      <c r="CP77" s="196"/>
      <c r="CQ77" s="196"/>
      <c r="CR77" s="196"/>
      <c r="CS77" s="196"/>
      <c r="CT77" s="196"/>
      <c r="CU77" s="196"/>
      <c r="CV77" s="196"/>
      <c r="CW77" s="196"/>
      <c r="CX77" s="196"/>
      <c r="CY77" s="196"/>
      <c r="CZ77" s="196"/>
      <c r="DA77" s="196"/>
      <c r="DB77" s="196"/>
      <c r="DC77" s="196"/>
      <c r="DD77" s="196"/>
      <c r="DE77" s="196"/>
      <c r="DF77" s="196"/>
      <c r="DG77" s="196"/>
      <c r="DH77" s="196"/>
      <c r="DI77" s="196"/>
      <c r="DJ77" s="196"/>
      <c r="DK77" s="196"/>
      <c r="DL77" s="196"/>
      <c r="DM77" s="196"/>
      <c r="DN77" s="196"/>
      <c r="DO77" s="196"/>
      <c r="DP77" s="196"/>
      <c r="DQ77" s="196"/>
      <c r="DR77" s="196"/>
      <c r="DS77" s="196"/>
      <c r="DT77" s="196"/>
      <c r="DU77" s="196"/>
      <c r="DV77" s="196"/>
      <c r="DW77" s="196"/>
      <c r="DX77" s="196"/>
      <c r="DY77" s="196"/>
      <c r="DZ77" s="196"/>
      <c r="EA77" s="196"/>
      <c r="EB77" s="196"/>
      <c r="EC77" s="196"/>
      <c r="ED77" s="196"/>
      <c r="EE77" s="196"/>
      <c r="EF77" s="196"/>
      <c r="EG77" s="196"/>
      <c r="EH77" s="196"/>
      <c r="EI77" s="196"/>
      <c r="EJ77" s="196"/>
      <c r="EK77" s="196"/>
      <c r="EL77" s="196"/>
      <c r="EM77" s="196"/>
      <c r="EN77" s="196"/>
      <c r="EO77" s="196"/>
      <c r="EP77" s="196"/>
      <c r="EQ77" s="196"/>
      <c r="ER77" s="196"/>
      <c r="ES77" s="196"/>
      <c r="ET77" s="196"/>
      <c r="EU77" s="196"/>
      <c r="EV77" s="196"/>
      <c r="EW77" s="196"/>
      <c r="EX77" s="196"/>
      <c r="EY77" s="196"/>
      <c r="EZ77" s="196"/>
      <c r="FA77" s="196"/>
      <c r="FB77" s="196"/>
      <c r="FC77" s="196"/>
      <c r="FD77" s="196"/>
      <c r="FE77" s="196"/>
      <c r="FF77" s="196"/>
      <c r="FG77" s="196"/>
      <c r="FH77" s="196"/>
      <c r="FI77" s="196"/>
      <c r="FJ77" s="196"/>
      <c r="FK77" s="196"/>
      <c r="FL77" s="196"/>
      <c r="FM77" s="196"/>
      <c r="FN77" s="196"/>
      <c r="FO77" s="196"/>
      <c r="FP77" s="196"/>
      <c r="FQ77" s="196"/>
      <c r="FR77" s="196"/>
      <c r="FS77" s="196"/>
      <c r="FT77" s="196"/>
      <c r="FU77" s="196"/>
      <c r="FV77" s="196"/>
      <c r="FW77" s="196"/>
      <c r="FX77" s="196"/>
      <c r="FY77" s="196"/>
      <c r="FZ77" s="196"/>
      <c r="GA77" s="196"/>
      <c r="GB77" s="196"/>
      <c r="GC77" s="196"/>
      <c r="GD77" s="196"/>
      <c r="GE77" s="196"/>
      <c r="GF77" s="196"/>
      <c r="GG77" s="196"/>
      <c r="GH77" s="196"/>
      <c r="GI77" s="196"/>
      <c r="GJ77" s="196"/>
      <c r="GK77" s="196"/>
      <c r="GL77" s="196"/>
      <c r="GM77" s="196"/>
      <c r="GN77" s="196"/>
      <c r="GO77" s="196"/>
      <c r="GP77" s="196"/>
      <c r="GQ77" s="196"/>
      <c r="GR77" s="196"/>
      <c r="GS77" s="196"/>
      <c r="GT77" s="196"/>
      <c r="GU77" s="196"/>
      <c r="GV77" s="196"/>
      <c r="GW77" s="196"/>
      <c r="GX77" s="196"/>
      <c r="GY77" s="196"/>
      <c r="GZ77" s="196"/>
      <c r="HA77" s="196"/>
      <c r="HB77" s="196"/>
      <c r="HC77" s="196"/>
      <c r="HD77" s="196"/>
      <c r="HE77" s="196"/>
      <c r="HF77" s="196"/>
      <c r="HG77" s="196"/>
      <c r="HH77" s="196"/>
      <c r="HI77" s="196"/>
      <c r="HJ77" s="196"/>
      <c r="HK77" s="196"/>
      <c r="HL77" s="196"/>
      <c r="HM77" s="196"/>
      <c r="HN77" s="196"/>
      <c r="HO77" s="196"/>
      <c r="HP77" s="196"/>
      <c r="HQ77" s="196"/>
      <c r="HR77" s="196"/>
      <c r="HS77" s="196"/>
      <c r="HT77" s="196"/>
      <c r="HU77" s="196"/>
      <c r="HV77" s="196"/>
      <c r="HW77" s="196"/>
      <c r="HX77" s="196"/>
      <c r="HY77" s="196"/>
      <c r="HZ77" s="196"/>
      <c r="IA77" s="196"/>
      <c r="IB77" s="196"/>
      <c r="IC77" s="196"/>
      <c r="ID77" s="196"/>
      <c r="IE77" s="196"/>
      <c r="IF77" s="196"/>
      <c r="IG77" s="196"/>
      <c r="IH77" s="196"/>
      <c r="II77" s="196"/>
      <c r="IJ77" s="196"/>
      <c r="IK77" s="196"/>
      <c r="IL77" s="196"/>
      <c r="IM77" s="196"/>
      <c r="IN77" s="196"/>
      <c r="IO77" s="196"/>
      <c r="IP77" s="196"/>
      <c r="IQ77" s="196"/>
      <c r="IR77" s="196"/>
    </row>
    <row r="78" spans="1:252" ht="15.6">
      <c r="A78" s="196"/>
      <c r="B78" s="196"/>
      <c r="C78" s="584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584"/>
      <c r="Q78" s="584"/>
      <c r="R78" s="579"/>
      <c r="S78" s="579"/>
      <c r="T78" s="579"/>
      <c r="U78" s="579"/>
      <c r="V78" s="579"/>
      <c r="W78" s="579"/>
      <c r="X78" s="579"/>
      <c r="Y78" s="579"/>
      <c r="Z78" s="579"/>
      <c r="AA78" s="579"/>
      <c r="AB78" s="579"/>
      <c r="AC78" s="579"/>
      <c r="AD78" s="579"/>
      <c r="AE78" s="579"/>
      <c r="AF78" s="579"/>
      <c r="AG78" s="579"/>
      <c r="AH78" s="579"/>
      <c r="AI78" s="579"/>
      <c r="AJ78" s="579"/>
      <c r="AK78" s="579"/>
      <c r="AL78" s="579"/>
      <c r="AM78" s="579"/>
      <c r="AN78" s="579"/>
      <c r="AO78" s="579"/>
      <c r="AP78" s="584"/>
      <c r="AQ78" s="584"/>
      <c r="AR78" s="584"/>
      <c r="AS78" s="584"/>
      <c r="AT78" s="584"/>
      <c r="AU78" s="584"/>
      <c r="AV78" s="584"/>
      <c r="AW78" s="584"/>
      <c r="AX78" s="584"/>
      <c r="AY78" s="584"/>
      <c r="AZ78" s="196"/>
      <c r="BA78" s="196"/>
      <c r="BB78" s="196"/>
      <c r="BC78" s="196"/>
      <c r="BD78" s="196"/>
      <c r="BE78" s="196"/>
      <c r="BF78" s="196"/>
      <c r="BG78" s="196"/>
      <c r="BH78" s="196"/>
      <c r="BI78" s="196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  <c r="BX78" s="196"/>
      <c r="BY78" s="196"/>
      <c r="BZ78" s="196"/>
      <c r="CA78" s="196"/>
      <c r="CB78" s="196"/>
      <c r="CC78" s="196"/>
      <c r="CD78" s="196"/>
      <c r="CE78" s="196"/>
      <c r="CF78" s="196"/>
      <c r="CG78" s="196"/>
      <c r="CH78" s="196"/>
      <c r="CI78" s="196"/>
      <c r="CJ78" s="196"/>
      <c r="CK78" s="196"/>
      <c r="CL78" s="196"/>
      <c r="CM78" s="196"/>
      <c r="CN78" s="196"/>
      <c r="CO78" s="196"/>
      <c r="CP78" s="196"/>
      <c r="CQ78" s="196"/>
      <c r="CR78" s="196"/>
      <c r="CS78" s="196"/>
      <c r="CT78" s="196"/>
      <c r="CU78" s="196"/>
      <c r="CV78" s="196"/>
      <c r="CW78" s="196"/>
      <c r="CX78" s="196"/>
      <c r="CY78" s="196"/>
      <c r="CZ78" s="196"/>
      <c r="DA78" s="196"/>
      <c r="DB78" s="196"/>
      <c r="DC78" s="196"/>
      <c r="DD78" s="196"/>
      <c r="DE78" s="196"/>
      <c r="DF78" s="196"/>
      <c r="DG78" s="196"/>
      <c r="DH78" s="196"/>
      <c r="DI78" s="196"/>
      <c r="DJ78" s="196"/>
      <c r="DK78" s="196"/>
      <c r="DL78" s="196"/>
      <c r="DM78" s="196"/>
      <c r="DN78" s="196"/>
      <c r="DO78" s="196"/>
      <c r="DP78" s="196"/>
      <c r="DQ78" s="196"/>
      <c r="DR78" s="196"/>
      <c r="DS78" s="196"/>
      <c r="DT78" s="196"/>
      <c r="DU78" s="196"/>
      <c r="DV78" s="196"/>
      <c r="DW78" s="196"/>
      <c r="DX78" s="196"/>
      <c r="DY78" s="196"/>
      <c r="DZ78" s="196"/>
      <c r="EA78" s="196"/>
      <c r="EB78" s="196"/>
      <c r="EC78" s="196"/>
      <c r="ED78" s="196"/>
      <c r="EE78" s="196"/>
      <c r="EF78" s="196"/>
      <c r="EG78" s="196"/>
      <c r="EH78" s="196"/>
      <c r="EI78" s="196"/>
      <c r="EJ78" s="196"/>
      <c r="EK78" s="196"/>
      <c r="EL78" s="196"/>
      <c r="EM78" s="196"/>
      <c r="EN78" s="196"/>
      <c r="EO78" s="196"/>
      <c r="EP78" s="196"/>
      <c r="EQ78" s="196"/>
      <c r="ER78" s="196"/>
      <c r="ES78" s="196"/>
      <c r="ET78" s="196"/>
      <c r="EU78" s="196"/>
      <c r="EV78" s="196"/>
      <c r="EW78" s="196"/>
      <c r="EX78" s="196"/>
      <c r="EY78" s="196"/>
      <c r="EZ78" s="196"/>
      <c r="FA78" s="196"/>
      <c r="FB78" s="196"/>
      <c r="FC78" s="196"/>
      <c r="FD78" s="196"/>
      <c r="FE78" s="196"/>
      <c r="FF78" s="196"/>
      <c r="FG78" s="196"/>
      <c r="FH78" s="196"/>
      <c r="FI78" s="196"/>
      <c r="FJ78" s="196"/>
      <c r="FK78" s="196"/>
      <c r="FL78" s="196"/>
      <c r="FM78" s="196"/>
      <c r="FN78" s="196"/>
      <c r="FO78" s="196"/>
      <c r="FP78" s="196"/>
      <c r="FQ78" s="196"/>
      <c r="FR78" s="196"/>
      <c r="FS78" s="196"/>
      <c r="FT78" s="196"/>
      <c r="FU78" s="196"/>
      <c r="FV78" s="196"/>
      <c r="FW78" s="196"/>
      <c r="FX78" s="196"/>
      <c r="FY78" s="196"/>
      <c r="FZ78" s="196"/>
      <c r="GA78" s="196"/>
      <c r="GB78" s="196"/>
      <c r="GC78" s="196"/>
      <c r="GD78" s="196"/>
      <c r="GE78" s="196"/>
      <c r="GF78" s="196"/>
      <c r="GG78" s="196"/>
      <c r="GH78" s="196"/>
      <c r="GI78" s="196"/>
      <c r="GJ78" s="196"/>
      <c r="GK78" s="196"/>
      <c r="GL78" s="196"/>
      <c r="GM78" s="196"/>
      <c r="GN78" s="196"/>
      <c r="GO78" s="196"/>
      <c r="GP78" s="196"/>
      <c r="GQ78" s="196"/>
      <c r="GR78" s="196"/>
      <c r="GS78" s="196"/>
      <c r="GT78" s="196"/>
      <c r="GU78" s="196"/>
      <c r="GV78" s="196"/>
      <c r="GW78" s="196"/>
      <c r="GX78" s="196"/>
      <c r="GY78" s="196"/>
      <c r="GZ78" s="196"/>
      <c r="HA78" s="196"/>
      <c r="HB78" s="196"/>
      <c r="HC78" s="196"/>
      <c r="HD78" s="196"/>
      <c r="HE78" s="196"/>
      <c r="HF78" s="196"/>
      <c r="HG78" s="196"/>
      <c r="HH78" s="196"/>
      <c r="HI78" s="196"/>
      <c r="HJ78" s="196"/>
      <c r="HK78" s="196"/>
      <c r="HL78" s="196"/>
      <c r="HM78" s="196"/>
      <c r="HN78" s="196"/>
      <c r="HO78" s="196"/>
      <c r="HP78" s="196"/>
      <c r="HQ78" s="196"/>
      <c r="HR78" s="196"/>
      <c r="HS78" s="196"/>
      <c r="HT78" s="196"/>
      <c r="HU78" s="196"/>
      <c r="HV78" s="196"/>
      <c r="HW78" s="196"/>
      <c r="HX78" s="196"/>
      <c r="HY78" s="196"/>
      <c r="HZ78" s="196"/>
      <c r="IA78" s="196"/>
      <c r="IB78" s="196"/>
      <c r="IC78" s="196"/>
      <c r="ID78" s="196"/>
      <c r="IE78" s="196"/>
      <c r="IF78" s="196"/>
      <c r="IG78" s="196"/>
      <c r="IH78" s="196"/>
      <c r="II78" s="196"/>
      <c r="IJ78" s="196"/>
      <c r="IK78" s="196"/>
      <c r="IL78" s="196"/>
      <c r="IM78" s="196"/>
      <c r="IN78" s="196"/>
      <c r="IO78" s="196"/>
      <c r="IP78" s="196"/>
      <c r="IQ78" s="196"/>
      <c r="IR78" s="196"/>
    </row>
    <row r="79" spans="1:252" ht="15.6">
      <c r="A79" s="196"/>
      <c r="B79" s="196"/>
      <c r="C79" s="584"/>
      <c r="D79" s="584"/>
      <c r="E79" s="584"/>
      <c r="F79" s="584"/>
      <c r="G79" s="584"/>
      <c r="H79" s="584"/>
      <c r="I79" s="584"/>
      <c r="J79" s="584"/>
      <c r="K79" s="584"/>
      <c r="L79" s="584"/>
      <c r="M79" s="584"/>
      <c r="N79" s="584"/>
      <c r="O79" s="584"/>
      <c r="P79" s="584"/>
      <c r="Q79" s="584"/>
      <c r="R79" s="579"/>
      <c r="S79" s="579"/>
      <c r="T79" s="579"/>
      <c r="U79" s="579"/>
      <c r="V79" s="579"/>
      <c r="W79" s="579"/>
      <c r="X79" s="579"/>
      <c r="Y79" s="579"/>
      <c r="Z79" s="579"/>
      <c r="AA79" s="579"/>
      <c r="AB79" s="579"/>
      <c r="AC79" s="579"/>
      <c r="AD79" s="579"/>
      <c r="AE79" s="579"/>
      <c r="AF79" s="579"/>
      <c r="AG79" s="579"/>
      <c r="AH79" s="579"/>
      <c r="AI79" s="579"/>
      <c r="AJ79" s="579"/>
      <c r="AK79" s="579"/>
      <c r="AL79" s="579"/>
      <c r="AM79" s="579"/>
      <c r="AN79" s="579"/>
      <c r="AO79" s="579"/>
      <c r="AP79" s="584"/>
      <c r="AQ79" s="584"/>
      <c r="AR79" s="584"/>
      <c r="AS79" s="584"/>
      <c r="AT79" s="584"/>
      <c r="AU79" s="584"/>
      <c r="AV79" s="584"/>
      <c r="AW79" s="584"/>
      <c r="AX79" s="584"/>
      <c r="AY79" s="584"/>
      <c r="AZ79" s="196"/>
      <c r="BA79" s="196"/>
      <c r="BB79" s="196"/>
      <c r="BC79" s="196"/>
      <c r="BD79" s="196"/>
      <c r="BE79" s="196"/>
      <c r="BF79" s="196"/>
      <c r="BG79" s="196"/>
      <c r="BH79" s="196"/>
      <c r="BI79" s="196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  <c r="BX79" s="196"/>
      <c r="BY79" s="196"/>
      <c r="BZ79" s="196"/>
      <c r="CA79" s="196"/>
      <c r="CB79" s="196"/>
      <c r="CC79" s="196"/>
      <c r="CD79" s="196"/>
      <c r="CE79" s="196"/>
      <c r="CF79" s="196"/>
      <c r="CG79" s="196"/>
      <c r="CH79" s="196"/>
      <c r="CI79" s="196"/>
      <c r="CJ79" s="196"/>
      <c r="CK79" s="196"/>
      <c r="CL79" s="196"/>
      <c r="CM79" s="196"/>
      <c r="CN79" s="196"/>
      <c r="CO79" s="196"/>
      <c r="CP79" s="196"/>
      <c r="CQ79" s="196"/>
      <c r="CR79" s="196"/>
      <c r="CS79" s="196"/>
      <c r="CT79" s="196"/>
      <c r="CU79" s="196"/>
      <c r="CV79" s="196"/>
      <c r="CW79" s="196"/>
      <c r="CX79" s="196"/>
      <c r="CY79" s="196"/>
      <c r="CZ79" s="196"/>
      <c r="DA79" s="196"/>
      <c r="DB79" s="196"/>
      <c r="DC79" s="196"/>
      <c r="DD79" s="196"/>
      <c r="DE79" s="196"/>
      <c r="DF79" s="196"/>
      <c r="DG79" s="196"/>
      <c r="DH79" s="196"/>
      <c r="DI79" s="196"/>
      <c r="DJ79" s="196"/>
      <c r="DK79" s="196"/>
      <c r="DL79" s="196"/>
      <c r="DM79" s="196"/>
      <c r="DN79" s="196"/>
      <c r="DO79" s="196"/>
      <c r="DP79" s="196"/>
      <c r="DQ79" s="196"/>
      <c r="DR79" s="196"/>
      <c r="DS79" s="196"/>
      <c r="DT79" s="196"/>
      <c r="DU79" s="196"/>
      <c r="DV79" s="196"/>
      <c r="DW79" s="196"/>
      <c r="DX79" s="196"/>
      <c r="DY79" s="196"/>
      <c r="DZ79" s="196"/>
      <c r="EA79" s="196"/>
      <c r="EB79" s="196"/>
      <c r="EC79" s="196"/>
      <c r="ED79" s="196"/>
      <c r="EE79" s="196"/>
      <c r="EF79" s="196"/>
      <c r="EG79" s="196"/>
      <c r="EH79" s="196"/>
      <c r="EI79" s="196"/>
      <c r="EJ79" s="196"/>
      <c r="EK79" s="196"/>
      <c r="EL79" s="196"/>
      <c r="EM79" s="196"/>
      <c r="EN79" s="196"/>
      <c r="EO79" s="196"/>
      <c r="EP79" s="196"/>
      <c r="EQ79" s="196"/>
      <c r="ER79" s="196"/>
      <c r="ES79" s="196"/>
      <c r="ET79" s="196"/>
      <c r="EU79" s="196"/>
      <c r="EV79" s="196"/>
      <c r="EW79" s="196"/>
      <c r="EX79" s="196"/>
      <c r="EY79" s="196"/>
      <c r="EZ79" s="196"/>
      <c r="FA79" s="196"/>
      <c r="FB79" s="196"/>
      <c r="FC79" s="196"/>
      <c r="FD79" s="196"/>
      <c r="FE79" s="196"/>
      <c r="FF79" s="196"/>
      <c r="FG79" s="196"/>
      <c r="FH79" s="196"/>
      <c r="FI79" s="196"/>
      <c r="FJ79" s="196"/>
      <c r="FK79" s="196"/>
      <c r="FL79" s="196"/>
      <c r="FM79" s="196"/>
      <c r="FN79" s="196"/>
      <c r="FO79" s="196"/>
      <c r="FP79" s="196"/>
      <c r="FQ79" s="196"/>
      <c r="FR79" s="196"/>
      <c r="FS79" s="196"/>
      <c r="FT79" s="196"/>
      <c r="FU79" s="196"/>
      <c r="FV79" s="196"/>
      <c r="FW79" s="196"/>
      <c r="FX79" s="196"/>
      <c r="FY79" s="196"/>
      <c r="FZ79" s="196"/>
      <c r="GA79" s="196"/>
      <c r="GB79" s="196"/>
      <c r="GC79" s="196"/>
      <c r="GD79" s="196"/>
      <c r="GE79" s="196"/>
      <c r="GF79" s="196"/>
      <c r="GG79" s="196"/>
      <c r="GH79" s="196"/>
      <c r="GI79" s="196"/>
      <c r="GJ79" s="196"/>
      <c r="GK79" s="196"/>
      <c r="GL79" s="196"/>
      <c r="GM79" s="196"/>
      <c r="GN79" s="196"/>
      <c r="GO79" s="196"/>
      <c r="GP79" s="196"/>
      <c r="GQ79" s="196"/>
      <c r="GR79" s="196"/>
      <c r="GS79" s="196"/>
      <c r="GT79" s="196"/>
      <c r="GU79" s="196"/>
      <c r="GV79" s="196"/>
      <c r="GW79" s="196"/>
      <c r="GX79" s="196"/>
      <c r="GY79" s="196"/>
      <c r="GZ79" s="196"/>
      <c r="HA79" s="196"/>
      <c r="HB79" s="196"/>
      <c r="HC79" s="196"/>
      <c r="HD79" s="196"/>
      <c r="HE79" s="196"/>
      <c r="HF79" s="196"/>
      <c r="HG79" s="196"/>
      <c r="HH79" s="196"/>
      <c r="HI79" s="196"/>
      <c r="HJ79" s="196"/>
      <c r="HK79" s="196"/>
      <c r="HL79" s="196"/>
      <c r="HM79" s="196"/>
      <c r="HN79" s="196"/>
      <c r="HO79" s="196"/>
      <c r="HP79" s="196"/>
      <c r="HQ79" s="196"/>
      <c r="HR79" s="196"/>
      <c r="HS79" s="196"/>
      <c r="HT79" s="196"/>
      <c r="HU79" s="196"/>
      <c r="HV79" s="196"/>
      <c r="HW79" s="196"/>
      <c r="HX79" s="196"/>
      <c r="HY79" s="196"/>
      <c r="HZ79" s="196"/>
      <c r="IA79" s="196"/>
      <c r="IB79" s="196"/>
      <c r="IC79" s="196"/>
      <c r="ID79" s="196"/>
      <c r="IE79" s="196"/>
      <c r="IF79" s="196"/>
      <c r="IG79" s="196"/>
      <c r="IH79" s="196"/>
      <c r="II79" s="196"/>
      <c r="IJ79" s="196"/>
      <c r="IK79" s="196"/>
      <c r="IL79" s="196"/>
      <c r="IM79" s="196"/>
      <c r="IN79" s="196"/>
      <c r="IO79" s="196"/>
      <c r="IP79" s="196"/>
      <c r="IQ79" s="196"/>
      <c r="IR79" s="196"/>
    </row>
    <row r="80" spans="1:252" ht="15.6">
      <c r="A80" s="196"/>
      <c r="B80" s="196"/>
      <c r="C80" s="584"/>
      <c r="D80" s="584"/>
      <c r="E80" s="584"/>
      <c r="F80" s="584"/>
      <c r="G80" s="584"/>
      <c r="H80" s="584"/>
      <c r="I80" s="584"/>
      <c r="J80" s="584"/>
      <c r="K80" s="584"/>
      <c r="L80" s="584"/>
      <c r="M80" s="584"/>
      <c r="N80" s="584"/>
      <c r="O80" s="584"/>
      <c r="P80" s="584"/>
      <c r="Q80" s="584"/>
      <c r="R80" s="579"/>
      <c r="S80" s="579"/>
      <c r="T80" s="579"/>
      <c r="U80" s="579"/>
      <c r="V80" s="579"/>
      <c r="W80" s="579"/>
      <c r="X80" s="579"/>
      <c r="Y80" s="579"/>
      <c r="Z80" s="579"/>
      <c r="AA80" s="579"/>
      <c r="AB80" s="579"/>
      <c r="AC80" s="579"/>
      <c r="AD80" s="579"/>
      <c r="AE80" s="579"/>
      <c r="AF80" s="579"/>
      <c r="AG80" s="579"/>
      <c r="AH80" s="579"/>
      <c r="AI80" s="579"/>
      <c r="AJ80" s="579"/>
      <c r="AK80" s="579"/>
      <c r="AL80" s="579"/>
      <c r="AM80" s="579"/>
      <c r="AN80" s="579"/>
      <c r="AO80" s="579"/>
      <c r="AP80" s="584"/>
      <c r="AQ80" s="584"/>
      <c r="AR80" s="584"/>
      <c r="AS80" s="584"/>
      <c r="AT80" s="584"/>
      <c r="AU80" s="584"/>
      <c r="AV80" s="584"/>
      <c r="AW80" s="584"/>
      <c r="AX80" s="584"/>
      <c r="AY80" s="584"/>
      <c r="AZ80" s="196"/>
      <c r="BA80" s="196"/>
      <c r="BB80" s="196"/>
      <c r="BC80" s="196"/>
      <c r="BD80" s="196"/>
      <c r="BE80" s="196"/>
      <c r="BF80" s="196"/>
      <c r="BG80" s="196"/>
      <c r="BH80" s="196"/>
      <c r="BI80" s="196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  <c r="BX80" s="196"/>
      <c r="BY80" s="196"/>
      <c r="BZ80" s="196"/>
      <c r="CA80" s="196"/>
      <c r="CB80" s="196"/>
      <c r="CC80" s="196"/>
      <c r="CD80" s="196"/>
      <c r="CE80" s="196"/>
      <c r="CF80" s="196"/>
      <c r="CG80" s="196"/>
      <c r="CH80" s="196"/>
      <c r="CI80" s="196"/>
      <c r="CJ80" s="196"/>
      <c r="CK80" s="196"/>
      <c r="CL80" s="196"/>
      <c r="CM80" s="196"/>
      <c r="CN80" s="196"/>
      <c r="CO80" s="196"/>
      <c r="CP80" s="196"/>
      <c r="CQ80" s="196"/>
      <c r="CR80" s="196"/>
      <c r="CS80" s="196"/>
      <c r="CT80" s="196"/>
      <c r="CU80" s="196"/>
      <c r="CV80" s="196"/>
      <c r="CW80" s="196"/>
      <c r="CX80" s="196"/>
      <c r="CY80" s="196"/>
      <c r="CZ80" s="196"/>
      <c r="DA80" s="196"/>
      <c r="DB80" s="196"/>
      <c r="DC80" s="196"/>
      <c r="DD80" s="196"/>
      <c r="DE80" s="196"/>
      <c r="DF80" s="196"/>
      <c r="DG80" s="196"/>
      <c r="DH80" s="196"/>
      <c r="DI80" s="196"/>
      <c r="DJ80" s="196"/>
      <c r="DK80" s="196"/>
      <c r="DL80" s="196"/>
      <c r="DM80" s="196"/>
      <c r="DN80" s="196"/>
      <c r="DO80" s="196"/>
      <c r="DP80" s="196"/>
      <c r="DQ80" s="196"/>
      <c r="DR80" s="196"/>
      <c r="DS80" s="196"/>
      <c r="DT80" s="196"/>
      <c r="DU80" s="196"/>
      <c r="DV80" s="196"/>
      <c r="DW80" s="196"/>
      <c r="DX80" s="196"/>
      <c r="DY80" s="196"/>
      <c r="DZ80" s="196"/>
      <c r="EA80" s="196"/>
      <c r="EB80" s="196"/>
      <c r="EC80" s="196"/>
      <c r="ED80" s="196"/>
      <c r="EE80" s="196"/>
      <c r="EF80" s="196"/>
      <c r="EG80" s="196"/>
      <c r="EH80" s="196"/>
      <c r="EI80" s="196"/>
      <c r="EJ80" s="196"/>
      <c r="EK80" s="196"/>
      <c r="EL80" s="196"/>
      <c r="EM80" s="196"/>
      <c r="EN80" s="196"/>
      <c r="EO80" s="196"/>
      <c r="EP80" s="196"/>
      <c r="EQ80" s="196"/>
      <c r="ER80" s="196"/>
      <c r="ES80" s="196"/>
      <c r="ET80" s="196"/>
      <c r="EU80" s="196"/>
      <c r="EV80" s="196"/>
      <c r="EW80" s="196"/>
      <c r="EX80" s="196"/>
      <c r="EY80" s="196"/>
      <c r="EZ80" s="196"/>
      <c r="FA80" s="196"/>
      <c r="FB80" s="196"/>
      <c r="FC80" s="196"/>
      <c r="FD80" s="196"/>
      <c r="FE80" s="196"/>
      <c r="FF80" s="196"/>
      <c r="FG80" s="196"/>
      <c r="FH80" s="196"/>
      <c r="FI80" s="196"/>
      <c r="FJ80" s="196"/>
      <c r="FK80" s="196"/>
      <c r="FL80" s="196"/>
      <c r="FM80" s="196"/>
      <c r="FN80" s="196"/>
      <c r="FO80" s="196"/>
      <c r="FP80" s="196"/>
      <c r="FQ80" s="196"/>
      <c r="FR80" s="196"/>
      <c r="FS80" s="196"/>
      <c r="FT80" s="196"/>
      <c r="FU80" s="196"/>
      <c r="FV80" s="196"/>
      <c r="FW80" s="196"/>
      <c r="FX80" s="196"/>
      <c r="FY80" s="196"/>
      <c r="FZ80" s="196"/>
      <c r="GA80" s="196"/>
      <c r="GB80" s="196"/>
      <c r="GC80" s="196"/>
      <c r="GD80" s="196"/>
      <c r="GE80" s="196"/>
      <c r="GF80" s="196"/>
      <c r="GG80" s="196"/>
      <c r="GH80" s="196"/>
      <c r="GI80" s="196"/>
      <c r="GJ80" s="196"/>
      <c r="GK80" s="196"/>
      <c r="GL80" s="196"/>
      <c r="GM80" s="196"/>
      <c r="GN80" s="196"/>
      <c r="GO80" s="196"/>
      <c r="GP80" s="196"/>
      <c r="GQ80" s="196"/>
      <c r="GR80" s="196"/>
      <c r="GS80" s="196"/>
      <c r="GT80" s="196"/>
      <c r="GU80" s="196"/>
      <c r="GV80" s="196"/>
      <c r="GW80" s="196"/>
      <c r="GX80" s="196"/>
      <c r="GY80" s="196"/>
      <c r="GZ80" s="196"/>
      <c r="HA80" s="196"/>
      <c r="HB80" s="196"/>
      <c r="HC80" s="196"/>
      <c r="HD80" s="196"/>
      <c r="HE80" s="196"/>
      <c r="HF80" s="196"/>
      <c r="HG80" s="196"/>
      <c r="HH80" s="196"/>
      <c r="HI80" s="196"/>
      <c r="HJ80" s="196"/>
      <c r="HK80" s="196"/>
      <c r="HL80" s="196"/>
      <c r="HM80" s="196"/>
      <c r="HN80" s="196"/>
      <c r="HO80" s="196"/>
      <c r="HP80" s="196"/>
      <c r="HQ80" s="196"/>
      <c r="HR80" s="196"/>
      <c r="HS80" s="196"/>
      <c r="HT80" s="196"/>
      <c r="HU80" s="196"/>
      <c r="HV80" s="196"/>
      <c r="HW80" s="196"/>
      <c r="HX80" s="196"/>
      <c r="HY80" s="196"/>
      <c r="HZ80" s="196"/>
      <c r="IA80" s="196"/>
      <c r="IB80" s="196"/>
      <c r="IC80" s="196"/>
      <c r="ID80" s="196"/>
      <c r="IE80" s="196"/>
      <c r="IF80" s="196"/>
      <c r="IG80" s="196"/>
      <c r="IH80" s="196"/>
      <c r="II80" s="196"/>
      <c r="IJ80" s="196"/>
      <c r="IK80" s="196"/>
      <c r="IL80" s="196"/>
      <c r="IM80" s="196"/>
      <c r="IN80" s="196"/>
      <c r="IO80" s="196"/>
      <c r="IP80" s="196"/>
      <c r="IQ80" s="196"/>
      <c r="IR80" s="196"/>
    </row>
    <row r="81" spans="1:252" ht="15.6">
      <c r="A81" s="196"/>
      <c r="B81" s="196"/>
      <c r="C81" s="584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84"/>
      <c r="P81" s="584"/>
      <c r="Q81" s="584"/>
      <c r="R81" s="579"/>
      <c r="S81" s="579"/>
      <c r="T81" s="579"/>
      <c r="U81" s="579"/>
      <c r="V81" s="579"/>
      <c r="W81" s="579"/>
      <c r="X81" s="579"/>
      <c r="Y81" s="579"/>
      <c r="Z81" s="579"/>
      <c r="AA81" s="579"/>
      <c r="AB81" s="579"/>
      <c r="AC81" s="579"/>
      <c r="AD81" s="579"/>
      <c r="AE81" s="579"/>
      <c r="AF81" s="579"/>
      <c r="AG81" s="579"/>
      <c r="AH81" s="579"/>
      <c r="AI81" s="579"/>
      <c r="AJ81" s="579"/>
      <c r="AK81" s="579"/>
      <c r="AL81" s="579"/>
      <c r="AM81" s="579"/>
      <c r="AN81" s="579"/>
      <c r="AO81" s="579"/>
      <c r="AP81" s="584"/>
      <c r="AQ81" s="584"/>
      <c r="AR81" s="584"/>
      <c r="AS81" s="584"/>
      <c r="AT81" s="584"/>
      <c r="AU81" s="584"/>
      <c r="AV81" s="584"/>
      <c r="AW81" s="584"/>
      <c r="AX81" s="584"/>
      <c r="AY81" s="584"/>
      <c r="AZ81" s="196"/>
      <c r="BA81" s="196"/>
      <c r="BB81" s="196"/>
      <c r="BC81" s="196"/>
      <c r="BD81" s="196"/>
      <c r="BE81" s="196"/>
      <c r="BF81" s="196"/>
      <c r="BG81" s="196"/>
      <c r="BH81" s="196"/>
      <c r="BI81" s="196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  <c r="BX81" s="196"/>
      <c r="BY81" s="196"/>
      <c r="BZ81" s="196"/>
      <c r="CA81" s="196"/>
      <c r="CB81" s="196"/>
      <c r="CC81" s="196"/>
      <c r="CD81" s="196"/>
      <c r="CE81" s="196"/>
      <c r="CF81" s="196"/>
      <c r="CG81" s="196"/>
      <c r="CH81" s="196"/>
      <c r="CI81" s="196"/>
      <c r="CJ81" s="196"/>
      <c r="CK81" s="196"/>
      <c r="CL81" s="196"/>
      <c r="CM81" s="196"/>
      <c r="CN81" s="196"/>
      <c r="CO81" s="196"/>
      <c r="CP81" s="196"/>
      <c r="CQ81" s="196"/>
      <c r="CR81" s="196"/>
      <c r="CS81" s="196"/>
      <c r="CT81" s="196"/>
      <c r="CU81" s="196"/>
      <c r="CV81" s="196"/>
      <c r="CW81" s="196"/>
      <c r="CX81" s="196"/>
      <c r="CY81" s="196"/>
      <c r="CZ81" s="196"/>
      <c r="DA81" s="196"/>
      <c r="DB81" s="196"/>
      <c r="DC81" s="196"/>
      <c r="DD81" s="196"/>
      <c r="DE81" s="196"/>
      <c r="DF81" s="196"/>
      <c r="DG81" s="196"/>
      <c r="DH81" s="196"/>
      <c r="DI81" s="196"/>
      <c r="DJ81" s="196"/>
      <c r="DK81" s="196"/>
      <c r="DL81" s="196"/>
      <c r="DM81" s="196"/>
      <c r="DN81" s="196"/>
      <c r="DO81" s="196"/>
      <c r="DP81" s="196"/>
      <c r="DQ81" s="196"/>
      <c r="DR81" s="196"/>
      <c r="DS81" s="196"/>
      <c r="DT81" s="196"/>
      <c r="DU81" s="196"/>
      <c r="DV81" s="196"/>
      <c r="DW81" s="196"/>
      <c r="DX81" s="196"/>
      <c r="DY81" s="196"/>
      <c r="DZ81" s="196"/>
      <c r="EA81" s="196"/>
      <c r="EB81" s="196"/>
      <c r="EC81" s="196"/>
      <c r="ED81" s="196"/>
      <c r="EE81" s="196"/>
      <c r="EF81" s="196"/>
      <c r="EG81" s="196"/>
      <c r="EH81" s="196"/>
      <c r="EI81" s="196"/>
      <c r="EJ81" s="196"/>
      <c r="EK81" s="196"/>
      <c r="EL81" s="196"/>
      <c r="EM81" s="196"/>
      <c r="EN81" s="196"/>
      <c r="EO81" s="196"/>
      <c r="EP81" s="196"/>
      <c r="EQ81" s="196"/>
      <c r="ER81" s="196"/>
      <c r="ES81" s="196"/>
      <c r="ET81" s="196"/>
      <c r="EU81" s="196"/>
      <c r="EV81" s="196"/>
      <c r="EW81" s="196"/>
      <c r="EX81" s="196"/>
      <c r="EY81" s="196"/>
      <c r="EZ81" s="196"/>
      <c r="FA81" s="196"/>
      <c r="FB81" s="196"/>
      <c r="FC81" s="196"/>
      <c r="FD81" s="196"/>
      <c r="FE81" s="196"/>
      <c r="FF81" s="196"/>
      <c r="FG81" s="196"/>
      <c r="FH81" s="196"/>
      <c r="FI81" s="196"/>
      <c r="FJ81" s="196"/>
      <c r="FK81" s="196"/>
      <c r="FL81" s="196"/>
      <c r="FM81" s="196"/>
      <c r="FN81" s="196"/>
      <c r="FO81" s="196"/>
      <c r="FP81" s="196"/>
      <c r="FQ81" s="196"/>
      <c r="FR81" s="196"/>
      <c r="FS81" s="196"/>
      <c r="FT81" s="196"/>
      <c r="FU81" s="196"/>
      <c r="FV81" s="196"/>
      <c r="FW81" s="196"/>
      <c r="FX81" s="196"/>
      <c r="FY81" s="196"/>
      <c r="FZ81" s="196"/>
      <c r="GA81" s="196"/>
      <c r="GB81" s="196"/>
      <c r="GC81" s="196"/>
      <c r="GD81" s="196"/>
      <c r="GE81" s="196"/>
      <c r="GF81" s="196"/>
      <c r="GG81" s="196"/>
      <c r="GH81" s="196"/>
      <c r="GI81" s="196"/>
      <c r="GJ81" s="196"/>
      <c r="GK81" s="196"/>
      <c r="GL81" s="196"/>
      <c r="GM81" s="196"/>
      <c r="GN81" s="196"/>
      <c r="GO81" s="196"/>
      <c r="GP81" s="196"/>
      <c r="GQ81" s="196"/>
      <c r="GR81" s="196"/>
      <c r="GS81" s="196"/>
      <c r="GT81" s="196"/>
      <c r="GU81" s="196"/>
      <c r="GV81" s="196"/>
      <c r="GW81" s="196"/>
      <c r="GX81" s="196"/>
      <c r="GY81" s="196"/>
      <c r="GZ81" s="196"/>
      <c r="HA81" s="196"/>
      <c r="HB81" s="196"/>
      <c r="HC81" s="196"/>
      <c r="HD81" s="196"/>
      <c r="HE81" s="196"/>
      <c r="HF81" s="196"/>
      <c r="HG81" s="196"/>
      <c r="HH81" s="196"/>
      <c r="HI81" s="196"/>
      <c r="HJ81" s="196"/>
      <c r="HK81" s="196"/>
      <c r="HL81" s="196"/>
      <c r="HM81" s="196"/>
      <c r="HN81" s="196"/>
      <c r="HO81" s="196"/>
      <c r="HP81" s="196"/>
      <c r="HQ81" s="196"/>
      <c r="HR81" s="196"/>
      <c r="HS81" s="196"/>
      <c r="HT81" s="196"/>
      <c r="HU81" s="196"/>
      <c r="HV81" s="196"/>
      <c r="HW81" s="196"/>
      <c r="HX81" s="196"/>
      <c r="HY81" s="196"/>
      <c r="HZ81" s="196"/>
      <c r="IA81" s="196"/>
      <c r="IB81" s="196"/>
      <c r="IC81" s="196"/>
      <c r="ID81" s="196"/>
      <c r="IE81" s="196"/>
      <c r="IF81" s="196"/>
      <c r="IG81" s="196"/>
      <c r="IH81" s="196"/>
      <c r="II81" s="196"/>
      <c r="IJ81" s="196"/>
      <c r="IK81" s="196"/>
      <c r="IL81" s="196"/>
      <c r="IM81" s="196"/>
      <c r="IN81" s="196"/>
      <c r="IO81" s="196"/>
      <c r="IP81" s="196"/>
      <c r="IQ81" s="196"/>
      <c r="IR81" s="196"/>
    </row>
    <row r="82" spans="1:252" ht="15.6">
      <c r="A82" s="196"/>
      <c r="B82" s="196"/>
      <c r="C82" s="584"/>
      <c r="D82" s="584"/>
      <c r="E82" s="584"/>
      <c r="F82" s="584"/>
      <c r="G82" s="584"/>
      <c r="H82" s="584"/>
      <c r="I82" s="584"/>
      <c r="J82" s="584"/>
      <c r="K82" s="584"/>
      <c r="L82" s="584"/>
      <c r="M82" s="584"/>
      <c r="N82" s="584"/>
      <c r="O82" s="584"/>
      <c r="P82" s="584"/>
      <c r="Q82" s="584"/>
      <c r="R82" s="579"/>
      <c r="S82" s="579"/>
      <c r="T82" s="579"/>
      <c r="U82" s="579"/>
      <c r="V82" s="579"/>
      <c r="W82" s="579"/>
      <c r="X82" s="579"/>
      <c r="Y82" s="579"/>
      <c r="Z82" s="579"/>
      <c r="AA82" s="579"/>
      <c r="AB82" s="579"/>
      <c r="AC82" s="579"/>
      <c r="AD82" s="579"/>
      <c r="AE82" s="579"/>
      <c r="AF82" s="579"/>
      <c r="AG82" s="579"/>
      <c r="AH82" s="579"/>
      <c r="AI82" s="579"/>
      <c r="AJ82" s="579"/>
      <c r="AK82" s="579"/>
      <c r="AL82" s="579"/>
      <c r="AM82" s="579"/>
      <c r="AN82" s="579"/>
      <c r="AO82" s="579"/>
      <c r="AP82" s="584"/>
      <c r="AQ82" s="584"/>
      <c r="AR82" s="584"/>
      <c r="AS82" s="584"/>
      <c r="AT82" s="584"/>
      <c r="AU82" s="584"/>
      <c r="AV82" s="584"/>
      <c r="AW82" s="584"/>
      <c r="AX82" s="584"/>
      <c r="AY82" s="584"/>
      <c r="AZ82" s="196"/>
      <c r="BA82" s="196"/>
      <c r="BB82" s="196"/>
      <c r="BC82" s="196"/>
      <c r="BD82" s="196"/>
      <c r="BE82" s="196"/>
      <c r="BF82" s="196"/>
      <c r="BG82" s="196"/>
      <c r="BH82" s="196"/>
      <c r="BI82" s="196"/>
      <c r="BJ82" s="196"/>
      <c r="BK82" s="196"/>
      <c r="BL82" s="196"/>
      <c r="BM82" s="196"/>
      <c r="BN82" s="196"/>
      <c r="BO82" s="196"/>
      <c r="BP82" s="196"/>
      <c r="BQ82" s="196"/>
      <c r="BR82" s="196"/>
      <c r="BS82" s="196"/>
      <c r="BT82" s="196"/>
      <c r="BU82" s="196"/>
      <c r="BV82" s="196"/>
      <c r="BW82" s="196"/>
      <c r="BX82" s="196"/>
      <c r="BY82" s="196"/>
      <c r="BZ82" s="196"/>
      <c r="CA82" s="196"/>
      <c r="CB82" s="196"/>
      <c r="CC82" s="196"/>
      <c r="CD82" s="196"/>
      <c r="CE82" s="196"/>
      <c r="CF82" s="196"/>
      <c r="CG82" s="196"/>
      <c r="CH82" s="196"/>
      <c r="CI82" s="196"/>
      <c r="CJ82" s="196"/>
      <c r="CK82" s="196"/>
      <c r="CL82" s="196"/>
      <c r="CM82" s="196"/>
      <c r="CN82" s="196"/>
      <c r="CO82" s="196"/>
      <c r="CP82" s="196"/>
      <c r="CQ82" s="196"/>
      <c r="CR82" s="196"/>
      <c r="CS82" s="196"/>
      <c r="CT82" s="196"/>
      <c r="CU82" s="196"/>
      <c r="CV82" s="196"/>
      <c r="CW82" s="196"/>
      <c r="CX82" s="196"/>
      <c r="CY82" s="196"/>
      <c r="CZ82" s="196"/>
      <c r="DA82" s="196"/>
      <c r="DB82" s="196"/>
      <c r="DC82" s="196"/>
      <c r="DD82" s="196"/>
      <c r="DE82" s="196"/>
      <c r="DF82" s="196"/>
      <c r="DG82" s="196"/>
      <c r="DH82" s="196"/>
      <c r="DI82" s="196"/>
      <c r="DJ82" s="196"/>
      <c r="DK82" s="196"/>
      <c r="DL82" s="196"/>
      <c r="DM82" s="196"/>
      <c r="DN82" s="196"/>
      <c r="DO82" s="196"/>
      <c r="DP82" s="196"/>
      <c r="DQ82" s="196"/>
      <c r="DR82" s="196"/>
      <c r="DS82" s="196"/>
      <c r="DT82" s="196"/>
      <c r="DU82" s="196"/>
      <c r="DV82" s="196"/>
      <c r="DW82" s="196"/>
      <c r="DX82" s="196"/>
      <c r="DY82" s="196"/>
      <c r="DZ82" s="196"/>
      <c r="EA82" s="196"/>
      <c r="EB82" s="196"/>
      <c r="EC82" s="196"/>
      <c r="ED82" s="196"/>
      <c r="EE82" s="196"/>
      <c r="EF82" s="196"/>
      <c r="EG82" s="196"/>
      <c r="EH82" s="196"/>
      <c r="EI82" s="196"/>
      <c r="EJ82" s="196"/>
      <c r="EK82" s="196"/>
      <c r="EL82" s="196"/>
      <c r="EM82" s="196"/>
      <c r="EN82" s="196"/>
      <c r="EO82" s="196"/>
      <c r="EP82" s="196"/>
      <c r="EQ82" s="196"/>
      <c r="ER82" s="196"/>
      <c r="ES82" s="196"/>
      <c r="ET82" s="196"/>
      <c r="EU82" s="196"/>
      <c r="EV82" s="196"/>
      <c r="EW82" s="196"/>
      <c r="EX82" s="196"/>
      <c r="EY82" s="196"/>
      <c r="EZ82" s="196"/>
      <c r="FA82" s="196"/>
      <c r="FB82" s="196"/>
      <c r="FC82" s="196"/>
      <c r="FD82" s="196"/>
      <c r="FE82" s="196"/>
      <c r="FF82" s="196"/>
      <c r="FG82" s="196"/>
      <c r="FH82" s="196"/>
      <c r="FI82" s="196"/>
      <c r="FJ82" s="196"/>
      <c r="FK82" s="196"/>
      <c r="FL82" s="196"/>
      <c r="FM82" s="196"/>
      <c r="FN82" s="196"/>
      <c r="FO82" s="196"/>
      <c r="FP82" s="196"/>
      <c r="FQ82" s="196"/>
      <c r="FR82" s="196"/>
      <c r="FS82" s="196"/>
      <c r="FT82" s="196"/>
      <c r="FU82" s="196"/>
      <c r="FV82" s="196"/>
      <c r="FW82" s="196"/>
      <c r="FX82" s="196"/>
      <c r="FY82" s="196"/>
      <c r="FZ82" s="196"/>
      <c r="GA82" s="196"/>
      <c r="GB82" s="196"/>
      <c r="GC82" s="196"/>
      <c r="GD82" s="196"/>
      <c r="GE82" s="196"/>
      <c r="GF82" s="196"/>
      <c r="GG82" s="196"/>
      <c r="GH82" s="196"/>
      <c r="GI82" s="196"/>
      <c r="GJ82" s="196"/>
      <c r="GK82" s="196"/>
      <c r="GL82" s="196"/>
      <c r="GM82" s="196"/>
      <c r="GN82" s="196"/>
      <c r="GO82" s="196"/>
      <c r="GP82" s="196"/>
      <c r="GQ82" s="196"/>
      <c r="GR82" s="196"/>
      <c r="GS82" s="196"/>
      <c r="GT82" s="196"/>
      <c r="GU82" s="196"/>
      <c r="GV82" s="196"/>
      <c r="GW82" s="196"/>
      <c r="GX82" s="196"/>
      <c r="GY82" s="196"/>
      <c r="GZ82" s="196"/>
      <c r="HA82" s="196"/>
      <c r="HB82" s="196"/>
      <c r="HC82" s="196"/>
      <c r="HD82" s="196"/>
      <c r="HE82" s="196"/>
      <c r="HF82" s="196"/>
      <c r="HG82" s="196"/>
      <c r="HH82" s="196"/>
      <c r="HI82" s="196"/>
      <c r="HJ82" s="196"/>
      <c r="HK82" s="196"/>
      <c r="HL82" s="196"/>
      <c r="HM82" s="196"/>
      <c r="HN82" s="196"/>
      <c r="HO82" s="196"/>
      <c r="HP82" s="196"/>
      <c r="HQ82" s="196"/>
      <c r="HR82" s="196"/>
      <c r="HS82" s="196"/>
      <c r="HT82" s="196"/>
      <c r="HU82" s="196"/>
      <c r="HV82" s="196"/>
      <c r="HW82" s="196"/>
      <c r="HX82" s="196"/>
      <c r="HY82" s="196"/>
      <c r="HZ82" s="196"/>
      <c r="IA82" s="196"/>
      <c r="IB82" s="196"/>
      <c r="IC82" s="196"/>
      <c r="ID82" s="196"/>
      <c r="IE82" s="196"/>
      <c r="IF82" s="196"/>
      <c r="IG82" s="196"/>
      <c r="IH82" s="196"/>
      <c r="II82" s="196"/>
      <c r="IJ82" s="196"/>
      <c r="IK82" s="196"/>
      <c r="IL82" s="196"/>
      <c r="IM82" s="196"/>
      <c r="IN82" s="196"/>
      <c r="IO82" s="196"/>
      <c r="IP82" s="196"/>
      <c r="IQ82" s="196"/>
      <c r="IR82" s="196"/>
    </row>
    <row r="83" spans="1:252" ht="15.6">
      <c r="A83" s="196"/>
      <c r="B83" s="196"/>
      <c r="C83" s="584"/>
      <c r="D83" s="584"/>
      <c r="E83" s="584"/>
      <c r="F83" s="584"/>
      <c r="G83" s="584"/>
      <c r="H83" s="584"/>
      <c r="I83" s="584"/>
      <c r="J83" s="584"/>
      <c r="K83" s="584"/>
      <c r="L83" s="584"/>
      <c r="M83" s="584"/>
      <c r="N83" s="584"/>
      <c r="O83" s="584"/>
      <c r="P83" s="584"/>
      <c r="Q83" s="584"/>
      <c r="R83" s="579"/>
      <c r="S83" s="579"/>
      <c r="T83" s="579"/>
      <c r="U83" s="579"/>
      <c r="V83" s="579"/>
      <c r="W83" s="579"/>
      <c r="X83" s="579"/>
      <c r="Y83" s="579"/>
      <c r="Z83" s="579"/>
      <c r="AA83" s="579"/>
      <c r="AB83" s="579"/>
      <c r="AC83" s="579"/>
      <c r="AD83" s="579"/>
      <c r="AE83" s="579"/>
      <c r="AF83" s="579"/>
      <c r="AG83" s="579"/>
      <c r="AH83" s="579"/>
      <c r="AI83" s="579"/>
      <c r="AJ83" s="579"/>
      <c r="AK83" s="579"/>
      <c r="AL83" s="579"/>
      <c r="AM83" s="579"/>
      <c r="AN83" s="579"/>
      <c r="AO83" s="579"/>
      <c r="AP83" s="584"/>
      <c r="AQ83" s="584"/>
      <c r="AR83" s="584"/>
      <c r="AS83" s="584"/>
      <c r="AT83" s="584"/>
      <c r="AU83" s="584"/>
      <c r="AV83" s="584"/>
      <c r="AW83" s="584"/>
      <c r="AX83" s="584"/>
      <c r="AY83" s="584"/>
      <c r="AZ83" s="196"/>
      <c r="BA83" s="196"/>
      <c r="BB83" s="196"/>
      <c r="BC83" s="196"/>
      <c r="BD83" s="196"/>
      <c r="BE83" s="196"/>
      <c r="BF83" s="196"/>
      <c r="BG83" s="196"/>
      <c r="BH83" s="196"/>
      <c r="BI83" s="196"/>
      <c r="BJ83" s="196"/>
      <c r="BK83" s="196"/>
      <c r="BL83" s="196"/>
      <c r="BM83" s="196"/>
      <c r="BN83" s="196"/>
      <c r="BO83" s="196"/>
      <c r="BP83" s="196"/>
      <c r="BQ83" s="196"/>
      <c r="BR83" s="196"/>
      <c r="BS83" s="196"/>
      <c r="BT83" s="196"/>
      <c r="BU83" s="196"/>
      <c r="BV83" s="196"/>
      <c r="BW83" s="196"/>
      <c r="BX83" s="196"/>
      <c r="BY83" s="196"/>
      <c r="BZ83" s="196"/>
      <c r="CA83" s="196"/>
      <c r="CB83" s="196"/>
      <c r="CC83" s="196"/>
      <c r="CD83" s="196"/>
      <c r="CE83" s="196"/>
      <c r="CF83" s="196"/>
      <c r="CG83" s="196"/>
      <c r="CH83" s="196"/>
      <c r="CI83" s="196"/>
      <c r="CJ83" s="196"/>
      <c r="CK83" s="196"/>
      <c r="CL83" s="196"/>
      <c r="CM83" s="196"/>
      <c r="CN83" s="196"/>
      <c r="CO83" s="196"/>
      <c r="CP83" s="196"/>
      <c r="CQ83" s="196"/>
      <c r="CR83" s="196"/>
      <c r="CS83" s="196"/>
      <c r="CT83" s="196"/>
      <c r="CU83" s="196"/>
      <c r="CV83" s="196"/>
      <c r="CW83" s="196"/>
      <c r="CX83" s="196"/>
      <c r="CY83" s="196"/>
      <c r="CZ83" s="196"/>
      <c r="DA83" s="196"/>
      <c r="DB83" s="196"/>
      <c r="DC83" s="196"/>
      <c r="DD83" s="196"/>
      <c r="DE83" s="196"/>
      <c r="DF83" s="196"/>
      <c r="DG83" s="196"/>
      <c r="DH83" s="196"/>
      <c r="DI83" s="196"/>
      <c r="DJ83" s="196"/>
      <c r="DK83" s="196"/>
      <c r="DL83" s="196"/>
      <c r="DM83" s="196"/>
      <c r="DN83" s="196"/>
      <c r="DO83" s="196"/>
      <c r="DP83" s="196"/>
      <c r="DQ83" s="196"/>
      <c r="DR83" s="196"/>
      <c r="DS83" s="196"/>
      <c r="DT83" s="196"/>
      <c r="DU83" s="196"/>
      <c r="DV83" s="196"/>
      <c r="DW83" s="196"/>
      <c r="DX83" s="196"/>
      <c r="DY83" s="196"/>
      <c r="DZ83" s="196"/>
      <c r="EA83" s="196"/>
      <c r="EB83" s="196"/>
      <c r="EC83" s="196"/>
      <c r="ED83" s="196"/>
      <c r="EE83" s="196"/>
      <c r="EF83" s="196"/>
      <c r="EG83" s="196"/>
      <c r="EH83" s="196"/>
      <c r="EI83" s="196"/>
      <c r="EJ83" s="196"/>
      <c r="EK83" s="196"/>
      <c r="EL83" s="196"/>
      <c r="EM83" s="196"/>
      <c r="EN83" s="196"/>
      <c r="EO83" s="196"/>
      <c r="EP83" s="196"/>
      <c r="EQ83" s="196"/>
      <c r="ER83" s="196"/>
      <c r="ES83" s="196"/>
      <c r="ET83" s="196"/>
      <c r="EU83" s="196"/>
      <c r="EV83" s="196"/>
      <c r="EW83" s="196"/>
      <c r="EX83" s="196"/>
      <c r="EY83" s="196"/>
      <c r="EZ83" s="196"/>
      <c r="FA83" s="196"/>
      <c r="FB83" s="196"/>
      <c r="FC83" s="196"/>
      <c r="FD83" s="196"/>
      <c r="FE83" s="196"/>
      <c r="FF83" s="196"/>
      <c r="FG83" s="196"/>
      <c r="FH83" s="196"/>
      <c r="FI83" s="196"/>
      <c r="FJ83" s="196"/>
      <c r="FK83" s="196"/>
      <c r="FL83" s="196"/>
      <c r="FM83" s="196"/>
      <c r="FN83" s="196"/>
      <c r="FO83" s="196"/>
      <c r="FP83" s="196"/>
      <c r="FQ83" s="196"/>
      <c r="FR83" s="196"/>
      <c r="FS83" s="196"/>
      <c r="FT83" s="196"/>
      <c r="FU83" s="196"/>
      <c r="FV83" s="196"/>
      <c r="FW83" s="196"/>
      <c r="FX83" s="196"/>
      <c r="FY83" s="196"/>
      <c r="FZ83" s="196"/>
      <c r="GA83" s="196"/>
      <c r="GB83" s="196"/>
      <c r="GC83" s="196"/>
      <c r="GD83" s="196"/>
      <c r="GE83" s="196"/>
      <c r="GF83" s="196"/>
      <c r="GG83" s="196"/>
      <c r="GH83" s="196"/>
      <c r="GI83" s="196"/>
      <c r="GJ83" s="196"/>
      <c r="GK83" s="196"/>
      <c r="GL83" s="196"/>
      <c r="GM83" s="196"/>
      <c r="GN83" s="196"/>
      <c r="GO83" s="196"/>
      <c r="GP83" s="196"/>
      <c r="GQ83" s="196"/>
      <c r="GR83" s="196"/>
      <c r="GS83" s="196"/>
      <c r="GT83" s="196"/>
      <c r="GU83" s="196"/>
      <c r="GV83" s="196"/>
      <c r="GW83" s="196"/>
      <c r="GX83" s="196"/>
      <c r="GY83" s="196"/>
      <c r="GZ83" s="196"/>
      <c r="HA83" s="196"/>
      <c r="HB83" s="196"/>
      <c r="HC83" s="196"/>
      <c r="HD83" s="196"/>
      <c r="HE83" s="196"/>
      <c r="HF83" s="196"/>
      <c r="HG83" s="196"/>
      <c r="HH83" s="196"/>
      <c r="HI83" s="196"/>
      <c r="HJ83" s="196"/>
      <c r="HK83" s="196"/>
      <c r="HL83" s="196"/>
      <c r="HM83" s="196"/>
      <c r="HN83" s="196"/>
      <c r="HO83" s="196"/>
      <c r="HP83" s="196"/>
      <c r="HQ83" s="196"/>
      <c r="HR83" s="196"/>
      <c r="HS83" s="196"/>
      <c r="HT83" s="196"/>
      <c r="HU83" s="196"/>
      <c r="HV83" s="196"/>
      <c r="HW83" s="196"/>
      <c r="HX83" s="196"/>
      <c r="HY83" s="196"/>
      <c r="HZ83" s="196"/>
      <c r="IA83" s="196"/>
      <c r="IB83" s="196"/>
      <c r="IC83" s="196"/>
      <c r="ID83" s="196"/>
      <c r="IE83" s="196"/>
      <c r="IF83" s="196"/>
      <c r="IG83" s="196"/>
      <c r="IH83" s="196"/>
      <c r="II83" s="196"/>
      <c r="IJ83" s="196"/>
      <c r="IK83" s="196"/>
      <c r="IL83" s="196"/>
      <c r="IM83" s="196"/>
      <c r="IN83" s="196"/>
      <c r="IO83" s="196"/>
      <c r="IP83" s="196"/>
      <c r="IQ83" s="196"/>
      <c r="IR83" s="196"/>
    </row>
    <row r="84" spans="1:252" ht="15.6">
      <c r="A84" s="196"/>
      <c r="B84" s="196"/>
      <c r="C84" s="584"/>
      <c r="D84" s="584"/>
      <c r="E84" s="584"/>
      <c r="F84" s="584"/>
      <c r="G84" s="584"/>
      <c r="H84" s="584"/>
      <c r="I84" s="584"/>
      <c r="J84" s="584"/>
      <c r="K84" s="584"/>
      <c r="L84" s="584"/>
      <c r="M84" s="584"/>
      <c r="N84" s="584"/>
      <c r="O84" s="584"/>
      <c r="P84" s="584"/>
      <c r="Q84" s="584"/>
      <c r="R84" s="579"/>
      <c r="S84" s="579"/>
      <c r="T84" s="579"/>
      <c r="U84" s="579"/>
      <c r="V84" s="579"/>
      <c r="W84" s="579"/>
      <c r="X84" s="579"/>
      <c r="Y84" s="579"/>
      <c r="Z84" s="579"/>
      <c r="AA84" s="579"/>
      <c r="AB84" s="579"/>
      <c r="AC84" s="579"/>
      <c r="AD84" s="579"/>
      <c r="AE84" s="579"/>
      <c r="AF84" s="579"/>
      <c r="AG84" s="579"/>
      <c r="AH84" s="579"/>
      <c r="AI84" s="579"/>
      <c r="AJ84" s="579"/>
      <c r="AK84" s="579"/>
      <c r="AL84" s="579"/>
      <c r="AM84" s="579"/>
      <c r="AN84" s="579"/>
      <c r="AO84" s="579"/>
      <c r="AP84" s="584"/>
      <c r="AQ84" s="584"/>
      <c r="AR84" s="584"/>
      <c r="AS84" s="584"/>
      <c r="AT84" s="584"/>
      <c r="AU84" s="584"/>
      <c r="AV84" s="584"/>
      <c r="AW84" s="584"/>
      <c r="AX84" s="584"/>
      <c r="AY84" s="584"/>
      <c r="AZ84" s="196"/>
      <c r="BA84" s="196"/>
      <c r="BB84" s="196"/>
      <c r="BC84" s="196"/>
      <c r="BD84" s="196"/>
      <c r="BE84" s="196"/>
      <c r="BF84" s="196"/>
      <c r="BG84" s="196"/>
      <c r="BH84" s="196"/>
      <c r="BI84" s="196"/>
      <c r="BJ84" s="196"/>
      <c r="BK84" s="196"/>
      <c r="BL84" s="196"/>
      <c r="BM84" s="196"/>
      <c r="BN84" s="196"/>
      <c r="BO84" s="196"/>
      <c r="BP84" s="196"/>
      <c r="BQ84" s="196"/>
      <c r="BR84" s="196"/>
      <c r="BS84" s="196"/>
      <c r="BT84" s="196"/>
      <c r="BU84" s="196"/>
      <c r="BV84" s="196"/>
      <c r="BW84" s="196"/>
      <c r="BX84" s="196"/>
      <c r="BY84" s="196"/>
      <c r="BZ84" s="196"/>
      <c r="CA84" s="196"/>
      <c r="CB84" s="196"/>
      <c r="CC84" s="196"/>
      <c r="CD84" s="196"/>
      <c r="CE84" s="196"/>
      <c r="CF84" s="196"/>
      <c r="CG84" s="196"/>
      <c r="CH84" s="196"/>
      <c r="CI84" s="196"/>
      <c r="CJ84" s="196"/>
      <c r="CK84" s="196"/>
      <c r="CL84" s="196"/>
      <c r="CM84" s="196"/>
      <c r="CN84" s="196"/>
      <c r="CO84" s="196"/>
      <c r="CP84" s="196"/>
      <c r="CQ84" s="196"/>
      <c r="CR84" s="196"/>
      <c r="CS84" s="196"/>
      <c r="CT84" s="196"/>
      <c r="CU84" s="196"/>
      <c r="CV84" s="196"/>
      <c r="CW84" s="196"/>
      <c r="CX84" s="196"/>
      <c r="CY84" s="196"/>
      <c r="CZ84" s="196"/>
      <c r="DA84" s="196"/>
      <c r="DB84" s="196"/>
      <c r="DC84" s="196"/>
      <c r="DD84" s="196"/>
      <c r="DE84" s="196"/>
      <c r="DF84" s="196"/>
      <c r="DG84" s="196"/>
      <c r="DH84" s="196"/>
      <c r="DI84" s="196"/>
      <c r="DJ84" s="196"/>
      <c r="DK84" s="196"/>
      <c r="DL84" s="196"/>
      <c r="DM84" s="196"/>
      <c r="DN84" s="196"/>
      <c r="DO84" s="196"/>
      <c r="DP84" s="196"/>
      <c r="DQ84" s="196"/>
      <c r="DR84" s="196"/>
      <c r="DS84" s="196"/>
      <c r="DT84" s="196"/>
      <c r="DU84" s="196"/>
      <c r="DV84" s="196"/>
      <c r="DW84" s="196"/>
      <c r="DX84" s="196"/>
      <c r="DY84" s="196"/>
      <c r="DZ84" s="196"/>
      <c r="EA84" s="196"/>
      <c r="EB84" s="196"/>
      <c r="EC84" s="196"/>
      <c r="ED84" s="196"/>
      <c r="EE84" s="196"/>
      <c r="EF84" s="196"/>
      <c r="EG84" s="196"/>
      <c r="EH84" s="196"/>
      <c r="EI84" s="196"/>
      <c r="EJ84" s="196"/>
      <c r="EK84" s="196"/>
      <c r="EL84" s="196"/>
      <c r="EM84" s="196"/>
      <c r="EN84" s="196"/>
      <c r="EO84" s="196"/>
      <c r="EP84" s="196"/>
      <c r="EQ84" s="196"/>
      <c r="ER84" s="196"/>
      <c r="ES84" s="196"/>
      <c r="ET84" s="196"/>
      <c r="EU84" s="196"/>
      <c r="EV84" s="196"/>
      <c r="EW84" s="196"/>
      <c r="EX84" s="196"/>
      <c r="EY84" s="196"/>
      <c r="EZ84" s="196"/>
      <c r="FA84" s="196"/>
      <c r="FB84" s="196"/>
      <c r="FC84" s="196"/>
      <c r="FD84" s="196"/>
      <c r="FE84" s="196"/>
      <c r="FF84" s="196"/>
      <c r="FG84" s="196"/>
      <c r="FH84" s="196"/>
      <c r="FI84" s="196"/>
      <c r="FJ84" s="196"/>
      <c r="FK84" s="196"/>
      <c r="FL84" s="196"/>
      <c r="FM84" s="196"/>
      <c r="FN84" s="196"/>
      <c r="FO84" s="196"/>
      <c r="FP84" s="196"/>
      <c r="FQ84" s="196"/>
      <c r="FR84" s="196"/>
      <c r="FS84" s="196"/>
      <c r="FT84" s="196"/>
      <c r="FU84" s="196"/>
      <c r="FV84" s="196"/>
      <c r="FW84" s="196"/>
      <c r="FX84" s="196"/>
      <c r="FY84" s="196"/>
      <c r="FZ84" s="196"/>
      <c r="GA84" s="196"/>
      <c r="GB84" s="196"/>
      <c r="GC84" s="196"/>
      <c r="GD84" s="196"/>
      <c r="GE84" s="196"/>
      <c r="GF84" s="196"/>
      <c r="GG84" s="196"/>
      <c r="GH84" s="196"/>
      <c r="GI84" s="196"/>
      <c r="GJ84" s="196"/>
      <c r="GK84" s="196"/>
      <c r="GL84" s="196"/>
      <c r="GM84" s="196"/>
      <c r="GN84" s="196"/>
      <c r="GO84" s="196"/>
      <c r="GP84" s="196"/>
      <c r="GQ84" s="196"/>
      <c r="GR84" s="196"/>
      <c r="GS84" s="196"/>
      <c r="GT84" s="196"/>
      <c r="GU84" s="196"/>
      <c r="GV84" s="196"/>
      <c r="GW84" s="196"/>
      <c r="GX84" s="196"/>
      <c r="GY84" s="196"/>
      <c r="GZ84" s="196"/>
      <c r="HA84" s="196"/>
      <c r="HB84" s="196"/>
      <c r="HC84" s="196"/>
      <c r="HD84" s="196"/>
      <c r="HE84" s="196"/>
      <c r="HF84" s="196"/>
      <c r="HG84" s="196"/>
      <c r="HH84" s="196"/>
      <c r="HI84" s="196"/>
      <c r="HJ84" s="196"/>
      <c r="HK84" s="196"/>
      <c r="HL84" s="196"/>
      <c r="HM84" s="196"/>
      <c r="HN84" s="196"/>
      <c r="HO84" s="196"/>
      <c r="HP84" s="196"/>
      <c r="HQ84" s="196"/>
      <c r="HR84" s="196"/>
      <c r="HS84" s="196"/>
      <c r="HT84" s="196"/>
      <c r="HU84" s="196"/>
      <c r="HV84" s="196"/>
      <c r="HW84" s="196"/>
      <c r="HX84" s="196"/>
      <c r="HY84" s="196"/>
      <c r="HZ84" s="196"/>
      <c r="IA84" s="196"/>
      <c r="IB84" s="196"/>
      <c r="IC84" s="196"/>
      <c r="ID84" s="196"/>
      <c r="IE84" s="196"/>
      <c r="IF84" s="196"/>
      <c r="IG84" s="196"/>
      <c r="IH84" s="196"/>
      <c r="II84" s="196"/>
      <c r="IJ84" s="196"/>
      <c r="IK84" s="196"/>
      <c r="IL84" s="196"/>
      <c r="IM84" s="196"/>
      <c r="IN84" s="196"/>
      <c r="IO84" s="196"/>
      <c r="IP84" s="196"/>
      <c r="IQ84" s="196"/>
      <c r="IR84" s="196"/>
    </row>
    <row r="85" spans="1:252" ht="15.6">
      <c r="A85" s="196"/>
      <c r="B85" s="196"/>
      <c r="C85" s="584"/>
      <c r="D85" s="584"/>
      <c r="E85" s="584"/>
      <c r="F85" s="584"/>
      <c r="G85" s="584"/>
      <c r="H85" s="584"/>
      <c r="I85" s="584"/>
      <c r="J85" s="584"/>
      <c r="K85" s="584"/>
      <c r="L85" s="584"/>
      <c r="M85" s="584"/>
      <c r="N85" s="584"/>
      <c r="O85" s="584"/>
      <c r="P85" s="584"/>
      <c r="Q85" s="584"/>
      <c r="R85" s="579"/>
      <c r="S85" s="579"/>
      <c r="T85" s="579"/>
      <c r="U85" s="579"/>
      <c r="V85" s="579"/>
      <c r="W85" s="579"/>
      <c r="X85" s="579"/>
      <c r="Y85" s="579"/>
      <c r="Z85" s="579"/>
      <c r="AA85" s="579"/>
      <c r="AB85" s="579"/>
      <c r="AC85" s="579"/>
      <c r="AD85" s="579"/>
      <c r="AE85" s="579"/>
      <c r="AF85" s="579"/>
      <c r="AG85" s="579"/>
      <c r="AH85" s="579"/>
      <c r="AI85" s="579"/>
      <c r="AJ85" s="579"/>
      <c r="AK85" s="579"/>
      <c r="AL85" s="579"/>
      <c r="AM85" s="579"/>
      <c r="AN85" s="579"/>
      <c r="AO85" s="579"/>
      <c r="AP85" s="584"/>
      <c r="AQ85" s="584"/>
      <c r="AR85" s="584"/>
      <c r="AS85" s="584"/>
      <c r="AT85" s="584"/>
      <c r="AU85" s="584"/>
      <c r="AV85" s="584"/>
      <c r="AW85" s="584"/>
      <c r="AX85" s="584"/>
      <c r="AY85" s="584"/>
      <c r="AZ85" s="196"/>
      <c r="BA85" s="196"/>
      <c r="BB85" s="196"/>
      <c r="BC85" s="196"/>
      <c r="BD85" s="196"/>
      <c r="BE85" s="196"/>
      <c r="BF85" s="196"/>
      <c r="BG85" s="196"/>
      <c r="BH85" s="196"/>
      <c r="BI85" s="196"/>
      <c r="BJ85" s="196"/>
      <c r="BK85" s="196"/>
      <c r="BL85" s="196"/>
      <c r="BM85" s="196"/>
      <c r="BN85" s="196"/>
      <c r="BO85" s="196"/>
      <c r="BP85" s="196"/>
      <c r="BQ85" s="196"/>
      <c r="BR85" s="196"/>
      <c r="BS85" s="196"/>
      <c r="BT85" s="196"/>
      <c r="BU85" s="196"/>
      <c r="BV85" s="196"/>
      <c r="BW85" s="196"/>
      <c r="BX85" s="196"/>
      <c r="BY85" s="196"/>
      <c r="BZ85" s="196"/>
      <c r="CA85" s="196"/>
      <c r="CB85" s="196"/>
      <c r="CC85" s="196"/>
      <c r="CD85" s="196"/>
      <c r="CE85" s="196"/>
      <c r="CF85" s="196"/>
      <c r="CG85" s="196"/>
      <c r="CH85" s="196"/>
      <c r="CI85" s="196"/>
      <c r="CJ85" s="196"/>
      <c r="CK85" s="196"/>
      <c r="CL85" s="196"/>
      <c r="CM85" s="196"/>
      <c r="CN85" s="196"/>
      <c r="CO85" s="196"/>
      <c r="CP85" s="196"/>
      <c r="CQ85" s="196"/>
      <c r="CR85" s="196"/>
      <c r="CS85" s="196"/>
      <c r="CT85" s="196"/>
      <c r="CU85" s="196"/>
      <c r="CV85" s="196"/>
      <c r="CW85" s="196"/>
      <c r="CX85" s="196"/>
      <c r="CY85" s="196"/>
      <c r="CZ85" s="196"/>
      <c r="DA85" s="196"/>
      <c r="DB85" s="196"/>
      <c r="DC85" s="196"/>
      <c r="DD85" s="196"/>
      <c r="DE85" s="196"/>
      <c r="DF85" s="196"/>
      <c r="DG85" s="196"/>
      <c r="DH85" s="196"/>
      <c r="DI85" s="196"/>
      <c r="DJ85" s="196"/>
      <c r="DK85" s="196"/>
      <c r="DL85" s="196"/>
      <c r="DM85" s="196"/>
      <c r="DN85" s="196"/>
      <c r="DO85" s="196"/>
      <c r="DP85" s="196"/>
      <c r="DQ85" s="196"/>
      <c r="DR85" s="196"/>
      <c r="DS85" s="196"/>
      <c r="DT85" s="196"/>
      <c r="DU85" s="196"/>
      <c r="DV85" s="196"/>
      <c r="DW85" s="196"/>
      <c r="DX85" s="196"/>
      <c r="DY85" s="196"/>
      <c r="DZ85" s="196"/>
      <c r="EA85" s="196"/>
      <c r="EB85" s="196"/>
      <c r="EC85" s="196"/>
      <c r="ED85" s="196"/>
      <c r="EE85" s="196"/>
      <c r="EF85" s="196"/>
      <c r="EG85" s="196"/>
      <c r="EH85" s="196"/>
      <c r="EI85" s="196"/>
      <c r="EJ85" s="196"/>
      <c r="EK85" s="196"/>
      <c r="EL85" s="196"/>
      <c r="EM85" s="196"/>
      <c r="EN85" s="196"/>
      <c r="EO85" s="196"/>
      <c r="EP85" s="196"/>
      <c r="EQ85" s="196"/>
      <c r="ER85" s="196"/>
      <c r="ES85" s="196"/>
      <c r="ET85" s="196"/>
      <c r="EU85" s="196"/>
      <c r="EV85" s="196"/>
      <c r="EW85" s="196"/>
      <c r="EX85" s="196"/>
      <c r="EY85" s="196"/>
      <c r="EZ85" s="196"/>
      <c r="FA85" s="196"/>
      <c r="FB85" s="196"/>
      <c r="FC85" s="196"/>
      <c r="FD85" s="196"/>
      <c r="FE85" s="196"/>
      <c r="FF85" s="196"/>
      <c r="FG85" s="196"/>
      <c r="FH85" s="196"/>
      <c r="FI85" s="196"/>
      <c r="FJ85" s="196"/>
      <c r="FK85" s="196"/>
      <c r="FL85" s="196"/>
      <c r="FM85" s="196"/>
      <c r="FN85" s="196"/>
      <c r="FO85" s="196"/>
      <c r="FP85" s="196"/>
      <c r="FQ85" s="196"/>
      <c r="FR85" s="196"/>
      <c r="FS85" s="196"/>
      <c r="FT85" s="196"/>
      <c r="FU85" s="196"/>
      <c r="FV85" s="196"/>
      <c r="FW85" s="196"/>
      <c r="FX85" s="196"/>
      <c r="FY85" s="196"/>
      <c r="FZ85" s="196"/>
      <c r="GA85" s="196"/>
      <c r="GB85" s="196"/>
      <c r="GC85" s="196"/>
      <c r="GD85" s="196"/>
      <c r="GE85" s="196"/>
      <c r="GF85" s="196"/>
      <c r="GG85" s="196"/>
      <c r="GH85" s="196"/>
      <c r="GI85" s="196"/>
      <c r="GJ85" s="196"/>
      <c r="GK85" s="196"/>
      <c r="GL85" s="196"/>
      <c r="GM85" s="196"/>
      <c r="GN85" s="196"/>
      <c r="GO85" s="196"/>
      <c r="GP85" s="196"/>
      <c r="GQ85" s="196"/>
      <c r="GR85" s="196"/>
      <c r="GS85" s="196"/>
      <c r="GT85" s="196"/>
      <c r="GU85" s="196"/>
      <c r="GV85" s="196"/>
      <c r="GW85" s="196"/>
      <c r="GX85" s="196"/>
      <c r="GY85" s="196"/>
      <c r="GZ85" s="196"/>
      <c r="HA85" s="196"/>
      <c r="HB85" s="196"/>
      <c r="HC85" s="196"/>
      <c r="HD85" s="196"/>
      <c r="HE85" s="196"/>
      <c r="HF85" s="196"/>
      <c r="HG85" s="196"/>
      <c r="HH85" s="196"/>
      <c r="HI85" s="196"/>
      <c r="HJ85" s="196"/>
      <c r="HK85" s="196"/>
      <c r="HL85" s="196"/>
      <c r="HM85" s="196"/>
      <c r="HN85" s="196"/>
      <c r="HO85" s="196"/>
      <c r="HP85" s="196"/>
      <c r="HQ85" s="196"/>
      <c r="HR85" s="196"/>
      <c r="HS85" s="196"/>
      <c r="HT85" s="196"/>
      <c r="HU85" s="196"/>
      <c r="HV85" s="196"/>
      <c r="HW85" s="196"/>
      <c r="HX85" s="196"/>
      <c r="HY85" s="196"/>
      <c r="HZ85" s="196"/>
      <c r="IA85" s="196"/>
      <c r="IB85" s="196"/>
      <c r="IC85" s="196"/>
      <c r="ID85" s="196"/>
      <c r="IE85" s="196"/>
      <c r="IF85" s="196"/>
      <c r="IG85" s="196"/>
      <c r="IH85" s="196"/>
      <c r="II85" s="196"/>
      <c r="IJ85" s="196"/>
      <c r="IK85" s="196"/>
      <c r="IL85" s="196"/>
      <c r="IM85" s="196"/>
      <c r="IN85" s="196"/>
      <c r="IO85" s="196"/>
      <c r="IP85" s="196"/>
      <c r="IQ85" s="196"/>
      <c r="IR85" s="196"/>
    </row>
    <row r="86" spans="1:252" ht="15.6">
      <c r="A86" s="196"/>
      <c r="B86" s="196"/>
      <c r="C86" s="584"/>
      <c r="D86" s="584"/>
      <c r="E86" s="584"/>
      <c r="F86" s="584"/>
      <c r="G86" s="584"/>
      <c r="H86" s="584"/>
      <c r="I86" s="584"/>
      <c r="J86" s="584"/>
      <c r="K86" s="584"/>
      <c r="L86" s="584"/>
      <c r="M86" s="584"/>
      <c r="N86" s="584"/>
      <c r="O86" s="584"/>
      <c r="P86" s="584"/>
      <c r="Q86" s="584"/>
      <c r="R86" s="579"/>
      <c r="S86" s="579"/>
      <c r="T86" s="579"/>
      <c r="U86" s="579"/>
      <c r="V86" s="579"/>
      <c r="W86" s="579"/>
      <c r="X86" s="579"/>
      <c r="Y86" s="579"/>
      <c r="Z86" s="579"/>
      <c r="AA86" s="579"/>
      <c r="AB86" s="579"/>
      <c r="AC86" s="579"/>
      <c r="AD86" s="579"/>
      <c r="AE86" s="579"/>
      <c r="AF86" s="579"/>
      <c r="AG86" s="579"/>
      <c r="AH86" s="579"/>
      <c r="AI86" s="579"/>
      <c r="AJ86" s="579"/>
      <c r="AK86" s="579"/>
      <c r="AL86" s="579"/>
      <c r="AM86" s="579"/>
      <c r="AN86" s="579"/>
      <c r="AO86" s="579"/>
      <c r="AP86" s="584"/>
      <c r="AQ86" s="584"/>
      <c r="AR86" s="584"/>
      <c r="AS86" s="584"/>
      <c r="AT86" s="584"/>
      <c r="AU86" s="584"/>
      <c r="AV86" s="584"/>
      <c r="AW86" s="584"/>
      <c r="AX86" s="584"/>
      <c r="AY86" s="584"/>
      <c r="AZ86" s="196"/>
      <c r="BA86" s="196"/>
      <c r="BB86" s="196"/>
      <c r="BC86" s="196"/>
      <c r="BD86" s="196"/>
      <c r="BE86" s="196"/>
      <c r="BF86" s="196"/>
      <c r="BG86" s="196"/>
      <c r="BH86" s="196"/>
      <c r="BI86" s="196"/>
      <c r="BJ86" s="196"/>
      <c r="BK86" s="196"/>
      <c r="BL86" s="196"/>
      <c r="BM86" s="196"/>
      <c r="BN86" s="196"/>
      <c r="BO86" s="196"/>
      <c r="BP86" s="196"/>
      <c r="BQ86" s="196"/>
      <c r="BR86" s="196"/>
      <c r="BS86" s="196"/>
      <c r="BT86" s="196"/>
      <c r="BU86" s="196"/>
      <c r="BV86" s="196"/>
      <c r="BW86" s="196"/>
      <c r="BX86" s="196"/>
      <c r="BY86" s="196"/>
      <c r="BZ86" s="196"/>
      <c r="CA86" s="196"/>
      <c r="CB86" s="196"/>
      <c r="CC86" s="196"/>
      <c r="CD86" s="196"/>
      <c r="CE86" s="196"/>
      <c r="CF86" s="196"/>
      <c r="CG86" s="196"/>
      <c r="CH86" s="196"/>
      <c r="CI86" s="196"/>
      <c r="CJ86" s="196"/>
      <c r="CK86" s="196"/>
      <c r="CL86" s="196"/>
      <c r="CM86" s="196"/>
      <c r="CN86" s="196"/>
      <c r="CO86" s="196"/>
      <c r="CP86" s="196"/>
      <c r="CQ86" s="196"/>
      <c r="CR86" s="196"/>
      <c r="CS86" s="196"/>
      <c r="CT86" s="196"/>
      <c r="CU86" s="196"/>
      <c r="CV86" s="196"/>
      <c r="CW86" s="196"/>
      <c r="CX86" s="196"/>
      <c r="CY86" s="196"/>
      <c r="CZ86" s="196"/>
      <c r="DA86" s="196"/>
      <c r="DB86" s="196"/>
      <c r="DC86" s="196"/>
      <c r="DD86" s="196"/>
      <c r="DE86" s="196"/>
      <c r="DF86" s="196"/>
      <c r="DG86" s="196"/>
      <c r="DH86" s="196"/>
      <c r="DI86" s="196"/>
      <c r="DJ86" s="196"/>
      <c r="DK86" s="196"/>
      <c r="DL86" s="196"/>
      <c r="DM86" s="196"/>
      <c r="DN86" s="196"/>
      <c r="DO86" s="196"/>
      <c r="DP86" s="196"/>
      <c r="DQ86" s="196"/>
      <c r="DR86" s="196"/>
      <c r="DS86" s="196"/>
      <c r="DT86" s="196"/>
      <c r="DU86" s="196"/>
      <c r="DV86" s="196"/>
      <c r="DW86" s="196"/>
      <c r="DX86" s="196"/>
      <c r="DY86" s="196"/>
      <c r="DZ86" s="196"/>
      <c r="EA86" s="196"/>
      <c r="EB86" s="196"/>
      <c r="EC86" s="196"/>
      <c r="ED86" s="196"/>
      <c r="EE86" s="196"/>
      <c r="EF86" s="196"/>
      <c r="EG86" s="196"/>
      <c r="EH86" s="196"/>
      <c r="EI86" s="196"/>
      <c r="EJ86" s="196"/>
      <c r="EK86" s="196"/>
      <c r="EL86" s="196"/>
      <c r="EM86" s="196"/>
      <c r="EN86" s="196"/>
      <c r="EO86" s="196"/>
      <c r="EP86" s="196"/>
      <c r="EQ86" s="196"/>
      <c r="ER86" s="196"/>
      <c r="ES86" s="196"/>
      <c r="ET86" s="196"/>
      <c r="EU86" s="196"/>
      <c r="EV86" s="196"/>
      <c r="EW86" s="196"/>
      <c r="EX86" s="196"/>
      <c r="EY86" s="196"/>
      <c r="EZ86" s="196"/>
      <c r="FA86" s="196"/>
      <c r="FB86" s="196"/>
      <c r="FC86" s="196"/>
      <c r="FD86" s="196"/>
      <c r="FE86" s="196"/>
      <c r="FF86" s="196"/>
      <c r="FG86" s="196"/>
      <c r="FH86" s="196"/>
      <c r="FI86" s="196"/>
      <c r="FJ86" s="196"/>
      <c r="FK86" s="196"/>
      <c r="FL86" s="196"/>
      <c r="FM86" s="196"/>
      <c r="FN86" s="196"/>
      <c r="FO86" s="196"/>
      <c r="FP86" s="196"/>
      <c r="FQ86" s="196"/>
      <c r="FR86" s="196"/>
      <c r="FS86" s="196"/>
      <c r="FT86" s="196"/>
      <c r="FU86" s="196"/>
      <c r="FV86" s="196"/>
      <c r="FW86" s="196"/>
      <c r="FX86" s="196"/>
      <c r="FY86" s="196"/>
      <c r="FZ86" s="196"/>
      <c r="GA86" s="196"/>
      <c r="GB86" s="196"/>
      <c r="GC86" s="196"/>
      <c r="GD86" s="196"/>
      <c r="GE86" s="196"/>
      <c r="GF86" s="196"/>
      <c r="GG86" s="196"/>
      <c r="GH86" s="196"/>
      <c r="GI86" s="196"/>
      <c r="GJ86" s="196"/>
      <c r="GK86" s="196"/>
      <c r="GL86" s="196"/>
      <c r="GM86" s="196"/>
      <c r="GN86" s="196"/>
      <c r="GO86" s="196"/>
      <c r="GP86" s="196"/>
      <c r="GQ86" s="196"/>
      <c r="GR86" s="196"/>
      <c r="GS86" s="196"/>
      <c r="GT86" s="196"/>
      <c r="GU86" s="196"/>
      <c r="GV86" s="196"/>
      <c r="GW86" s="196"/>
      <c r="GX86" s="196"/>
      <c r="GY86" s="196"/>
      <c r="GZ86" s="196"/>
      <c r="HA86" s="196"/>
      <c r="HB86" s="196"/>
      <c r="HC86" s="196"/>
      <c r="HD86" s="196"/>
      <c r="HE86" s="196"/>
      <c r="HF86" s="196"/>
      <c r="HG86" s="196"/>
      <c r="HH86" s="196"/>
      <c r="HI86" s="196"/>
      <c r="HJ86" s="196"/>
      <c r="HK86" s="196"/>
      <c r="HL86" s="196"/>
      <c r="HM86" s="196"/>
      <c r="HN86" s="196"/>
      <c r="HO86" s="196"/>
      <c r="HP86" s="196"/>
      <c r="HQ86" s="196"/>
      <c r="HR86" s="196"/>
      <c r="HS86" s="196"/>
      <c r="HT86" s="196"/>
      <c r="HU86" s="196"/>
      <c r="HV86" s="196"/>
      <c r="HW86" s="196"/>
      <c r="HX86" s="196"/>
      <c r="HY86" s="196"/>
      <c r="HZ86" s="196"/>
      <c r="IA86" s="196"/>
      <c r="IB86" s="196"/>
      <c r="IC86" s="196"/>
      <c r="ID86" s="196"/>
      <c r="IE86" s="196"/>
      <c r="IF86" s="196"/>
      <c r="IG86" s="196"/>
      <c r="IH86" s="196"/>
      <c r="II86" s="196"/>
      <c r="IJ86" s="196"/>
      <c r="IK86" s="196"/>
      <c r="IL86" s="196"/>
      <c r="IM86" s="196"/>
      <c r="IN86" s="196"/>
      <c r="IO86" s="196"/>
      <c r="IP86" s="196"/>
      <c r="IQ86" s="196"/>
      <c r="IR86" s="196"/>
    </row>
    <row r="87" spans="1:252" ht="15.6">
      <c r="A87" s="196"/>
      <c r="B87" s="196"/>
      <c r="C87" s="584"/>
      <c r="D87" s="584"/>
      <c r="E87" s="584"/>
      <c r="F87" s="584"/>
      <c r="G87" s="584"/>
      <c r="H87" s="584"/>
      <c r="I87" s="584"/>
      <c r="J87" s="584"/>
      <c r="K87" s="584"/>
      <c r="L87" s="584"/>
      <c r="M87" s="584"/>
      <c r="N87" s="584"/>
      <c r="O87" s="584"/>
      <c r="P87" s="584"/>
      <c r="Q87" s="584"/>
      <c r="R87" s="579"/>
      <c r="S87" s="579"/>
      <c r="T87" s="579"/>
      <c r="U87" s="579"/>
      <c r="V87" s="579"/>
      <c r="W87" s="579"/>
      <c r="X87" s="579"/>
      <c r="Y87" s="579"/>
      <c r="Z87" s="579"/>
      <c r="AA87" s="579"/>
      <c r="AB87" s="579"/>
      <c r="AC87" s="579"/>
      <c r="AD87" s="579"/>
      <c r="AE87" s="579"/>
      <c r="AF87" s="579"/>
      <c r="AG87" s="579"/>
      <c r="AH87" s="579"/>
      <c r="AI87" s="579"/>
      <c r="AJ87" s="579"/>
      <c r="AK87" s="579"/>
      <c r="AL87" s="579"/>
      <c r="AM87" s="579"/>
      <c r="AN87" s="579"/>
      <c r="AO87" s="579"/>
      <c r="AP87" s="584"/>
      <c r="AQ87" s="584"/>
      <c r="AR87" s="584"/>
      <c r="AS87" s="584"/>
      <c r="AT87" s="584"/>
      <c r="AU87" s="584"/>
      <c r="AV87" s="584"/>
      <c r="AW87" s="584"/>
      <c r="AX87" s="584"/>
      <c r="AY87" s="584"/>
      <c r="AZ87" s="196"/>
      <c r="BA87" s="196"/>
      <c r="BB87" s="196"/>
      <c r="BC87" s="196"/>
      <c r="BD87" s="196"/>
      <c r="BE87" s="196"/>
      <c r="BF87" s="196"/>
      <c r="BG87" s="196"/>
      <c r="BH87" s="196"/>
      <c r="BI87" s="196"/>
      <c r="BJ87" s="196"/>
      <c r="BK87" s="196"/>
      <c r="BL87" s="196"/>
      <c r="BM87" s="196"/>
      <c r="BN87" s="196"/>
      <c r="BO87" s="196"/>
      <c r="BP87" s="196"/>
      <c r="BQ87" s="196"/>
      <c r="BR87" s="196"/>
      <c r="BS87" s="196"/>
      <c r="BT87" s="196"/>
      <c r="BU87" s="196"/>
      <c r="BV87" s="196"/>
      <c r="BW87" s="196"/>
      <c r="BX87" s="196"/>
      <c r="BY87" s="196"/>
      <c r="BZ87" s="196"/>
      <c r="CA87" s="196"/>
      <c r="CB87" s="196"/>
      <c r="CC87" s="196"/>
      <c r="CD87" s="196"/>
      <c r="CE87" s="196"/>
      <c r="CF87" s="196"/>
      <c r="CG87" s="196"/>
      <c r="CH87" s="196"/>
      <c r="CI87" s="196"/>
      <c r="CJ87" s="196"/>
      <c r="CK87" s="196"/>
      <c r="CL87" s="196"/>
      <c r="CM87" s="196"/>
      <c r="CN87" s="196"/>
      <c r="CO87" s="196"/>
      <c r="CP87" s="196"/>
      <c r="CQ87" s="196"/>
      <c r="CR87" s="196"/>
      <c r="CS87" s="196"/>
      <c r="CT87" s="196"/>
      <c r="CU87" s="196"/>
      <c r="CV87" s="196"/>
      <c r="CW87" s="196"/>
      <c r="CX87" s="196"/>
      <c r="CY87" s="196"/>
      <c r="CZ87" s="196"/>
      <c r="DA87" s="196"/>
      <c r="DB87" s="196"/>
      <c r="DC87" s="196"/>
      <c r="DD87" s="196"/>
      <c r="DE87" s="196"/>
      <c r="DF87" s="196"/>
      <c r="DG87" s="196"/>
      <c r="DH87" s="196"/>
      <c r="DI87" s="196"/>
      <c r="DJ87" s="196"/>
      <c r="DK87" s="196"/>
      <c r="DL87" s="196"/>
      <c r="DM87" s="196"/>
      <c r="DN87" s="196"/>
      <c r="DO87" s="196"/>
      <c r="DP87" s="196"/>
      <c r="DQ87" s="196"/>
      <c r="DR87" s="196"/>
      <c r="DS87" s="196"/>
      <c r="DT87" s="196"/>
      <c r="DU87" s="196"/>
      <c r="DV87" s="196"/>
      <c r="DW87" s="196"/>
      <c r="DX87" s="196"/>
      <c r="DY87" s="196"/>
      <c r="DZ87" s="196"/>
      <c r="EA87" s="196"/>
      <c r="EB87" s="196"/>
      <c r="EC87" s="196"/>
      <c r="ED87" s="196"/>
      <c r="EE87" s="196"/>
      <c r="EF87" s="196"/>
      <c r="EG87" s="196"/>
      <c r="EH87" s="196"/>
      <c r="EI87" s="196"/>
      <c r="EJ87" s="196"/>
      <c r="EK87" s="196"/>
      <c r="EL87" s="196"/>
      <c r="EM87" s="196"/>
      <c r="EN87" s="196"/>
      <c r="EO87" s="196"/>
      <c r="EP87" s="196"/>
      <c r="EQ87" s="196"/>
      <c r="ER87" s="196"/>
      <c r="ES87" s="196"/>
      <c r="ET87" s="196"/>
      <c r="EU87" s="196"/>
      <c r="EV87" s="196"/>
      <c r="EW87" s="196"/>
      <c r="EX87" s="196"/>
      <c r="EY87" s="196"/>
      <c r="EZ87" s="196"/>
      <c r="FA87" s="196"/>
      <c r="FB87" s="196"/>
      <c r="FC87" s="196"/>
      <c r="FD87" s="196"/>
      <c r="FE87" s="196"/>
      <c r="FF87" s="196"/>
      <c r="FG87" s="196"/>
      <c r="FH87" s="196"/>
      <c r="FI87" s="196"/>
      <c r="FJ87" s="196"/>
      <c r="FK87" s="196"/>
      <c r="FL87" s="196"/>
      <c r="FM87" s="196"/>
      <c r="FN87" s="196"/>
      <c r="FO87" s="196"/>
      <c r="FP87" s="196"/>
      <c r="FQ87" s="196"/>
      <c r="FR87" s="196"/>
      <c r="FS87" s="196"/>
      <c r="FT87" s="196"/>
      <c r="FU87" s="196"/>
      <c r="FV87" s="196"/>
      <c r="FW87" s="196"/>
      <c r="FX87" s="196"/>
      <c r="FY87" s="196"/>
      <c r="FZ87" s="196"/>
      <c r="GA87" s="196"/>
      <c r="GB87" s="196"/>
      <c r="GC87" s="196"/>
      <c r="GD87" s="196"/>
      <c r="GE87" s="196"/>
      <c r="GF87" s="196"/>
      <c r="GG87" s="196"/>
      <c r="GH87" s="196"/>
      <c r="GI87" s="196"/>
      <c r="GJ87" s="196"/>
      <c r="GK87" s="196"/>
      <c r="GL87" s="196"/>
      <c r="GM87" s="196"/>
      <c r="GN87" s="196"/>
      <c r="GO87" s="196"/>
      <c r="GP87" s="196"/>
      <c r="GQ87" s="196"/>
      <c r="GR87" s="196"/>
      <c r="GS87" s="196"/>
      <c r="GT87" s="196"/>
      <c r="GU87" s="196"/>
      <c r="GV87" s="196"/>
      <c r="GW87" s="196"/>
      <c r="GX87" s="196"/>
      <c r="GY87" s="196"/>
      <c r="GZ87" s="196"/>
      <c r="HA87" s="196"/>
      <c r="HB87" s="196"/>
      <c r="HC87" s="196"/>
      <c r="HD87" s="196"/>
      <c r="HE87" s="196"/>
      <c r="HF87" s="196"/>
      <c r="HG87" s="196"/>
      <c r="HH87" s="196"/>
      <c r="HI87" s="196"/>
      <c r="HJ87" s="196"/>
      <c r="HK87" s="196"/>
      <c r="HL87" s="196"/>
      <c r="HM87" s="196"/>
      <c r="HN87" s="196"/>
      <c r="HO87" s="196"/>
      <c r="HP87" s="196"/>
      <c r="HQ87" s="196"/>
      <c r="HR87" s="196"/>
      <c r="HS87" s="196"/>
      <c r="HT87" s="196"/>
      <c r="HU87" s="196"/>
      <c r="HV87" s="196"/>
      <c r="HW87" s="196"/>
      <c r="HX87" s="196"/>
      <c r="HY87" s="196"/>
      <c r="HZ87" s="196"/>
      <c r="IA87" s="196"/>
      <c r="IB87" s="196"/>
      <c r="IC87" s="196"/>
      <c r="ID87" s="196"/>
      <c r="IE87" s="196"/>
      <c r="IF87" s="196"/>
      <c r="IG87" s="196"/>
      <c r="IH87" s="196"/>
      <c r="II87" s="196"/>
      <c r="IJ87" s="196"/>
      <c r="IK87" s="196"/>
      <c r="IL87" s="196"/>
      <c r="IM87" s="196"/>
      <c r="IN87" s="196"/>
      <c r="IO87" s="196"/>
      <c r="IP87" s="196"/>
      <c r="IQ87" s="196"/>
      <c r="IR87" s="196"/>
    </row>
    <row r="88" spans="1:252" ht="15.6">
      <c r="A88" s="196"/>
      <c r="B88" s="196"/>
      <c r="C88" s="584"/>
      <c r="D88" s="584"/>
      <c r="E88" s="584"/>
      <c r="F88" s="584"/>
      <c r="G88" s="584"/>
      <c r="H88" s="584"/>
      <c r="I88" s="584"/>
      <c r="J88" s="584"/>
      <c r="K88" s="584"/>
      <c r="L88" s="584"/>
      <c r="M88" s="584"/>
      <c r="N88" s="584"/>
      <c r="O88" s="584"/>
      <c r="P88" s="584"/>
      <c r="Q88" s="584"/>
      <c r="R88" s="579"/>
      <c r="S88" s="579"/>
      <c r="T88" s="579"/>
      <c r="U88" s="579"/>
      <c r="V88" s="579"/>
      <c r="W88" s="579"/>
      <c r="X88" s="579"/>
      <c r="Y88" s="579"/>
      <c r="Z88" s="579"/>
      <c r="AA88" s="579"/>
      <c r="AB88" s="579"/>
      <c r="AC88" s="579"/>
      <c r="AD88" s="579"/>
      <c r="AE88" s="579"/>
      <c r="AF88" s="579"/>
      <c r="AG88" s="579"/>
      <c r="AH88" s="579"/>
      <c r="AI88" s="579"/>
      <c r="AJ88" s="579"/>
      <c r="AK88" s="579"/>
      <c r="AL88" s="579"/>
      <c r="AM88" s="579"/>
      <c r="AN88" s="579"/>
      <c r="AO88" s="579"/>
      <c r="AP88" s="584"/>
      <c r="AQ88" s="584"/>
      <c r="AR88" s="584"/>
      <c r="AS88" s="584"/>
      <c r="AT88" s="584"/>
      <c r="AU88" s="584"/>
      <c r="AV88" s="584"/>
      <c r="AW88" s="584"/>
      <c r="AX88" s="584"/>
      <c r="AY88" s="584"/>
      <c r="AZ88" s="196"/>
      <c r="BA88" s="196"/>
      <c r="BB88" s="196"/>
      <c r="BC88" s="196"/>
      <c r="BD88" s="196"/>
      <c r="BE88" s="196"/>
      <c r="BF88" s="196"/>
      <c r="BG88" s="196"/>
      <c r="BH88" s="196"/>
      <c r="BI88" s="196"/>
      <c r="BJ88" s="196"/>
      <c r="BK88" s="196"/>
      <c r="BL88" s="196"/>
      <c r="BM88" s="196"/>
      <c r="BN88" s="196"/>
      <c r="BO88" s="196"/>
      <c r="BP88" s="196"/>
      <c r="BQ88" s="196"/>
      <c r="BR88" s="196"/>
      <c r="BS88" s="196"/>
      <c r="BT88" s="196"/>
      <c r="BU88" s="196"/>
      <c r="BV88" s="196"/>
      <c r="BW88" s="196"/>
      <c r="BX88" s="196"/>
      <c r="BY88" s="196"/>
      <c r="BZ88" s="196"/>
      <c r="CA88" s="196"/>
      <c r="CB88" s="196"/>
      <c r="CC88" s="196"/>
      <c r="CD88" s="196"/>
      <c r="CE88" s="196"/>
      <c r="CF88" s="196"/>
      <c r="CG88" s="196"/>
      <c r="CH88" s="196"/>
      <c r="CI88" s="196"/>
      <c r="CJ88" s="196"/>
      <c r="CK88" s="196"/>
      <c r="CL88" s="196"/>
      <c r="CM88" s="196"/>
      <c r="CN88" s="196"/>
      <c r="CO88" s="196"/>
      <c r="CP88" s="196"/>
      <c r="CQ88" s="196"/>
      <c r="CR88" s="196"/>
      <c r="CS88" s="196"/>
      <c r="CT88" s="196"/>
      <c r="CU88" s="196"/>
      <c r="CV88" s="196"/>
      <c r="CW88" s="196"/>
      <c r="CX88" s="196"/>
      <c r="CY88" s="196"/>
      <c r="CZ88" s="196"/>
      <c r="DA88" s="196"/>
      <c r="DB88" s="196"/>
      <c r="DC88" s="196"/>
      <c r="DD88" s="196"/>
      <c r="DE88" s="196"/>
      <c r="DF88" s="196"/>
      <c r="DG88" s="196"/>
      <c r="DH88" s="196"/>
      <c r="DI88" s="196"/>
      <c r="DJ88" s="196"/>
      <c r="DK88" s="196"/>
      <c r="DL88" s="196"/>
      <c r="DM88" s="196"/>
      <c r="DN88" s="196"/>
      <c r="DO88" s="196"/>
      <c r="DP88" s="196"/>
      <c r="DQ88" s="196"/>
      <c r="DR88" s="196"/>
      <c r="DS88" s="196"/>
      <c r="DT88" s="196"/>
      <c r="DU88" s="196"/>
      <c r="DV88" s="196"/>
      <c r="DW88" s="196"/>
      <c r="DX88" s="196"/>
      <c r="DY88" s="196"/>
      <c r="DZ88" s="196"/>
      <c r="EA88" s="196"/>
      <c r="EB88" s="196"/>
      <c r="EC88" s="196"/>
      <c r="ED88" s="196"/>
      <c r="EE88" s="196"/>
      <c r="EF88" s="196"/>
      <c r="EG88" s="196"/>
      <c r="EH88" s="196"/>
      <c r="EI88" s="196"/>
      <c r="EJ88" s="196"/>
      <c r="EK88" s="196"/>
      <c r="EL88" s="196"/>
      <c r="EM88" s="196"/>
      <c r="EN88" s="196"/>
      <c r="EO88" s="196"/>
      <c r="EP88" s="196"/>
      <c r="EQ88" s="196"/>
      <c r="ER88" s="196"/>
      <c r="ES88" s="196"/>
      <c r="ET88" s="196"/>
      <c r="EU88" s="196"/>
      <c r="EV88" s="196"/>
      <c r="EW88" s="196"/>
      <c r="EX88" s="196"/>
      <c r="EY88" s="196"/>
      <c r="EZ88" s="196"/>
      <c r="FA88" s="196"/>
      <c r="FB88" s="196"/>
      <c r="FC88" s="196"/>
      <c r="FD88" s="196"/>
      <c r="FE88" s="196"/>
      <c r="FF88" s="196"/>
      <c r="FG88" s="196"/>
      <c r="FH88" s="196"/>
      <c r="FI88" s="196"/>
      <c r="FJ88" s="196"/>
      <c r="FK88" s="196"/>
      <c r="FL88" s="196"/>
      <c r="FM88" s="196"/>
      <c r="FN88" s="196"/>
      <c r="FO88" s="196"/>
      <c r="FP88" s="196"/>
      <c r="FQ88" s="196"/>
      <c r="FR88" s="196"/>
      <c r="FS88" s="196"/>
      <c r="FT88" s="196"/>
      <c r="FU88" s="196"/>
      <c r="FV88" s="196"/>
      <c r="FW88" s="196"/>
      <c r="FX88" s="196"/>
      <c r="FY88" s="196"/>
      <c r="FZ88" s="196"/>
      <c r="GA88" s="196"/>
      <c r="GB88" s="196"/>
      <c r="GC88" s="196"/>
      <c r="GD88" s="196"/>
      <c r="GE88" s="196"/>
      <c r="GF88" s="196"/>
      <c r="GG88" s="196"/>
      <c r="GH88" s="196"/>
      <c r="GI88" s="196"/>
      <c r="GJ88" s="196"/>
      <c r="GK88" s="196"/>
      <c r="GL88" s="196"/>
      <c r="GM88" s="196"/>
      <c r="GN88" s="196"/>
      <c r="GO88" s="196"/>
      <c r="GP88" s="196"/>
      <c r="GQ88" s="196"/>
      <c r="GR88" s="196"/>
      <c r="GS88" s="196"/>
      <c r="GT88" s="196"/>
      <c r="GU88" s="196"/>
      <c r="GV88" s="196"/>
      <c r="GW88" s="196"/>
      <c r="GX88" s="196"/>
      <c r="GY88" s="196"/>
      <c r="GZ88" s="196"/>
      <c r="HA88" s="196"/>
      <c r="HB88" s="196"/>
      <c r="HC88" s="196"/>
      <c r="HD88" s="196"/>
      <c r="HE88" s="196"/>
      <c r="HF88" s="196"/>
      <c r="HG88" s="196"/>
      <c r="HH88" s="196"/>
      <c r="HI88" s="196"/>
      <c r="HJ88" s="196"/>
      <c r="HK88" s="196"/>
      <c r="HL88" s="196"/>
      <c r="HM88" s="196"/>
      <c r="HN88" s="196"/>
      <c r="HO88" s="196"/>
      <c r="HP88" s="196"/>
      <c r="HQ88" s="196"/>
      <c r="HR88" s="196"/>
      <c r="HS88" s="196"/>
      <c r="HT88" s="196"/>
      <c r="HU88" s="196"/>
      <c r="HV88" s="196"/>
      <c r="HW88" s="196"/>
      <c r="HX88" s="196"/>
      <c r="HY88" s="196"/>
      <c r="HZ88" s="196"/>
      <c r="IA88" s="196"/>
      <c r="IB88" s="196"/>
      <c r="IC88" s="196"/>
      <c r="ID88" s="196"/>
      <c r="IE88" s="196"/>
      <c r="IF88" s="196"/>
      <c r="IG88" s="196"/>
      <c r="IH88" s="196"/>
      <c r="II88" s="196"/>
      <c r="IJ88" s="196"/>
      <c r="IK88" s="196"/>
      <c r="IL88" s="196"/>
      <c r="IM88" s="196"/>
      <c r="IN88" s="196"/>
      <c r="IO88" s="196"/>
      <c r="IP88" s="196"/>
      <c r="IQ88" s="196"/>
      <c r="IR88" s="196"/>
    </row>
    <row r="89" spans="1:252" ht="15.6">
      <c r="A89" s="196"/>
      <c r="B89" s="196"/>
      <c r="C89" s="584"/>
      <c r="D89" s="584"/>
      <c r="E89" s="584"/>
      <c r="F89" s="584"/>
      <c r="G89" s="584"/>
      <c r="H89" s="584"/>
      <c r="I89" s="584"/>
      <c r="J89" s="584"/>
      <c r="K89" s="584"/>
      <c r="L89" s="584"/>
      <c r="M89" s="584"/>
      <c r="N89" s="584"/>
      <c r="O89" s="584"/>
      <c r="P89" s="584"/>
      <c r="Q89" s="584"/>
      <c r="R89" s="579"/>
      <c r="S89" s="579"/>
      <c r="T89" s="579"/>
      <c r="U89" s="579"/>
      <c r="V89" s="579"/>
      <c r="W89" s="579"/>
      <c r="X89" s="579"/>
      <c r="Y89" s="579"/>
      <c r="Z89" s="579"/>
      <c r="AA89" s="579"/>
      <c r="AB89" s="579"/>
      <c r="AC89" s="579"/>
      <c r="AD89" s="579"/>
      <c r="AE89" s="579"/>
      <c r="AF89" s="579"/>
      <c r="AG89" s="579"/>
      <c r="AH89" s="579"/>
      <c r="AI89" s="579"/>
      <c r="AJ89" s="579"/>
      <c r="AK89" s="579"/>
      <c r="AL89" s="579"/>
      <c r="AM89" s="579"/>
      <c r="AN89" s="579"/>
      <c r="AO89" s="579"/>
      <c r="AP89" s="584"/>
      <c r="AQ89" s="584"/>
      <c r="AR89" s="584"/>
      <c r="AS89" s="584"/>
      <c r="AT89" s="584"/>
      <c r="AU89" s="584"/>
      <c r="AV89" s="584"/>
      <c r="AW89" s="584"/>
      <c r="AX89" s="584"/>
      <c r="AY89" s="584"/>
      <c r="AZ89" s="196"/>
      <c r="BA89" s="196"/>
      <c r="BB89" s="196"/>
      <c r="BC89" s="196"/>
      <c r="BD89" s="196"/>
      <c r="BE89" s="196"/>
      <c r="BF89" s="196"/>
      <c r="BG89" s="196"/>
      <c r="BH89" s="196"/>
      <c r="BI89" s="196"/>
      <c r="BJ89" s="196"/>
      <c r="BK89" s="196"/>
      <c r="BL89" s="196"/>
      <c r="BM89" s="196"/>
      <c r="BN89" s="196"/>
      <c r="BO89" s="196"/>
      <c r="BP89" s="196"/>
      <c r="BQ89" s="196"/>
      <c r="BR89" s="196"/>
      <c r="BS89" s="196"/>
      <c r="BT89" s="196"/>
      <c r="BU89" s="196"/>
      <c r="BV89" s="196"/>
      <c r="BW89" s="196"/>
      <c r="BX89" s="196"/>
      <c r="BY89" s="196"/>
      <c r="BZ89" s="196"/>
      <c r="CA89" s="196"/>
      <c r="CB89" s="196"/>
      <c r="CC89" s="196"/>
      <c r="CD89" s="196"/>
      <c r="CE89" s="196"/>
      <c r="CF89" s="196"/>
      <c r="CG89" s="196"/>
      <c r="CH89" s="196"/>
      <c r="CI89" s="196"/>
      <c r="CJ89" s="196"/>
      <c r="CK89" s="196"/>
      <c r="CL89" s="196"/>
      <c r="CM89" s="196"/>
      <c r="CN89" s="196"/>
      <c r="CO89" s="196"/>
      <c r="CP89" s="196"/>
      <c r="CQ89" s="196"/>
      <c r="CR89" s="196"/>
      <c r="CS89" s="196"/>
      <c r="CT89" s="196"/>
      <c r="CU89" s="196"/>
      <c r="CV89" s="196"/>
      <c r="CW89" s="196"/>
      <c r="CX89" s="196"/>
      <c r="CY89" s="196"/>
      <c r="CZ89" s="196"/>
      <c r="DA89" s="196"/>
      <c r="DB89" s="196"/>
      <c r="DC89" s="196"/>
      <c r="DD89" s="196"/>
      <c r="DE89" s="196"/>
      <c r="DF89" s="196"/>
      <c r="DG89" s="196"/>
      <c r="DH89" s="196"/>
      <c r="DI89" s="196"/>
      <c r="DJ89" s="196"/>
      <c r="DK89" s="196"/>
      <c r="DL89" s="196"/>
      <c r="DM89" s="196"/>
      <c r="DN89" s="196"/>
      <c r="DO89" s="196"/>
      <c r="DP89" s="196"/>
      <c r="DQ89" s="196"/>
      <c r="DR89" s="196"/>
      <c r="DS89" s="196"/>
      <c r="DT89" s="196"/>
      <c r="DU89" s="196"/>
      <c r="DV89" s="196"/>
      <c r="DW89" s="196"/>
      <c r="DX89" s="196"/>
      <c r="DY89" s="196"/>
      <c r="DZ89" s="196"/>
      <c r="EA89" s="196"/>
      <c r="EB89" s="196"/>
      <c r="EC89" s="196"/>
      <c r="ED89" s="196"/>
      <c r="EE89" s="196"/>
      <c r="EF89" s="196"/>
      <c r="EG89" s="196"/>
      <c r="EH89" s="196"/>
      <c r="EI89" s="196"/>
      <c r="EJ89" s="196"/>
      <c r="EK89" s="196"/>
      <c r="EL89" s="196"/>
      <c r="EM89" s="196"/>
      <c r="EN89" s="196"/>
      <c r="EO89" s="196"/>
      <c r="EP89" s="196"/>
      <c r="EQ89" s="196"/>
      <c r="ER89" s="196"/>
      <c r="ES89" s="196"/>
      <c r="ET89" s="196"/>
      <c r="EU89" s="196"/>
      <c r="EV89" s="196"/>
      <c r="EW89" s="196"/>
      <c r="EX89" s="196"/>
      <c r="EY89" s="196"/>
      <c r="EZ89" s="196"/>
      <c r="FA89" s="196"/>
      <c r="FB89" s="196"/>
      <c r="FC89" s="196"/>
      <c r="FD89" s="196"/>
      <c r="FE89" s="196"/>
      <c r="FF89" s="196"/>
      <c r="FG89" s="196"/>
      <c r="FH89" s="196"/>
      <c r="FI89" s="196"/>
      <c r="FJ89" s="196"/>
      <c r="FK89" s="196"/>
      <c r="FL89" s="196"/>
      <c r="FM89" s="196"/>
      <c r="FN89" s="196"/>
      <c r="FO89" s="196"/>
      <c r="FP89" s="196"/>
      <c r="FQ89" s="196"/>
      <c r="FR89" s="196"/>
      <c r="FS89" s="196"/>
      <c r="FT89" s="196"/>
      <c r="FU89" s="196"/>
      <c r="FV89" s="196"/>
      <c r="FW89" s="196"/>
      <c r="FX89" s="196"/>
      <c r="FY89" s="196"/>
      <c r="FZ89" s="196"/>
      <c r="GA89" s="196"/>
      <c r="GB89" s="196"/>
      <c r="GC89" s="196"/>
      <c r="GD89" s="196"/>
      <c r="GE89" s="196"/>
      <c r="GF89" s="196"/>
      <c r="GG89" s="196"/>
      <c r="GH89" s="196"/>
      <c r="GI89" s="196"/>
      <c r="GJ89" s="196"/>
      <c r="GK89" s="196"/>
      <c r="GL89" s="196"/>
      <c r="GM89" s="196"/>
      <c r="GN89" s="196"/>
      <c r="GO89" s="196"/>
      <c r="GP89" s="196"/>
      <c r="GQ89" s="196"/>
      <c r="GR89" s="196"/>
      <c r="GS89" s="196"/>
      <c r="GT89" s="196"/>
      <c r="GU89" s="196"/>
      <c r="GV89" s="196"/>
      <c r="GW89" s="196"/>
      <c r="GX89" s="196"/>
      <c r="GY89" s="196"/>
      <c r="GZ89" s="196"/>
      <c r="HA89" s="196"/>
      <c r="HB89" s="196"/>
      <c r="HC89" s="196"/>
      <c r="HD89" s="196"/>
      <c r="HE89" s="196"/>
      <c r="HF89" s="196"/>
      <c r="HG89" s="196"/>
      <c r="HH89" s="196"/>
      <c r="HI89" s="196"/>
      <c r="HJ89" s="196"/>
      <c r="HK89" s="196"/>
      <c r="HL89" s="196"/>
      <c r="HM89" s="196"/>
      <c r="HN89" s="196"/>
      <c r="HO89" s="196"/>
      <c r="HP89" s="196"/>
      <c r="HQ89" s="196"/>
      <c r="HR89" s="196"/>
      <c r="HS89" s="196"/>
      <c r="HT89" s="196"/>
      <c r="HU89" s="196"/>
      <c r="HV89" s="196"/>
      <c r="HW89" s="196"/>
      <c r="HX89" s="196"/>
      <c r="HY89" s="196"/>
      <c r="HZ89" s="196"/>
      <c r="IA89" s="196"/>
      <c r="IB89" s="196"/>
      <c r="IC89" s="196"/>
      <c r="ID89" s="196"/>
      <c r="IE89" s="196"/>
      <c r="IF89" s="196"/>
      <c r="IG89" s="196"/>
      <c r="IH89" s="196"/>
      <c r="II89" s="196"/>
      <c r="IJ89" s="196"/>
      <c r="IK89" s="196"/>
      <c r="IL89" s="196"/>
      <c r="IM89" s="196"/>
      <c r="IN89" s="196"/>
      <c r="IO89" s="196"/>
      <c r="IP89" s="196"/>
      <c r="IQ89" s="196"/>
      <c r="IR89" s="196"/>
    </row>
    <row r="90" spans="1:252" ht="15.6">
      <c r="A90" s="196"/>
      <c r="B90" s="196"/>
      <c r="C90" s="584"/>
      <c r="D90" s="584"/>
      <c r="E90" s="584"/>
      <c r="F90" s="584"/>
      <c r="G90" s="584"/>
      <c r="H90" s="584"/>
      <c r="I90" s="584"/>
      <c r="J90" s="584"/>
      <c r="K90" s="584"/>
      <c r="L90" s="584"/>
      <c r="M90" s="584"/>
      <c r="N90" s="584"/>
      <c r="O90" s="584"/>
      <c r="P90" s="584"/>
      <c r="Q90" s="584"/>
      <c r="R90" s="579"/>
      <c r="S90" s="579"/>
      <c r="T90" s="579"/>
      <c r="U90" s="579"/>
      <c r="V90" s="579"/>
      <c r="W90" s="579"/>
      <c r="X90" s="579"/>
      <c r="Y90" s="579"/>
      <c r="Z90" s="579"/>
      <c r="AA90" s="579"/>
      <c r="AB90" s="579"/>
      <c r="AC90" s="579"/>
      <c r="AD90" s="579"/>
      <c r="AE90" s="579"/>
      <c r="AF90" s="579"/>
      <c r="AG90" s="579"/>
      <c r="AH90" s="579"/>
      <c r="AI90" s="579"/>
      <c r="AJ90" s="579"/>
      <c r="AK90" s="579"/>
      <c r="AL90" s="579"/>
      <c r="AM90" s="579"/>
      <c r="AN90" s="579"/>
      <c r="AO90" s="579"/>
      <c r="AP90" s="584"/>
      <c r="AQ90" s="584"/>
      <c r="AR90" s="584"/>
      <c r="AS90" s="584"/>
      <c r="AT90" s="584"/>
      <c r="AU90" s="584"/>
      <c r="AV90" s="584"/>
      <c r="AW90" s="584"/>
      <c r="AX90" s="584"/>
      <c r="AY90" s="584"/>
      <c r="AZ90" s="196"/>
      <c r="BA90" s="196"/>
      <c r="BB90" s="196"/>
      <c r="BC90" s="196"/>
      <c r="BD90" s="196"/>
      <c r="BE90" s="196"/>
      <c r="BF90" s="196"/>
      <c r="BG90" s="196"/>
      <c r="BH90" s="196"/>
      <c r="BI90" s="196"/>
      <c r="BJ90" s="196"/>
      <c r="BK90" s="196"/>
      <c r="BL90" s="196"/>
      <c r="BM90" s="196"/>
      <c r="BN90" s="196"/>
      <c r="BO90" s="196"/>
      <c r="BP90" s="196"/>
      <c r="BQ90" s="196"/>
      <c r="BR90" s="196"/>
      <c r="BS90" s="196"/>
      <c r="BT90" s="196"/>
      <c r="BU90" s="196"/>
      <c r="BV90" s="196"/>
      <c r="BW90" s="196"/>
      <c r="BX90" s="196"/>
      <c r="BY90" s="196"/>
      <c r="BZ90" s="196"/>
      <c r="CA90" s="196"/>
      <c r="CB90" s="196"/>
      <c r="CC90" s="196"/>
      <c r="CD90" s="196"/>
      <c r="CE90" s="196"/>
      <c r="CF90" s="196"/>
      <c r="CG90" s="196"/>
      <c r="CH90" s="196"/>
      <c r="CI90" s="196"/>
      <c r="CJ90" s="196"/>
      <c r="CK90" s="196"/>
      <c r="CL90" s="196"/>
      <c r="CM90" s="196"/>
      <c r="CN90" s="196"/>
      <c r="CO90" s="196"/>
      <c r="CP90" s="196"/>
      <c r="CQ90" s="196"/>
      <c r="CR90" s="196"/>
      <c r="CS90" s="196"/>
      <c r="CT90" s="196"/>
      <c r="CU90" s="196"/>
      <c r="CV90" s="196"/>
      <c r="CW90" s="196"/>
      <c r="CX90" s="196"/>
      <c r="CY90" s="196"/>
      <c r="CZ90" s="196"/>
      <c r="DA90" s="196"/>
      <c r="DB90" s="196"/>
      <c r="DC90" s="196"/>
      <c r="DD90" s="196"/>
      <c r="DE90" s="196"/>
      <c r="DF90" s="196"/>
      <c r="DG90" s="196"/>
      <c r="DH90" s="196"/>
      <c r="DI90" s="196"/>
      <c r="DJ90" s="196"/>
      <c r="DK90" s="196"/>
      <c r="DL90" s="196"/>
      <c r="DM90" s="196"/>
      <c r="DN90" s="196"/>
      <c r="DO90" s="196"/>
      <c r="DP90" s="196"/>
      <c r="DQ90" s="196"/>
      <c r="DR90" s="196"/>
      <c r="DS90" s="196"/>
      <c r="DT90" s="196"/>
      <c r="DU90" s="196"/>
      <c r="DV90" s="196"/>
      <c r="DW90" s="196"/>
      <c r="DX90" s="196"/>
      <c r="DY90" s="196"/>
      <c r="DZ90" s="196"/>
      <c r="EA90" s="196"/>
      <c r="EB90" s="196"/>
      <c r="EC90" s="196"/>
      <c r="ED90" s="196"/>
      <c r="EE90" s="196"/>
      <c r="EF90" s="196"/>
      <c r="EG90" s="196"/>
      <c r="EH90" s="196"/>
      <c r="EI90" s="196"/>
      <c r="EJ90" s="196"/>
      <c r="EK90" s="196"/>
      <c r="EL90" s="196"/>
      <c r="EM90" s="196"/>
      <c r="EN90" s="196"/>
      <c r="EO90" s="196"/>
      <c r="EP90" s="196"/>
      <c r="EQ90" s="196"/>
      <c r="ER90" s="196"/>
      <c r="ES90" s="196"/>
      <c r="ET90" s="196"/>
      <c r="EU90" s="196"/>
      <c r="EV90" s="196"/>
      <c r="EW90" s="196"/>
      <c r="EX90" s="196"/>
      <c r="EY90" s="196"/>
      <c r="EZ90" s="196"/>
      <c r="FA90" s="196"/>
      <c r="FB90" s="196"/>
      <c r="FC90" s="196"/>
      <c r="FD90" s="196"/>
      <c r="FE90" s="196"/>
      <c r="FF90" s="196"/>
      <c r="FG90" s="196"/>
      <c r="FH90" s="196"/>
      <c r="FI90" s="196"/>
      <c r="FJ90" s="196"/>
      <c r="FK90" s="196"/>
      <c r="FL90" s="196"/>
      <c r="FM90" s="196"/>
      <c r="FN90" s="196"/>
      <c r="FO90" s="196"/>
      <c r="FP90" s="196"/>
      <c r="FQ90" s="196"/>
      <c r="FR90" s="196"/>
      <c r="FS90" s="196"/>
      <c r="FT90" s="196"/>
      <c r="FU90" s="196"/>
      <c r="FV90" s="196"/>
      <c r="FW90" s="196"/>
      <c r="FX90" s="196"/>
      <c r="FY90" s="196"/>
      <c r="FZ90" s="196"/>
      <c r="GA90" s="196"/>
      <c r="GB90" s="196"/>
      <c r="GC90" s="196"/>
      <c r="GD90" s="196"/>
      <c r="GE90" s="196"/>
      <c r="GF90" s="196"/>
      <c r="GG90" s="196"/>
      <c r="GH90" s="196"/>
      <c r="GI90" s="196"/>
      <c r="GJ90" s="196"/>
      <c r="GK90" s="196"/>
      <c r="GL90" s="196"/>
      <c r="GM90" s="196"/>
      <c r="GN90" s="196"/>
      <c r="GO90" s="196"/>
      <c r="GP90" s="196"/>
      <c r="GQ90" s="196"/>
      <c r="GR90" s="196"/>
      <c r="GS90" s="196"/>
      <c r="GT90" s="196"/>
      <c r="GU90" s="196"/>
      <c r="GV90" s="196"/>
      <c r="GW90" s="196"/>
      <c r="GX90" s="196"/>
      <c r="GY90" s="196"/>
      <c r="GZ90" s="196"/>
      <c r="HA90" s="196"/>
      <c r="HB90" s="196"/>
      <c r="HC90" s="196"/>
      <c r="HD90" s="196"/>
      <c r="HE90" s="196"/>
      <c r="HF90" s="196"/>
      <c r="HG90" s="196"/>
      <c r="HH90" s="196"/>
      <c r="HI90" s="196"/>
      <c r="HJ90" s="196"/>
      <c r="HK90" s="196"/>
      <c r="HL90" s="196"/>
      <c r="HM90" s="196"/>
      <c r="HN90" s="196"/>
      <c r="HO90" s="196"/>
      <c r="HP90" s="196"/>
      <c r="HQ90" s="196"/>
      <c r="HR90" s="196"/>
      <c r="HS90" s="196"/>
      <c r="HT90" s="196"/>
      <c r="HU90" s="196"/>
      <c r="HV90" s="196"/>
      <c r="HW90" s="196"/>
      <c r="HX90" s="196"/>
      <c r="HY90" s="196"/>
      <c r="HZ90" s="196"/>
      <c r="IA90" s="196"/>
      <c r="IB90" s="196"/>
      <c r="IC90" s="196"/>
      <c r="ID90" s="196"/>
      <c r="IE90" s="196"/>
      <c r="IF90" s="196"/>
      <c r="IG90" s="196"/>
      <c r="IH90" s="196"/>
      <c r="II90" s="196"/>
      <c r="IJ90" s="196"/>
      <c r="IK90" s="196"/>
      <c r="IL90" s="196"/>
      <c r="IM90" s="196"/>
      <c r="IN90" s="196"/>
      <c r="IO90" s="196"/>
      <c r="IP90" s="196"/>
      <c r="IQ90" s="196"/>
      <c r="IR90" s="196"/>
    </row>
    <row r="91" spans="1:252" ht="15.6">
      <c r="A91" s="196"/>
      <c r="B91" s="196"/>
      <c r="C91" s="584"/>
      <c r="D91" s="584"/>
      <c r="E91" s="584"/>
      <c r="F91" s="584"/>
      <c r="G91" s="584"/>
      <c r="H91" s="584"/>
      <c r="I91" s="584"/>
      <c r="J91" s="584"/>
      <c r="K91" s="584"/>
      <c r="L91" s="584"/>
      <c r="M91" s="584"/>
      <c r="N91" s="584"/>
      <c r="O91" s="584"/>
      <c r="P91" s="584"/>
      <c r="Q91" s="584"/>
      <c r="R91" s="579"/>
      <c r="S91" s="579"/>
      <c r="T91" s="579"/>
      <c r="U91" s="579"/>
      <c r="V91" s="579"/>
      <c r="W91" s="579"/>
      <c r="X91" s="579"/>
      <c r="Y91" s="579"/>
      <c r="Z91" s="579"/>
      <c r="AA91" s="579"/>
      <c r="AB91" s="579"/>
      <c r="AC91" s="579"/>
      <c r="AD91" s="579"/>
      <c r="AE91" s="579"/>
      <c r="AF91" s="579"/>
      <c r="AG91" s="579"/>
      <c r="AH91" s="579"/>
      <c r="AI91" s="579"/>
      <c r="AJ91" s="579"/>
      <c r="AK91" s="579"/>
      <c r="AL91" s="579"/>
      <c r="AM91" s="579"/>
      <c r="AN91" s="579"/>
      <c r="AO91" s="579"/>
      <c r="AP91" s="584"/>
      <c r="AQ91" s="584"/>
      <c r="AR91" s="584"/>
      <c r="AS91" s="584"/>
      <c r="AT91" s="584"/>
      <c r="AU91" s="584"/>
      <c r="AV91" s="584"/>
      <c r="AW91" s="584"/>
      <c r="AX91" s="584"/>
      <c r="AY91" s="584"/>
      <c r="AZ91" s="196"/>
      <c r="BA91" s="196"/>
      <c r="BB91" s="196"/>
      <c r="BC91" s="196"/>
      <c r="BD91" s="196"/>
      <c r="BE91" s="196"/>
      <c r="BF91" s="196"/>
      <c r="BG91" s="196"/>
      <c r="BH91" s="196"/>
      <c r="BI91" s="196"/>
      <c r="BJ91" s="196"/>
      <c r="BK91" s="196"/>
      <c r="BL91" s="196"/>
      <c r="BM91" s="196"/>
      <c r="BN91" s="196"/>
      <c r="BO91" s="196"/>
      <c r="BP91" s="196"/>
      <c r="BQ91" s="196"/>
      <c r="BR91" s="196"/>
      <c r="BS91" s="196"/>
      <c r="BT91" s="196"/>
      <c r="BU91" s="196"/>
      <c r="BV91" s="196"/>
      <c r="BW91" s="196"/>
      <c r="BX91" s="196"/>
      <c r="BY91" s="196"/>
      <c r="BZ91" s="196"/>
      <c r="CA91" s="196"/>
      <c r="CB91" s="196"/>
      <c r="CC91" s="196"/>
      <c r="CD91" s="196"/>
      <c r="CE91" s="196"/>
      <c r="CF91" s="196"/>
      <c r="CG91" s="196"/>
      <c r="CH91" s="196"/>
      <c r="CI91" s="196"/>
      <c r="CJ91" s="196"/>
      <c r="CK91" s="196"/>
      <c r="CL91" s="196"/>
      <c r="CM91" s="196"/>
      <c r="CN91" s="196"/>
      <c r="CO91" s="196"/>
      <c r="CP91" s="196"/>
      <c r="CQ91" s="196"/>
      <c r="CR91" s="196"/>
      <c r="CS91" s="196"/>
      <c r="CT91" s="196"/>
      <c r="CU91" s="196"/>
      <c r="CV91" s="196"/>
      <c r="CW91" s="196"/>
      <c r="CX91" s="196"/>
      <c r="CY91" s="196"/>
      <c r="CZ91" s="196"/>
      <c r="DA91" s="196"/>
      <c r="DB91" s="196"/>
      <c r="DC91" s="196"/>
      <c r="DD91" s="196"/>
      <c r="DE91" s="196"/>
      <c r="DF91" s="196"/>
      <c r="DG91" s="196"/>
      <c r="DH91" s="196"/>
      <c r="DI91" s="196"/>
      <c r="DJ91" s="196"/>
      <c r="DK91" s="196"/>
      <c r="DL91" s="196"/>
      <c r="DM91" s="196"/>
      <c r="DN91" s="196"/>
      <c r="DO91" s="196"/>
      <c r="DP91" s="196"/>
      <c r="DQ91" s="196"/>
      <c r="DR91" s="196"/>
      <c r="DS91" s="196"/>
      <c r="DT91" s="196"/>
      <c r="DU91" s="196"/>
      <c r="DV91" s="196"/>
      <c r="DW91" s="196"/>
      <c r="DX91" s="196"/>
      <c r="DY91" s="196"/>
      <c r="DZ91" s="196"/>
      <c r="EA91" s="196"/>
      <c r="EB91" s="196"/>
      <c r="EC91" s="196"/>
      <c r="ED91" s="196"/>
      <c r="EE91" s="196"/>
      <c r="EF91" s="196"/>
      <c r="EG91" s="196"/>
      <c r="EH91" s="196"/>
      <c r="EI91" s="196"/>
      <c r="EJ91" s="196"/>
      <c r="EK91" s="196"/>
      <c r="EL91" s="196"/>
      <c r="EM91" s="196"/>
      <c r="EN91" s="196"/>
      <c r="EO91" s="196"/>
      <c r="EP91" s="196"/>
      <c r="EQ91" s="196"/>
      <c r="ER91" s="196"/>
      <c r="ES91" s="196"/>
      <c r="ET91" s="196"/>
      <c r="EU91" s="196"/>
      <c r="EV91" s="196"/>
      <c r="EW91" s="196"/>
      <c r="EX91" s="196"/>
      <c r="EY91" s="196"/>
      <c r="EZ91" s="196"/>
      <c r="FA91" s="196"/>
      <c r="FB91" s="196"/>
      <c r="FC91" s="196"/>
      <c r="FD91" s="196"/>
      <c r="FE91" s="196"/>
      <c r="FF91" s="196"/>
      <c r="FG91" s="196"/>
      <c r="FH91" s="196"/>
      <c r="FI91" s="196"/>
      <c r="FJ91" s="196"/>
      <c r="FK91" s="196"/>
      <c r="FL91" s="196"/>
      <c r="FM91" s="196"/>
      <c r="FN91" s="196"/>
      <c r="FO91" s="196"/>
      <c r="FP91" s="196"/>
      <c r="FQ91" s="196"/>
      <c r="FR91" s="196"/>
      <c r="FS91" s="196"/>
      <c r="FT91" s="196"/>
      <c r="FU91" s="196"/>
      <c r="FV91" s="196"/>
      <c r="FW91" s="196"/>
      <c r="FX91" s="196"/>
      <c r="FY91" s="196"/>
      <c r="FZ91" s="196"/>
      <c r="GA91" s="196"/>
      <c r="GB91" s="196"/>
      <c r="GC91" s="196"/>
      <c r="GD91" s="196"/>
      <c r="GE91" s="196"/>
      <c r="GF91" s="196"/>
      <c r="GG91" s="196"/>
      <c r="GH91" s="196"/>
      <c r="GI91" s="196"/>
      <c r="GJ91" s="196"/>
      <c r="GK91" s="196"/>
      <c r="GL91" s="196"/>
      <c r="GM91" s="196"/>
      <c r="GN91" s="196"/>
      <c r="GO91" s="196"/>
      <c r="GP91" s="196"/>
      <c r="GQ91" s="196"/>
      <c r="GR91" s="196"/>
      <c r="GS91" s="196"/>
      <c r="GT91" s="196"/>
      <c r="GU91" s="196"/>
      <c r="GV91" s="196"/>
      <c r="GW91" s="196"/>
      <c r="GX91" s="196"/>
      <c r="GY91" s="196"/>
      <c r="GZ91" s="196"/>
      <c r="HA91" s="196"/>
      <c r="HB91" s="196"/>
      <c r="HC91" s="196"/>
      <c r="HD91" s="196"/>
      <c r="HE91" s="196"/>
      <c r="HF91" s="196"/>
      <c r="HG91" s="196"/>
      <c r="HH91" s="196"/>
      <c r="HI91" s="196"/>
      <c r="HJ91" s="196"/>
      <c r="HK91" s="196"/>
      <c r="HL91" s="196"/>
      <c r="HM91" s="196"/>
      <c r="HN91" s="196"/>
      <c r="HO91" s="196"/>
      <c r="HP91" s="196"/>
      <c r="HQ91" s="196"/>
      <c r="HR91" s="196"/>
      <c r="HS91" s="196"/>
      <c r="HT91" s="196"/>
      <c r="HU91" s="196"/>
      <c r="HV91" s="196"/>
      <c r="HW91" s="196"/>
      <c r="HX91" s="196"/>
      <c r="HY91" s="196"/>
      <c r="HZ91" s="196"/>
      <c r="IA91" s="196"/>
      <c r="IB91" s="196"/>
      <c r="IC91" s="196"/>
      <c r="ID91" s="196"/>
      <c r="IE91" s="196"/>
      <c r="IF91" s="196"/>
      <c r="IG91" s="196"/>
      <c r="IH91" s="196"/>
      <c r="II91" s="196"/>
      <c r="IJ91" s="196"/>
      <c r="IK91" s="196"/>
      <c r="IL91" s="196"/>
      <c r="IM91" s="196"/>
      <c r="IN91" s="196"/>
      <c r="IO91" s="196"/>
      <c r="IP91" s="196"/>
      <c r="IQ91" s="196"/>
      <c r="IR91" s="196"/>
    </row>
    <row r="92" spans="1:252" ht="15.6">
      <c r="A92" s="196"/>
      <c r="B92" s="196"/>
      <c r="C92" s="584"/>
      <c r="D92" s="584"/>
      <c r="E92" s="584"/>
      <c r="F92" s="584"/>
      <c r="G92" s="584"/>
      <c r="H92" s="584"/>
      <c r="I92" s="584"/>
      <c r="J92" s="584"/>
      <c r="K92" s="584"/>
      <c r="L92" s="584"/>
      <c r="M92" s="584"/>
      <c r="N92" s="584"/>
      <c r="O92" s="584"/>
      <c r="P92" s="584"/>
      <c r="Q92" s="584"/>
      <c r="R92" s="579"/>
      <c r="S92" s="579"/>
      <c r="T92" s="579"/>
      <c r="U92" s="579"/>
      <c r="V92" s="579"/>
      <c r="W92" s="579"/>
      <c r="X92" s="579"/>
      <c r="Y92" s="579"/>
      <c r="Z92" s="579"/>
      <c r="AA92" s="579"/>
      <c r="AB92" s="579"/>
      <c r="AC92" s="579"/>
      <c r="AD92" s="579"/>
      <c r="AE92" s="579"/>
      <c r="AF92" s="579"/>
      <c r="AG92" s="579"/>
      <c r="AH92" s="579"/>
      <c r="AI92" s="579"/>
      <c r="AJ92" s="579"/>
      <c r="AK92" s="579"/>
      <c r="AL92" s="579"/>
      <c r="AM92" s="579"/>
      <c r="AN92" s="579"/>
      <c r="AO92" s="579"/>
      <c r="AP92" s="584"/>
      <c r="AQ92" s="584"/>
      <c r="AR92" s="584"/>
      <c r="AS92" s="584"/>
      <c r="AT92" s="584"/>
      <c r="AU92" s="584"/>
      <c r="AV92" s="584"/>
      <c r="AW92" s="584"/>
      <c r="AX92" s="584"/>
      <c r="AY92" s="584"/>
      <c r="AZ92" s="196"/>
      <c r="BA92" s="196"/>
      <c r="BB92" s="196"/>
      <c r="BC92" s="196"/>
      <c r="BD92" s="196"/>
      <c r="BE92" s="196"/>
      <c r="BF92" s="196"/>
      <c r="BG92" s="196"/>
      <c r="BH92" s="196"/>
      <c r="BI92" s="196"/>
      <c r="BJ92" s="196"/>
      <c r="BK92" s="196"/>
      <c r="BL92" s="196"/>
      <c r="BM92" s="196"/>
      <c r="BN92" s="196"/>
      <c r="BO92" s="196"/>
      <c r="BP92" s="196"/>
      <c r="BQ92" s="196"/>
      <c r="BR92" s="196"/>
      <c r="BS92" s="196"/>
      <c r="BT92" s="196"/>
      <c r="BU92" s="196"/>
      <c r="BV92" s="196"/>
      <c r="BW92" s="196"/>
      <c r="BX92" s="196"/>
      <c r="BY92" s="196"/>
      <c r="BZ92" s="196"/>
      <c r="CA92" s="196"/>
      <c r="CB92" s="196"/>
      <c r="CC92" s="196"/>
      <c r="CD92" s="196"/>
      <c r="CE92" s="196"/>
      <c r="CF92" s="196"/>
      <c r="CG92" s="196"/>
      <c r="CH92" s="196"/>
      <c r="CI92" s="196"/>
      <c r="CJ92" s="196"/>
      <c r="CK92" s="196"/>
      <c r="CL92" s="196"/>
      <c r="CM92" s="196"/>
      <c r="CN92" s="196"/>
      <c r="CO92" s="196"/>
      <c r="CP92" s="196"/>
      <c r="CQ92" s="196"/>
      <c r="CR92" s="196"/>
      <c r="CS92" s="196"/>
      <c r="CT92" s="196"/>
      <c r="CU92" s="196"/>
      <c r="CV92" s="196"/>
      <c r="CW92" s="196"/>
      <c r="CX92" s="196"/>
      <c r="CY92" s="196"/>
      <c r="CZ92" s="196"/>
      <c r="DA92" s="196"/>
      <c r="DB92" s="196"/>
      <c r="DC92" s="196"/>
      <c r="DD92" s="196"/>
      <c r="DE92" s="196"/>
      <c r="DF92" s="196"/>
      <c r="DG92" s="196"/>
      <c r="DH92" s="196"/>
      <c r="DI92" s="196"/>
      <c r="DJ92" s="196"/>
      <c r="DK92" s="196"/>
      <c r="DL92" s="196"/>
      <c r="DM92" s="196"/>
      <c r="DN92" s="196"/>
      <c r="DO92" s="196"/>
      <c r="DP92" s="196"/>
      <c r="DQ92" s="196"/>
      <c r="DR92" s="196"/>
      <c r="DS92" s="196"/>
      <c r="DT92" s="196"/>
      <c r="DU92" s="196"/>
      <c r="DV92" s="196"/>
      <c r="DW92" s="196"/>
      <c r="DX92" s="196"/>
      <c r="DY92" s="196"/>
      <c r="DZ92" s="196"/>
      <c r="EA92" s="196"/>
      <c r="EB92" s="196"/>
      <c r="EC92" s="196"/>
      <c r="ED92" s="196"/>
      <c r="EE92" s="196"/>
      <c r="EF92" s="196"/>
      <c r="EG92" s="196"/>
      <c r="EH92" s="196"/>
      <c r="EI92" s="196"/>
      <c r="EJ92" s="196"/>
      <c r="EK92" s="196"/>
      <c r="EL92" s="196"/>
      <c r="EM92" s="196"/>
      <c r="EN92" s="196"/>
      <c r="EO92" s="196"/>
      <c r="EP92" s="196"/>
      <c r="EQ92" s="196"/>
      <c r="ER92" s="196"/>
      <c r="ES92" s="196"/>
      <c r="ET92" s="196"/>
      <c r="EU92" s="196"/>
      <c r="EV92" s="196"/>
      <c r="EW92" s="196"/>
      <c r="EX92" s="196"/>
      <c r="EY92" s="196"/>
      <c r="EZ92" s="196"/>
      <c r="FA92" s="196"/>
      <c r="FB92" s="196"/>
      <c r="FC92" s="196"/>
      <c r="FD92" s="196"/>
      <c r="FE92" s="196"/>
      <c r="FF92" s="196"/>
      <c r="FG92" s="196"/>
      <c r="FH92" s="196"/>
      <c r="FI92" s="196"/>
      <c r="FJ92" s="196"/>
      <c r="FK92" s="196"/>
      <c r="FL92" s="196"/>
      <c r="FM92" s="196"/>
      <c r="FN92" s="196"/>
      <c r="FO92" s="196"/>
      <c r="FP92" s="196"/>
      <c r="FQ92" s="196"/>
      <c r="FR92" s="196"/>
      <c r="FS92" s="196"/>
      <c r="FT92" s="196"/>
      <c r="FU92" s="196"/>
      <c r="FV92" s="196"/>
      <c r="FW92" s="196"/>
      <c r="FX92" s="196"/>
      <c r="FY92" s="196"/>
      <c r="FZ92" s="196"/>
      <c r="GA92" s="196"/>
      <c r="GB92" s="196"/>
      <c r="GC92" s="196"/>
      <c r="GD92" s="196"/>
      <c r="GE92" s="196"/>
      <c r="GF92" s="196"/>
      <c r="GG92" s="196"/>
      <c r="GH92" s="196"/>
      <c r="GI92" s="196"/>
      <c r="GJ92" s="196"/>
      <c r="GK92" s="196"/>
      <c r="GL92" s="196"/>
      <c r="GM92" s="196"/>
      <c r="GN92" s="196"/>
      <c r="GO92" s="196"/>
      <c r="GP92" s="196"/>
      <c r="GQ92" s="196"/>
      <c r="GR92" s="196"/>
      <c r="GS92" s="196"/>
      <c r="GT92" s="196"/>
      <c r="GU92" s="196"/>
      <c r="GV92" s="196"/>
      <c r="GW92" s="196"/>
      <c r="GX92" s="196"/>
      <c r="GY92" s="196"/>
      <c r="GZ92" s="196"/>
      <c r="HA92" s="196"/>
      <c r="HB92" s="196"/>
      <c r="HC92" s="196"/>
      <c r="HD92" s="196"/>
      <c r="HE92" s="196"/>
      <c r="HF92" s="196"/>
      <c r="HG92" s="196"/>
      <c r="HH92" s="196"/>
      <c r="HI92" s="196"/>
      <c r="HJ92" s="196"/>
      <c r="HK92" s="196"/>
      <c r="HL92" s="196"/>
      <c r="HM92" s="196"/>
      <c r="HN92" s="196"/>
      <c r="HO92" s="196"/>
      <c r="HP92" s="196"/>
      <c r="HQ92" s="196"/>
      <c r="HR92" s="196"/>
      <c r="HS92" s="196"/>
      <c r="HT92" s="196"/>
      <c r="HU92" s="196"/>
      <c r="HV92" s="196"/>
      <c r="HW92" s="196"/>
      <c r="HX92" s="196"/>
      <c r="HY92" s="196"/>
      <c r="HZ92" s="196"/>
      <c r="IA92" s="196"/>
      <c r="IB92" s="196"/>
      <c r="IC92" s="196"/>
      <c r="ID92" s="196"/>
      <c r="IE92" s="196"/>
      <c r="IF92" s="196"/>
      <c r="IG92" s="196"/>
      <c r="IH92" s="196"/>
      <c r="II92" s="196"/>
      <c r="IJ92" s="196"/>
      <c r="IK92" s="196"/>
      <c r="IL92" s="196"/>
      <c r="IM92" s="196"/>
      <c r="IN92" s="196"/>
      <c r="IO92" s="196"/>
      <c r="IP92" s="196"/>
      <c r="IQ92" s="196"/>
      <c r="IR92" s="196"/>
    </row>
    <row r="93" spans="1:252" ht="15.6">
      <c r="A93" s="196"/>
      <c r="B93" s="196"/>
      <c r="C93" s="584"/>
      <c r="D93" s="584"/>
      <c r="E93" s="584"/>
      <c r="F93" s="584"/>
      <c r="G93" s="584"/>
      <c r="H93" s="584"/>
      <c r="I93" s="584"/>
      <c r="J93" s="584"/>
      <c r="K93" s="584"/>
      <c r="L93" s="584"/>
      <c r="M93" s="584"/>
      <c r="N93" s="584"/>
      <c r="O93" s="584"/>
      <c r="P93" s="584"/>
      <c r="Q93" s="584"/>
      <c r="R93" s="579"/>
      <c r="S93" s="579"/>
      <c r="T93" s="579"/>
      <c r="U93" s="579"/>
      <c r="V93" s="579"/>
      <c r="W93" s="579"/>
      <c r="X93" s="579"/>
      <c r="Y93" s="579"/>
      <c r="Z93" s="579"/>
      <c r="AA93" s="579"/>
      <c r="AB93" s="579"/>
      <c r="AC93" s="579"/>
      <c r="AD93" s="579"/>
      <c r="AE93" s="579"/>
      <c r="AF93" s="579"/>
      <c r="AG93" s="579"/>
      <c r="AH93" s="579"/>
      <c r="AI93" s="579"/>
      <c r="AJ93" s="579"/>
      <c r="AK93" s="579"/>
      <c r="AL93" s="579"/>
      <c r="AM93" s="579"/>
      <c r="AN93" s="579"/>
      <c r="AO93" s="579"/>
      <c r="AP93" s="584"/>
      <c r="AQ93" s="584"/>
      <c r="AR93" s="584"/>
      <c r="AS93" s="584"/>
      <c r="AT93" s="584"/>
      <c r="AU93" s="584"/>
      <c r="AV93" s="584"/>
      <c r="AW93" s="584"/>
      <c r="AX93" s="584"/>
      <c r="AY93" s="584"/>
      <c r="AZ93" s="196"/>
      <c r="BA93" s="196"/>
      <c r="BB93" s="196"/>
      <c r="BC93" s="196"/>
      <c r="BD93" s="196"/>
      <c r="BE93" s="196"/>
      <c r="BF93" s="196"/>
      <c r="BG93" s="196"/>
      <c r="BH93" s="196"/>
      <c r="BI93" s="196"/>
      <c r="BJ93" s="196"/>
      <c r="BK93" s="196"/>
      <c r="BL93" s="196"/>
      <c r="BM93" s="196"/>
      <c r="BN93" s="196"/>
      <c r="BO93" s="196"/>
      <c r="BP93" s="196"/>
      <c r="BQ93" s="196"/>
      <c r="BR93" s="196"/>
      <c r="BS93" s="196"/>
      <c r="BT93" s="196"/>
      <c r="BU93" s="196"/>
      <c r="BV93" s="196"/>
      <c r="BW93" s="196"/>
      <c r="BX93" s="196"/>
      <c r="BY93" s="196"/>
      <c r="BZ93" s="196"/>
      <c r="CA93" s="196"/>
      <c r="CB93" s="196"/>
      <c r="CC93" s="196"/>
      <c r="CD93" s="196"/>
      <c r="CE93" s="196"/>
      <c r="CF93" s="196"/>
      <c r="CG93" s="196"/>
      <c r="CH93" s="196"/>
      <c r="CI93" s="196"/>
      <c r="CJ93" s="196"/>
      <c r="CK93" s="196"/>
      <c r="CL93" s="196"/>
      <c r="CM93" s="196"/>
      <c r="CN93" s="196"/>
      <c r="CO93" s="196"/>
      <c r="CP93" s="196"/>
      <c r="CQ93" s="196"/>
      <c r="CR93" s="196"/>
      <c r="CS93" s="196"/>
      <c r="CT93" s="196"/>
      <c r="CU93" s="196"/>
      <c r="CV93" s="196"/>
      <c r="CW93" s="196"/>
      <c r="CX93" s="196"/>
      <c r="CY93" s="196"/>
      <c r="CZ93" s="196"/>
      <c r="DA93" s="196"/>
      <c r="DB93" s="196"/>
      <c r="DC93" s="196"/>
      <c r="DD93" s="196"/>
      <c r="DE93" s="196"/>
      <c r="DF93" s="196"/>
      <c r="DG93" s="196"/>
      <c r="DH93" s="196"/>
      <c r="DI93" s="196"/>
      <c r="DJ93" s="196"/>
      <c r="DK93" s="196"/>
      <c r="DL93" s="196"/>
      <c r="DM93" s="196"/>
      <c r="DN93" s="196"/>
      <c r="DO93" s="196"/>
      <c r="DP93" s="196"/>
      <c r="DQ93" s="196"/>
      <c r="DR93" s="196"/>
      <c r="DS93" s="196"/>
      <c r="DT93" s="196"/>
      <c r="DU93" s="196"/>
      <c r="DV93" s="196"/>
      <c r="DW93" s="196"/>
      <c r="DX93" s="196"/>
      <c r="DY93" s="196"/>
      <c r="DZ93" s="196"/>
      <c r="EA93" s="196"/>
      <c r="EB93" s="196"/>
      <c r="EC93" s="196"/>
      <c r="ED93" s="196"/>
      <c r="EE93" s="196"/>
      <c r="EF93" s="196"/>
      <c r="EG93" s="196"/>
      <c r="EH93" s="196"/>
      <c r="EI93" s="196"/>
      <c r="EJ93" s="196"/>
      <c r="EK93" s="196"/>
      <c r="EL93" s="196"/>
      <c r="EM93" s="196"/>
      <c r="EN93" s="196"/>
      <c r="EO93" s="196"/>
      <c r="EP93" s="196"/>
      <c r="EQ93" s="196"/>
      <c r="ER93" s="196"/>
      <c r="ES93" s="196"/>
      <c r="ET93" s="196"/>
      <c r="EU93" s="196"/>
      <c r="EV93" s="196"/>
      <c r="EW93" s="196"/>
      <c r="EX93" s="196"/>
      <c r="EY93" s="196"/>
      <c r="EZ93" s="196"/>
      <c r="FA93" s="196"/>
      <c r="FB93" s="196"/>
      <c r="FC93" s="196"/>
      <c r="FD93" s="196"/>
      <c r="FE93" s="196"/>
      <c r="FF93" s="196"/>
      <c r="FG93" s="196"/>
      <c r="FH93" s="196"/>
      <c r="FI93" s="196"/>
      <c r="FJ93" s="196"/>
      <c r="FK93" s="196"/>
      <c r="FL93" s="196"/>
      <c r="FM93" s="196"/>
      <c r="FN93" s="196"/>
      <c r="FO93" s="196"/>
      <c r="FP93" s="196"/>
      <c r="FQ93" s="196"/>
      <c r="FR93" s="196"/>
      <c r="FS93" s="196"/>
      <c r="FT93" s="196"/>
      <c r="FU93" s="196"/>
      <c r="FV93" s="196"/>
      <c r="FW93" s="196"/>
      <c r="FX93" s="196"/>
      <c r="FY93" s="196"/>
      <c r="FZ93" s="196"/>
      <c r="GA93" s="196"/>
      <c r="GB93" s="196"/>
      <c r="GC93" s="196"/>
      <c r="GD93" s="196"/>
      <c r="GE93" s="196"/>
      <c r="GF93" s="196"/>
      <c r="GG93" s="196"/>
      <c r="GH93" s="196"/>
      <c r="GI93" s="196"/>
      <c r="GJ93" s="196"/>
      <c r="GK93" s="196"/>
      <c r="GL93" s="196"/>
      <c r="GM93" s="196"/>
      <c r="GN93" s="196"/>
      <c r="GO93" s="196"/>
      <c r="GP93" s="196"/>
      <c r="GQ93" s="196"/>
      <c r="GR93" s="196"/>
      <c r="GS93" s="196"/>
      <c r="GT93" s="196"/>
      <c r="GU93" s="196"/>
      <c r="GV93" s="196"/>
      <c r="GW93" s="196"/>
      <c r="GX93" s="196"/>
      <c r="GY93" s="196"/>
      <c r="GZ93" s="196"/>
      <c r="HA93" s="196"/>
      <c r="HB93" s="196"/>
      <c r="HC93" s="196"/>
      <c r="HD93" s="196"/>
      <c r="HE93" s="196"/>
      <c r="HF93" s="196"/>
      <c r="HG93" s="196"/>
      <c r="HH93" s="196"/>
      <c r="HI93" s="196"/>
      <c r="HJ93" s="196"/>
      <c r="HK93" s="196"/>
      <c r="HL93" s="196"/>
      <c r="HM93" s="196"/>
      <c r="HN93" s="196"/>
      <c r="HO93" s="196"/>
      <c r="HP93" s="196"/>
      <c r="HQ93" s="196"/>
      <c r="HR93" s="196"/>
      <c r="HS93" s="196"/>
      <c r="HT93" s="196"/>
      <c r="HU93" s="196"/>
      <c r="HV93" s="196"/>
      <c r="HW93" s="196"/>
      <c r="HX93" s="196"/>
      <c r="HY93" s="196"/>
      <c r="HZ93" s="196"/>
      <c r="IA93" s="196"/>
      <c r="IB93" s="196"/>
      <c r="IC93" s="196"/>
      <c r="ID93" s="196"/>
      <c r="IE93" s="196"/>
      <c r="IF93" s="196"/>
      <c r="IG93" s="196"/>
      <c r="IH93" s="196"/>
      <c r="II93" s="196"/>
      <c r="IJ93" s="196"/>
      <c r="IK93" s="196"/>
      <c r="IL93" s="196"/>
      <c r="IM93" s="196"/>
      <c r="IN93" s="196"/>
      <c r="IO93" s="196"/>
      <c r="IP93" s="196"/>
      <c r="IQ93" s="196"/>
      <c r="IR93" s="196"/>
    </row>
    <row r="94" spans="1:252" ht="15.6">
      <c r="A94" s="196"/>
      <c r="B94" s="196"/>
      <c r="C94" s="584"/>
      <c r="D94" s="584"/>
      <c r="E94" s="584"/>
      <c r="F94" s="584"/>
      <c r="G94" s="584"/>
      <c r="H94" s="584"/>
      <c r="I94" s="584"/>
      <c r="J94" s="584"/>
      <c r="K94" s="584"/>
      <c r="L94" s="584"/>
      <c r="M94" s="584"/>
      <c r="N94" s="584"/>
      <c r="O94" s="584"/>
      <c r="P94" s="584"/>
      <c r="Q94" s="584"/>
      <c r="R94" s="579"/>
      <c r="S94" s="579"/>
      <c r="T94" s="579"/>
      <c r="U94" s="579"/>
      <c r="V94" s="579"/>
      <c r="W94" s="579"/>
      <c r="X94" s="579"/>
      <c r="Y94" s="579"/>
      <c r="Z94" s="579"/>
      <c r="AA94" s="579"/>
      <c r="AB94" s="579"/>
      <c r="AC94" s="579"/>
      <c r="AD94" s="579"/>
      <c r="AE94" s="579"/>
      <c r="AF94" s="579"/>
      <c r="AG94" s="579"/>
      <c r="AH94" s="579"/>
      <c r="AI94" s="579"/>
      <c r="AJ94" s="579"/>
      <c r="AK94" s="579"/>
      <c r="AL94" s="579"/>
      <c r="AM94" s="579"/>
      <c r="AN94" s="579"/>
      <c r="AO94" s="579"/>
      <c r="AP94" s="584"/>
      <c r="AQ94" s="584"/>
      <c r="AR94" s="584"/>
      <c r="AS94" s="584"/>
      <c r="AT94" s="584"/>
      <c r="AU94" s="584"/>
      <c r="AV94" s="584"/>
      <c r="AW94" s="584"/>
      <c r="AX94" s="584"/>
      <c r="AY94" s="584"/>
      <c r="AZ94" s="196"/>
      <c r="BA94" s="196"/>
      <c r="BB94" s="196"/>
      <c r="BC94" s="196"/>
      <c r="BD94" s="196"/>
      <c r="BE94" s="196"/>
      <c r="BF94" s="196"/>
      <c r="BG94" s="196"/>
      <c r="BH94" s="196"/>
      <c r="BI94" s="196"/>
      <c r="BJ94" s="196"/>
      <c r="BK94" s="196"/>
      <c r="BL94" s="196"/>
      <c r="BM94" s="196"/>
      <c r="BN94" s="196"/>
      <c r="BO94" s="196"/>
      <c r="BP94" s="196"/>
      <c r="BQ94" s="196"/>
      <c r="BR94" s="196"/>
      <c r="BS94" s="196"/>
      <c r="BT94" s="196"/>
      <c r="BU94" s="196"/>
      <c r="BV94" s="196"/>
      <c r="BW94" s="196"/>
      <c r="BX94" s="196"/>
      <c r="BY94" s="196"/>
      <c r="BZ94" s="196"/>
      <c r="CA94" s="196"/>
      <c r="CB94" s="196"/>
      <c r="CC94" s="196"/>
      <c r="CD94" s="196"/>
      <c r="CE94" s="196"/>
      <c r="CF94" s="196"/>
      <c r="CG94" s="196"/>
      <c r="CH94" s="196"/>
      <c r="CI94" s="196"/>
      <c r="CJ94" s="196"/>
      <c r="CK94" s="196"/>
      <c r="CL94" s="196"/>
      <c r="CM94" s="196"/>
      <c r="CN94" s="196"/>
      <c r="CO94" s="196"/>
      <c r="CP94" s="196"/>
      <c r="CQ94" s="196"/>
      <c r="CR94" s="196"/>
      <c r="CS94" s="196"/>
      <c r="CT94" s="196"/>
      <c r="CU94" s="196"/>
      <c r="CV94" s="196"/>
      <c r="CW94" s="196"/>
      <c r="CX94" s="196"/>
      <c r="CY94" s="196"/>
      <c r="CZ94" s="196"/>
      <c r="DA94" s="196"/>
      <c r="DB94" s="196"/>
      <c r="DC94" s="196"/>
      <c r="DD94" s="196"/>
      <c r="DE94" s="196"/>
      <c r="DF94" s="196"/>
      <c r="DG94" s="196"/>
      <c r="DH94" s="196"/>
      <c r="DI94" s="196"/>
      <c r="DJ94" s="196"/>
      <c r="DK94" s="196"/>
      <c r="DL94" s="196"/>
      <c r="DM94" s="196"/>
      <c r="DN94" s="196"/>
      <c r="DO94" s="196"/>
      <c r="DP94" s="196"/>
      <c r="DQ94" s="196"/>
      <c r="DR94" s="196"/>
      <c r="DS94" s="196"/>
      <c r="DT94" s="196"/>
      <c r="DU94" s="196"/>
      <c r="DV94" s="196"/>
      <c r="DW94" s="196"/>
      <c r="DX94" s="196"/>
      <c r="DY94" s="196"/>
      <c r="DZ94" s="196"/>
      <c r="EA94" s="196"/>
      <c r="EB94" s="196"/>
      <c r="EC94" s="196"/>
      <c r="ED94" s="196"/>
      <c r="EE94" s="196"/>
      <c r="EF94" s="196"/>
      <c r="EG94" s="196"/>
      <c r="EH94" s="196"/>
      <c r="EI94" s="196"/>
      <c r="EJ94" s="196"/>
      <c r="EK94" s="196"/>
      <c r="EL94" s="196"/>
      <c r="EM94" s="196"/>
      <c r="EN94" s="196"/>
      <c r="EO94" s="196"/>
      <c r="EP94" s="196"/>
      <c r="EQ94" s="196"/>
      <c r="ER94" s="196"/>
      <c r="ES94" s="196"/>
      <c r="ET94" s="196"/>
      <c r="EU94" s="196"/>
      <c r="EV94" s="196"/>
      <c r="EW94" s="196"/>
      <c r="EX94" s="196"/>
      <c r="EY94" s="196"/>
      <c r="EZ94" s="196"/>
      <c r="FA94" s="196"/>
      <c r="FB94" s="196"/>
      <c r="FC94" s="196"/>
      <c r="FD94" s="196"/>
      <c r="FE94" s="196"/>
      <c r="FF94" s="196"/>
      <c r="FG94" s="196"/>
      <c r="FH94" s="196"/>
      <c r="FI94" s="196"/>
      <c r="FJ94" s="196"/>
      <c r="FK94" s="196"/>
      <c r="FL94" s="196"/>
      <c r="FM94" s="196"/>
      <c r="FN94" s="196"/>
      <c r="FO94" s="196"/>
      <c r="FP94" s="196"/>
      <c r="FQ94" s="196"/>
      <c r="FR94" s="196"/>
      <c r="FS94" s="196"/>
      <c r="FT94" s="196"/>
      <c r="FU94" s="196"/>
      <c r="FV94" s="196"/>
      <c r="FW94" s="196"/>
      <c r="FX94" s="196"/>
      <c r="FY94" s="196"/>
      <c r="FZ94" s="196"/>
      <c r="GA94" s="196"/>
      <c r="GB94" s="196"/>
      <c r="GC94" s="196"/>
      <c r="GD94" s="196"/>
      <c r="GE94" s="196"/>
      <c r="GF94" s="196"/>
      <c r="GG94" s="196"/>
      <c r="GH94" s="196"/>
      <c r="GI94" s="196"/>
      <c r="GJ94" s="196"/>
      <c r="GK94" s="196"/>
      <c r="GL94" s="196"/>
      <c r="GM94" s="196"/>
      <c r="GN94" s="196"/>
      <c r="GO94" s="196"/>
      <c r="GP94" s="196"/>
      <c r="GQ94" s="196"/>
      <c r="GR94" s="196"/>
      <c r="GS94" s="196"/>
      <c r="GT94" s="196"/>
      <c r="GU94" s="196"/>
      <c r="GV94" s="196"/>
      <c r="GW94" s="196"/>
      <c r="GX94" s="196"/>
      <c r="GY94" s="196"/>
      <c r="GZ94" s="196"/>
      <c r="HA94" s="196"/>
      <c r="HB94" s="196"/>
      <c r="HC94" s="196"/>
      <c r="HD94" s="196"/>
      <c r="HE94" s="196"/>
      <c r="HF94" s="196"/>
      <c r="HG94" s="196"/>
      <c r="HH94" s="196"/>
      <c r="HI94" s="196"/>
      <c r="HJ94" s="196"/>
      <c r="HK94" s="196"/>
      <c r="HL94" s="196"/>
      <c r="HM94" s="196"/>
      <c r="HN94" s="196"/>
      <c r="HO94" s="196"/>
      <c r="HP94" s="196"/>
      <c r="HQ94" s="196"/>
      <c r="HR94" s="196"/>
      <c r="HS94" s="196"/>
      <c r="HT94" s="196"/>
      <c r="HU94" s="196"/>
      <c r="HV94" s="196"/>
      <c r="HW94" s="196"/>
      <c r="HX94" s="196"/>
      <c r="HY94" s="196"/>
      <c r="HZ94" s="196"/>
      <c r="IA94" s="196"/>
      <c r="IB94" s="196"/>
      <c r="IC94" s="196"/>
      <c r="ID94" s="196"/>
      <c r="IE94" s="196"/>
      <c r="IF94" s="196"/>
      <c r="IG94" s="196"/>
      <c r="IH94" s="196"/>
      <c r="II94" s="196"/>
      <c r="IJ94" s="196"/>
      <c r="IK94" s="196"/>
      <c r="IL94" s="196"/>
      <c r="IM94" s="196"/>
      <c r="IN94" s="196"/>
      <c r="IO94" s="196"/>
      <c r="IP94" s="196"/>
      <c r="IQ94" s="196"/>
      <c r="IR94" s="196"/>
    </row>
    <row r="95" spans="1:252" ht="15.6">
      <c r="A95" s="196"/>
      <c r="B95" s="196"/>
      <c r="C95" s="584"/>
      <c r="D95" s="584"/>
      <c r="E95" s="584"/>
      <c r="F95" s="584"/>
      <c r="G95" s="584"/>
      <c r="H95" s="584"/>
      <c r="I95" s="584"/>
      <c r="J95" s="584"/>
      <c r="K95" s="584"/>
      <c r="L95" s="584"/>
      <c r="M95" s="584"/>
      <c r="N95" s="584"/>
      <c r="O95" s="584"/>
      <c r="P95" s="584"/>
      <c r="Q95" s="584"/>
      <c r="R95" s="579"/>
      <c r="S95" s="579"/>
      <c r="T95" s="579"/>
      <c r="U95" s="579"/>
      <c r="V95" s="579"/>
      <c r="W95" s="579"/>
      <c r="X95" s="579"/>
      <c r="Y95" s="579"/>
      <c r="Z95" s="579"/>
      <c r="AA95" s="579"/>
      <c r="AB95" s="579"/>
      <c r="AC95" s="579"/>
      <c r="AD95" s="579"/>
      <c r="AE95" s="579"/>
      <c r="AF95" s="579"/>
      <c r="AG95" s="579"/>
      <c r="AH95" s="579"/>
      <c r="AI95" s="579"/>
      <c r="AJ95" s="579"/>
      <c r="AK95" s="579"/>
      <c r="AL95" s="579"/>
      <c r="AM95" s="579"/>
      <c r="AN95" s="579"/>
      <c r="AO95" s="579"/>
      <c r="AP95" s="584"/>
      <c r="AQ95" s="584"/>
      <c r="AR95" s="584"/>
      <c r="AS95" s="584"/>
      <c r="AT95" s="584"/>
      <c r="AU95" s="584"/>
      <c r="AV95" s="584"/>
      <c r="AW95" s="584"/>
      <c r="AX95" s="584"/>
      <c r="AY95" s="584"/>
      <c r="AZ95" s="196"/>
      <c r="BA95" s="196"/>
      <c r="BB95" s="196"/>
      <c r="BC95" s="196"/>
      <c r="BD95" s="196"/>
      <c r="BE95" s="196"/>
      <c r="BF95" s="196"/>
      <c r="BG95" s="196"/>
      <c r="BH95" s="196"/>
      <c r="BI95" s="196"/>
      <c r="BJ95" s="196"/>
      <c r="BK95" s="196"/>
      <c r="BL95" s="196"/>
      <c r="BM95" s="196"/>
      <c r="BN95" s="196"/>
      <c r="BO95" s="196"/>
      <c r="BP95" s="196"/>
      <c r="BQ95" s="196"/>
      <c r="BR95" s="196"/>
      <c r="BS95" s="196"/>
      <c r="BT95" s="196"/>
      <c r="BU95" s="196"/>
      <c r="BV95" s="196"/>
      <c r="BW95" s="196"/>
      <c r="BX95" s="196"/>
      <c r="BY95" s="196"/>
      <c r="BZ95" s="196"/>
      <c r="CA95" s="196"/>
      <c r="CB95" s="196"/>
      <c r="CC95" s="196"/>
      <c r="CD95" s="196"/>
      <c r="CE95" s="196"/>
      <c r="CF95" s="196"/>
      <c r="CG95" s="196"/>
      <c r="CH95" s="196"/>
      <c r="CI95" s="196"/>
      <c r="CJ95" s="196"/>
      <c r="CK95" s="196"/>
      <c r="CL95" s="196"/>
      <c r="CM95" s="196"/>
      <c r="CN95" s="196"/>
      <c r="CO95" s="196"/>
      <c r="CP95" s="196"/>
      <c r="CQ95" s="196"/>
      <c r="CR95" s="196"/>
      <c r="CS95" s="196"/>
      <c r="CT95" s="196"/>
      <c r="CU95" s="196"/>
      <c r="CV95" s="196"/>
      <c r="CW95" s="196"/>
      <c r="CX95" s="196"/>
      <c r="CY95" s="196"/>
      <c r="CZ95" s="196"/>
      <c r="DA95" s="196"/>
      <c r="DB95" s="196"/>
      <c r="DC95" s="196"/>
      <c r="DD95" s="196"/>
      <c r="DE95" s="196"/>
      <c r="DF95" s="196"/>
      <c r="DG95" s="196"/>
      <c r="DH95" s="196"/>
      <c r="DI95" s="196"/>
      <c r="DJ95" s="196"/>
      <c r="DK95" s="196"/>
      <c r="DL95" s="196"/>
      <c r="DM95" s="196"/>
      <c r="DN95" s="196"/>
      <c r="DO95" s="196"/>
      <c r="DP95" s="196"/>
      <c r="DQ95" s="196"/>
      <c r="DR95" s="196"/>
      <c r="DS95" s="196"/>
      <c r="DT95" s="196"/>
      <c r="DU95" s="196"/>
      <c r="DV95" s="196"/>
      <c r="DW95" s="196"/>
      <c r="DX95" s="196"/>
      <c r="DY95" s="196"/>
      <c r="DZ95" s="196"/>
      <c r="EA95" s="196"/>
      <c r="EB95" s="196"/>
      <c r="EC95" s="196"/>
      <c r="ED95" s="196"/>
      <c r="EE95" s="196"/>
      <c r="EF95" s="196"/>
      <c r="EG95" s="196"/>
      <c r="EH95" s="196"/>
      <c r="EI95" s="196"/>
      <c r="EJ95" s="196"/>
      <c r="EK95" s="196"/>
      <c r="EL95" s="196"/>
      <c r="EM95" s="196"/>
      <c r="EN95" s="196"/>
      <c r="EO95" s="196"/>
      <c r="EP95" s="196"/>
      <c r="EQ95" s="196"/>
      <c r="ER95" s="196"/>
      <c r="ES95" s="196"/>
      <c r="ET95" s="196"/>
      <c r="EU95" s="196"/>
      <c r="EV95" s="196"/>
      <c r="EW95" s="196"/>
      <c r="EX95" s="196"/>
      <c r="EY95" s="196"/>
      <c r="EZ95" s="196"/>
      <c r="FA95" s="196"/>
      <c r="FB95" s="196"/>
      <c r="FC95" s="196"/>
      <c r="FD95" s="196"/>
      <c r="FE95" s="196"/>
      <c r="FF95" s="196"/>
      <c r="FG95" s="196"/>
      <c r="FH95" s="196"/>
      <c r="FI95" s="196"/>
      <c r="FJ95" s="196"/>
      <c r="FK95" s="196"/>
      <c r="FL95" s="196"/>
      <c r="FM95" s="196"/>
      <c r="FN95" s="196"/>
      <c r="FO95" s="196"/>
      <c r="FP95" s="196"/>
      <c r="FQ95" s="196"/>
      <c r="FR95" s="196"/>
      <c r="FS95" s="196"/>
      <c r="FT95" s="196"/>
      <c r="FU95" s="196"/>
      <c r="FV95" s="196"/>
      <c r="FW95" s="196"/>
      <c r="FX95" s="196"/>
      <c r="FY95" s="196"/>
      <c r="FZ95" s="196"/>
      <c r="GA95" s="196"/>
      <c r="GB95" s="196"/>
      <c r="GC95" s="196"/>
      <c r="GD95" s="196"/>
      <c r="GE95" s="196"/>
      <c r="GF95" s="196"/>
      <c r="GG95" s="196"/>
      <c r="GH95" s="196"/>
      <c r="GI95" s="196"/>
      <c r="GJ95" s="196"/>
      <c r="GK95" s="196"/>
      <c r="GL95" s="196"/>
      <c r="GM95" s="196"/>
      <c r="GN95" s="196"/>
      <c r="GO95" s="196"/>
      <c r="GP95" s="196"/>
      <c r="GQ95" s="196"/>
      <c r="GR95" s="196"/>
      <c r="GS95" s="196"/>
      <c r="GT95" s="196"/>
      <c r="GU95" s="196"/>
      <c r="GV95" s="196"/>
      <c r="GW95" s="196"/>
      <c r="GX95" s="196"/>
      <c r="GY95" s="196"/>
      <c r="GZ95" s="196"/>
      <c r="HA95" s="196"/>
      <c r="HB95" s="196"/>
      <c r="HC95" s="196"/>
      <c r="HD95" s="196"/>
      <c r="HE95" s="196"/>
      <c r="HF95" s="196"/>
      <c r="HG95" s="196"/>
      <c r="HH95" s="196"/>
      <c r="HI95" s="196"/>
      <c r="HJ95" s="196"/>
      <c r="HK95" s="196"/>
      <c r="HL95" s="196"/>
      <c r="HM95" s="196"/>
      <c r="HN95" s="196"/>
      <c r="HO95" s="196"/>
      <c r="HP95" s="196"/>
      <c r="HQ95" s="196"/>
      <c r="HR95" s="196"/>
      <c r="HS95" s="196"/>
      <c r="HT95" s="196"/>
      <c r="HU95" s="196"/>
      <c r="HV95" s="196"/>
      <c r="HW95" s="196"/>
      <c r="HX95" s="196"/>
      <c r="HY95" s="196"/>
      <c r="HZ95" s="196"/>
      <c r="IA95" s="196"/>
      <c r="IB95" s="196"/>
      <c r="IC95" s="196"/>
      <c r="ID95" s="196"/>
      <c r="IE95" s="196"/>
      <c r="IF95" s="196"/>
      <c r="IG95" s="196"/>
      <c r="IH95" s="196"/>
      <c r="II95" s="196"/>
      <c r="IJ95" s="196"/>
      <c r="IK95" s="196"/>
      <c r="IL95" s="196"/>
      <c r="IM95" s="196"/>
      <c r="IN95" s="196"/>
      <c r="IO95" s="196"/>
      <c r="IP95" s="196"/>
      <c r="IQ95" s="196"/>
      <c r="IR95" s="196"/>
    </row>
    <row r="96" spans="1:252" ht="15.6">
      <c r="A96" s="196"/>
      <c r="B96" s="196"/>
      <c r="C96" s="584"/>
      <c r="D96" s="584"/>
      <c r="E96" s="584"/>
      <c r="F96" s="584"/>
      <c r="G96" s="584"/>
      <c r="H96" s="584"/>
      <c r="I96" s="584"/>
      <c r="J96" s="584"/>
      <c r="K96" s="584"/>
      <c r="L96" s="584"/>
      <c r="M96" s="584"/>
      <c r="N96" s="584"/>
      <c r="O96" s="584"/>
      <c r="P96" s="584"/>
      <c r="Q96" s="584"/>
      <c r="R96" s="579"/>
      <c r="S96" s="579"/>
      <c r="T96" s="579"/>
      <c r="U96" s="579"/>
      <c r="V96" s="579"/>
      <c r="W96" s="579"/>
      <c r="X96" s="579"/>
      <c r="Y96" s="579"/>
      <c r="Z96" s="579"/>
      <c r="AA96" s="579"/>
      <c r="AB96" s="579"/>
      <c r="AC96" s="579"/>
      <c r="AD96" s="579"/>
      <c r="AE96" s="579"/>
      <c r="AF96" s="579"/>
      <c r="AG96" s="579"/>
      <c r="AH96" s="579"/>
      <c r="AI96" s="579"/>
      <c r="AJ96" s="579"/>
      <c r="AK96" s="579"/>
      <c r="AL96" s="579"/>
      <c r="AM96" s="579"/>
      <c r="AN96" s="579"/>
      <c r="AO96" s="579"/>
      <c r="AP96" s="584"/>
      <c r="AQ96" s="584"/>
      <c r="AR96" s="584"/>
      <c r="AS96" s="584"/>
      <c r="AT96" s="584"/>
      <c r="AU96" s="584"/>
      <c r="AV96" s="584"/>
      <c r="AW96" s="584"/>
      <c r="AX96" s="584"/>
      <c r="AY96" s="584"/>
      <c r="AZ96" s="196"/>
      <c r="BA96" s="196"/>
      <c r="BB96" s="196"/>
      <c r="BC96" s="196"/>
      <c r="BD96" s="196"/>
      <c r="BE96" s="196"/>
      <c r="BF96" s="196"/>
      <c r="BG96" s="196"/>
      <c r="BH96" s="196"/>
      <c r="BI96" s="196"/>
      <c r="BJ96" s="196"/>
      <c r="BK96" s="196"/>
      <c r="BL96" s="196"/>
      <c r="BM96" s="196"/>
      <c r="BN96" s="196"/>
      <c r="BO96" s="196"/>
      <c r="BP96" s="196"/>
      <c r="BQ96" s="196"/>
      <c r="BR96" s="196"/>
      <c r="BS96" s="196"/>
      <c r="BT96" s="196"/>
      <c r="BU96" s="196"/>
      <c r="BV96" s="196"/>
      <c r="BW96" s="196"/>
      <c r="BX96" s="196"/>
      <c r="BY96" s="196"/>
      <c r="BZ96" s="196"/>
      <c r="CA96" s="196"/>
      <c r="CB96" s="196"/>
      <c r="CC96" s="196"/>
      <c r="CD96" s="196"/>
      <c r="CE96" s="196"/>
      <c r="CF96" s="196"/>
      <c r="CG96" s="196"/>
      <c r="CH96" s="196"/>
      <c r="CI96" s="196"/>
      <c r="CJ96" s="196"/>
      <c r="CK96" s="196"/>
      <c r="CL96" s="196"/>
      <c r="CM96" s="196"/>
      <c r="CN96" s="196"/>
      <c r="CO96" s="196"/>
      <c r="CP96" s="196"/>
      <c r="CQ96" s="196"/>
      <c r="CR96" s="196"/>
      <c r="CS96" s="196"/>
      <c r="CT96" s="196"/>
      <c r="CU96" s="196"/>
      <c r="CV96" s="196"/>
      <c r="CW96" s="196"/>
      <c r="CX96" s="196"/>
      <c r="CY96" s="196"/>
      <c r="CZ96" s="196"/>
      <c r="DA96" s="196"/>
      <c r="DB96" s="196"/>
      <c r="DC96" s="196"/>
      <c r="DD96" s="196"/>
      <c r="DE96" s="196"/>
      <c r="DF96" s="196"/>
      <c r="DG96" s="196"/>
      <c r="DH96" s="196"/>
      <c r="DI96" s="196"/>
      <c r="DJ96" s="196"/>
      <c r="DK96" s="196"/>
      <c r="DL96" s="196"/>
      <c r="DM96" s="196"/>
      <c r="DN96" s="196"/>
      <c r="DO96" s="196"/>
      <c r="DP96" s="196"/>
      <c r="DQ96" s="196"/>
      <c r="DR96" s="196"/>
      <c r="DS96" s="196"/>
      <c r="DT96" s="196"/>
      <c r="DU96" s="196"/>
      <c r="DV96" s="196"/>
      <c r="DW96" s="196"/>
      <c r="DX96" s="196"/>
      <c r="DY96" s="196"/>
      <c r="DZ96" s="196"/>
      <c r="EA96" s="196"/>
      <c r="EB96" s="196"/>
      <c r="EC96" s="196"/>
      <c r="ED96" s="196"/>
      <c r="EE96" s="196"/>
      <c r="EF96" s="196"/>
      <c r="EG96" s="196"/>
      <c r="EH96" s="196"/>
      <c r="EI96" s="196"/>
      <c r="EJ96" s="196"/>
      <c r="EK96" s="196"/>
      <c r="EL96" s="196"/>
      <c r="EM96" s="196"/>
      <c r="EN96" s="196"/>
      <c r="EO96" s="196"/>
      <c r="EP96" s="196"/>
      <c r="EQ96" s="196"/>
      <c r="ER96" s="196"/>
      <c r="ES96" s="196"/>
      <c r="ET96" s="196"/>
      <c r="EU96" s="196"/>
      <c r="EV96" s="196"/>
      <c r="EW96" s="196"/>
      <c r="EX96" s="196"/>
      <c r="EY96" s="196"/>
      <c r="EZ96" s="196"/>
      <c r="FA96" s="196"/>
      <c r="FB96" s="196"/>
      <c r="FC96" s="196"/>
      <c r="FD96" s="196"/>
      <c r="FE96" s="196"/>
      <c r="FF96" s="196"/>
      <c r="FG96" s="196"/>
      <c r="FH96" s="196"/>
      <c r="FI96" s="196"/>
      <c r="FJ96" s="196"/>
      <c r="FK96" s="196"/>
      <c r="FL96" s="196"/>
      <c r="FM96" s="196"/>
      <c r="FN96" s="196"/>
      <c r="FO96" s="196"/>
      <c r="FP96" s="196"/>
      <c r="FQ96" s="196"/>
      <c r="FR96" s="196"/>
      <c r="FS96" s="196"/>
      <c r="FT96" s="196"/>
      <c r="FU96" s="196"/>
      <c r="FV96" s="196"/>
      <c r="FW96" s="196"/>
      <c r="FX96" s="196"/>
      <c r="FY96" s="196"/>
      <c r="FZ96" s="196"/>
      <c r="GA96" s="196"/>
      <c r="GB96" s="196"/>
      <c r="GC96" s="196"/>
      <c r="GD96" s="196"/>
      <c r="GE96" s="196"/>
      <c r="GF96" s="196"/>
      <c r="GG96" s="196"/>
      <c r="GH96" s="196"/>
      <c r="GI96" s="196"/>
      <c r="GJ96" s="196"/>
      <c r="GK96" s="196"/>
      <c r="GL96" s="196"/>
      <c r="GM96" s="196"/>
      <c r="GN96" s="196"/>
      <c r="GO96" s="196"/>
      <c r="GP96" s="196"/>
      <c r="GQ96" s="196"/>
      <c r="GR96" s="196"/>
      <c r="GS96" s="196"/>
      <c r="GT96" s="196"/>
      <c r="GU96" s="196"/>
      <c r="GV96" s="196"/>
      <c r="GW96" s="196"/>
      <c r="GX96" s="196"/>
      <c r="GY96" s="196"/>
      <c r="GZ96" s="196"/>
      <c r="HA96" s="196"/>
      <c r="HB96" s="196"/>
      <c r="HC96" s="196"/>
      <c r="HD96" s="196"/>
      <c r="HE96" s="196"/>
      <c r="HF96" s="196"/>
      <c r="HG96" s="196"/>
      <c r="HH96" s="196"/>
      <c r="HI96" s="196"/>
      <c r="HJ96" s="196"/>
      <c r="HK96" s="196"/>
      <c r="HL96" s="196"/>
      <c r="HM96" s="196"/>
      <c r="HN96" s="196"/>
      <c r="HO96" s="196"/>
      <c r="HP96" s="196"/>
      <c r="HQ96" s="196"/>
      <c r="HR96" s="196"/>
      <c r="HS96" s="196"/>
      <c r="HT96" s="196"/>
      <c r="HU96" s="196"/>
      <c r="HV96" s="196"/>
      <c r="HW96" s="196"/>
      <c r="HX96" s="196"/>
      <c r="HY96" s="196"/>
      <c r="HZ96" s="196"/>
      <c r="IA96" s="196"/>
      <c r="IB96" s="196"/>
      <c r="IC96" s="196"/>
      <c r="ID96" s="196"/>
      <c r="IE96" s="196"/>
      <c r="IF96" s="196"/>
      <c r="IG96" s="196"/>
      <c r="IH96" s="196"/>
      <c r="II96" s="196"/>
      <c r="IJ96" s="196"/>
      <c r="IK96" s="196"/>
      <c r="IL96" s="196"/>
      <c r="IM96" s="196"/>
      <c r="IN96" s="196"/>
      <c r="IO96" s="196"/>
      <c r="IP96" s="196"/>
      <c r="IQ96" s="196"/>
      <c r="IR96" s="196"/>
    </row>
    <row r="97" spans="1:252" ht="15.6">
      <c r="A97" s="196"/>
      <c r="B97" s="196"/>
      <c r="C97" s="584"/>
      <c r="D97" s="584"/>
      <c r="E97" s="584"/>
      <c r="F97" s="584"/>
      <c r="G97" s="584"/>
      <c r="H97" s="584"/>
      <c r="I97" s="584"/>
      <c r="J97" s="584"/>
      <c r="K97" s="584"/>
      <c r="L97" s="584"/>
      <c r="M97" s="584"/>
      <c r="N97" s="584"/>
      <c r="O97" s="584"/>
      <c r="P97" s="584"/>
      <c r="Q97" s="584"/>
      <c r="R97" s="579"/>
      <c r="S97" s="579"/>
      <c r="T97" s="579"/>
      <c r="U97" s="579"/>
      <c r="V97" s="579"/>
      <c r="W97" s="579"/>
      <c r="X97" s="579"/>
      <c r="Y97" s="579"/>
      <c r="Z97" s="579"/>
      <c r="AA97" s="579"/>
      <c r="AB97" s="579"/>
      <c r="AC97" s="579"/>
      <c r="AD97" s="579"/>
      <c r="AE97" s="579"/>
      <c r="AF97" s="579"/>
      <c r="AG97" s="579"/>
      <c r="AH97" s="579"/>
      <c r="AI97" s="579"/>
      <c r="AJ97" s="579"/>
      <c r="AK97" s="579"/>
      <c r="AL97" s="579"/>
      <c r="AM97" s="579"/>
      <c r="AN97" s="579"/>
      <c r="AO97" s="579"/>
      <c r="AP97" s="584"/>
      <c r="AQ97" s="584"/>
      <c r="AR97" s="584"/>
      <c r="AS97" s="584"/>
      <c r="AT97" s="584"/>
      <c r="AU97" s="584"/>
      <c r="AV97" s="584"/>
      <c r="AW97" s="584"/>
      <c r="AX97" s="584"/>
      <c r="AY97" s="584"/>
      <c r="AZ97" s="196"/>
      <c r="BA97" s="196"/>
      <c r="BB97" s="196"/>
      <c r="BC97" s="196"/>
      <c r="BD97" s="196"/>
      <c r="BE97" s="196"/>
      <c r="BF97" s="196"/>
      <c r="BG97" s="196"/>
      <c r="BH97" s="196"/>
      <c r="BI97" s="196"/>
      <c r="BJ97" s="196"/>
      <c r="BK97" s="196"/>
      <c r="BL97" s="196"/>
      <c r="BM97" s="196"/>
      <c r="BN97" s="196"/>
      <c r="BO97" s="196"/>
      <c r="BP97" s="196"/>
      <c r="BQ97" s="196"/>
      <c r="BR97" s="196"/>
      <c r="BS97" s="196"/>
      <c r="BT97" s="196"/>
      <c r="BU97" s="196"/>
      <c r="BV97" s="196"/>
      <c r="BW97" s="196"/>
      <c r="BX97" s="196"/>
      <c r="BY97" s="196"/>
      <c r="BZ97" s="196"/>
      <c r="CA97" s="196"/>
      <c r="CB97" s="196"/>
      <c r="CC97" s="196"/>
      <c r="CD97" s="196"/>
      <c r="CE97" s="196"/>
      <c r="CF97" s="196"/>
      <c r="CG97" s="196"/>
      <c r="CH97" s="196"/>
      <c r="CI97" s="196"/>
      <c r="CJ97" s="196"/>
      <c r="CK97" s="196"/>
      <c r="CL97" s="196"/>
      <c r="CM97" s="196"/>
      <c r="CN97" s="196"/>
      <c r="CO97" s="196"/>
      <c r="CP97" s="196"/>
      <c r="CQ97" s="196"/>
      <c r="CR97" s="196"/>
      <c r="CS97" s="196"/>
      <c r="CT97" s="196"/>
      <c r="CU97" s="196"/>
      <c r="CV97" s="196"/>
      <c r="CW97" s="196"/>
      <c r="CX97" s="196"/>
      <c r="CY97" s="196"/>
      <c r="CZ97" s="196"/>
      <c r="DA97" s="196"/>
      <c r="DB97" s="196"/>
      <c r="DC97" s="196"/>
      <c r="DD97" s="196"/>
      <c r="DE97" s="196"/>
      <c r="DF97" s="196"/>
      <c r="DG97" s="196"/>
      <c r="DH97" s="196"/>
      <c r="DI97" s="196"/>
      <c r="DJ97" s="196"/>
      <c r="DK97" s="196"/>
      <c r="DL97" s="196"/>
      <c r="DM97" s="196"/>
      <c r="DN97" s="196"/>
      <c r="DO97" s="196"/>
      <c r="DP97" s="196"/>
      <c r="DQ97" s="196"/>
      <c r="DR97" s="196"/>
      <c r="DS97" s="196"/>
      <c r="DT97" s="196"/>
      <c r="DU97" s="196"/>
      <c r="DV97" s="196"/>
      <c r="DW97" s="196"/>
      <c r="DX97" s="196"/>
      <c r="DY97" s="196"/>
      <c r="DZ97" s="196"/>
      <c r="EA97" s="196"/>
      <c r="EB97" s="196"/>
      <c r="EC97" s="196"/>
      <c r="ED97" s="196"/>
      <c r="EE97" s="196"/>
      <c r="EF97" s="196"/>
      <c r="EG97" s="196"/>
      <c r="EH97" s="196"/>
      <c r="EI97" s="196"/>
      <c r="EJ97" s="196"/>
      <c r="EK97" s="196"/>
      <c r="EL97" s="196"/>
      <c r="EM97" s="196"/>
      <c r="EN97" s="196"/>
      <c r="EO97" s="196"/>
      <c r="EP97" s="196"/>
      <c r="EQ97" s="196"/>
      <c r="ER97" s="196"/>
      <c r="ES97" s="196"/>
      <c r="ET97" s="196"/>
      <c r="EU97" s="196"/>
      <c r="EV97" s="196"/>
      <c r="EW97" s="196"/>
      <c r="EX97" s="196"/>
      <c r="EY97" s="196"/>
      <c r="EZ97" s="196"/>
      <c r="FA97" s="196"/>
      <c r="FB97" s="196"/>
      <c r="FC97" s="196"/>
      <c r="FD97" s="196"/>
      <c r="FE97" s="196"/>
      <c r="FF97" s="196"/>
      <c r="FG97" s="196"/>
      <c r="FH97" s="196"/>
      <c r="FI97" s="196"/>
      <c r="FJ97" s="196"/>
      <c r="FK97" s="196"/>
      <c r="FL97" s="196"/>
      <c r="FM97" s="196"/>
      <c r="FN97" s="196"/>
      <c r="FO97" s="196"/>
      <c r="FP97" s="196"/>
      <c r="FQ97" s="196"/>
      <c r="FR97" s="196"/>
      <c r="FS97" s="196"/>
      <c r="FT97" s="196"/>
      <c r="FU97" s="196"/>
      <c r="FV97" s="196"/>
      <c r="FW97" s="196"/>
      <c r="FX97" s="196"/>
      <c r="FY97" s="196"/>
      <c r="FZ97" s="196"/>
      <c r="GA97" s="196"/>
      <c r="GB97" s="196"/>
      <c r="GC97" s="196"/>
      <c r="GD97" s="196"/>
      <c r="GE97" s="196"/>
      <c r="GF97" s="196"/>
      <c r="GG97" s="196"/>
      <c r="GH97" s="196"/>
      <c r="GI97" s="196"/>
      <c r="GJ97" s="196"/>
      <c r="GK97" s="196"/>
      <c r="GL97" s="196"/>
      <c r="GM97" s="196"/>
      <c r="GN97" s="196"/>
      <c r="GO97" s="196"/>
      <c r="GP97" s="196"/>
      <c r="GQ97" s="196"/>
      <c r="GR97" s="196"/>
      <c r="GS97" s="196"/>
      <c r="GT97" s="196"/>
      <c r="GU97" s="196"/>
      <c r="GV97" s="196"/>
      <c r="GW97" s="196"/>
      <c r="GX97" s="196"/>
      <c r="GY97" s="196"/>
      <c r="GZ97" s="196"/>
      <c r="HA97" s="196"/>
      <c r="HB97" s="196"/>
      <c r="HC97" s="196"/>
      <c r="HD97" s="196"/>
      <c r="HE97" s="196"/>
      <c r="HF97" s="196"/>
      <c r="HG97" s="196"/>
      <c r="HH97" s="196"/>
      <c r="HI97" s="196"/>
      <c r="HJ97" s="196"/>
      <c r="HK97" s="196"/>
      <c r="HL97" s="196"/>
      <c r="HM97" s="196"/>
      <c r="HN97" s="196"/>
      <c r="HO97" s="196"/>
      <c r="HP97" s="196"/>
      <c r="HQ97" s="196"/>
      <c r="HR97" s="196"/>
      <c r="HS97" s="196"/>
      <c r="HT97" s="196"/>
      <c r="HU97" s="196"/>
      <c r="HV97" s="196"/>
      <c r="HW97" s="196"/>
      <c r="HX97" s="196"/>
      <c r="HY97" s="196"/>
      <c r="HZ97" s="196"/>
      <c r="IA97" s="196"/>
      <c r="IB97" s="196"/>
      <c r="IC97" s="196"/>
      <c r="ID97" s="196"/>
      <c r="IE97" s="196"/>
      <c r="IF97" s="196"/>
      <c r="IG97" s="196"/>
      <c r="IH97" s="196"/>
      <c r="II97" s="196"/>
      <c r="IJ97" s="196"/>
      <c r="IK97" s="196"/>
      <c r="IL97" s="196"/>
      <c r="IM97" s="196"/>
      <c r="IN97" s="196"/>
      <c r="IO97" s="196"/>
      <c r="IP97" s="196"/>
      <c r="IQ97" s="196"/>
      <c r="IR97" s="196"/>
    </row>
    <row r="98" spans="1:252" ht="15.6">
      <c r="A98" s="196"/>
      <c r="B98" s="196"/>
      <c r="C98" s="584"/>
      <c r="D98" s="584"/>
      <c r="E98" s="584"/>
      <c r="F98" s="584"/>
      <c r="G98" s="584"/>
      <c r="H98" s="584"/>
      <c r="I98" s="584"/>
      <c r="J98" s="584"/>
      <c r="K98" s="584"/>
      <c r="L98" s="584"/>
      <c r="M98" s="584"/>
      <c r="N98" s="584"/>
      <c r="O98" s="584"/>
      <c r="P98" s="584"/>
      <c r="Q98" s="584"/>
      <c r="R98" s="579"/>
      <c r="S98" s="579"/>
      <c r="T98" s="579"/>
      <c r="U98" s="579"/>
      <c r="V98" s="579"/>
      <c r="W98" s="579"/>
      <c r="X98" s="579"/>
      <c r="Y98" s="579"/>
      <c r="Z98" s="579"/>
      <c r="AA98" s="579"/>
      <c r="AB98" s="579"/>
      <c r="AC98" s="579"/>
      <c r="AD98" s="579"/>
      <c r="AE98" s="579"/>
      <c r="AF98" s="579"/>
      <c r="AG98" s="579"/>
      <c r="AH98" s="579"/>
      <c r="AI98" s="579"/>
      <c r="AJ98" s="579"/>
      <c r="AK98" s="579"/>
      <c r="AL98" s="579"/>
      <c r="AM98" s="579"/>
      <c r="AN98" s="579"/>
      <c r="AO98" s="579"/>
      <c r="AP98" s="584"/>
      <c r="AQ98" s="584"/>
      <c r="AR98" s="584"/>
      <c r="AS98" s="584"/>
      <c r="AT98" s="584"/>
      <c r="AU98" s="584"/>
      <c r="AV98" s="584"/>
      <c r="AW98" s="584"/>
      <c r="AX98" s="584"/>
      <c r="AY98" s="584"/>
      <c r="AZ98" s="196"/>
      <c r="BA98" s="196"/>
      <c r="BB98" s="196"/>
      <c r="BC98" s="196"/>
      <c r="BD98" s="196"/>
      <c r="BE98" s="196"/>
      <c r="BF98" s="196"/>
      <c r="BG98" s="196"/>
      <c r="BH98" s="196"/>
      <c r="BI98" s="196"/>
      <c r="BJ98" s="196"/>
      <c r="BK98" s="196"/>
      <c r="BL98" s="196"/>
      <c r="BM98" s="196"/>
      <c r="BN98" s="196"/>
      <c r="BO98" s="196"/>
      <c r="BP98" s="196"/>
      <c r="BQ98" s="196"/>
      <c r="BR98" s="196"/>
      <c r="BS98" s="196"/>
      <c r="BT98" s="196"/>
      <c r="BU98" s="196"/>
      <c r="BV98" s="196"/>
      <c r="BW98" s="196"/>
      <c r="BX98" s="196"/>
      <c r="BY98" s="196"/>
      <c r="BZ98" s="196"/>
      <c r="CA98" s="196"/>
      <c r="CB98" s="196"/>
      <c r="CC98" s="196"/>
      <c r="CD98" s="196"/>
      <c r="CE98" s="196"/>
      <c r="CF98" s="196"/>
      <c r="CG98" s="196"/>
      <c r="CH98" s="196"/>
      <c r="CI98" s="196"/>
      <c r="CJ98" s="196"/>
      <c r="CK98" s="196"/>
      <c r="CL98" s="196"/>
      <c r="CM98" s="196"/>
      <c r="CN98" s="196"/>
      <c r="CO98" s="196"/>
      <c r="CP98" s="196"/>
      <c r="CQ98" s="196"/>
      <c r="CR98" s="196"/>
      <c r="CS98" s="196"/>
      <c r="CT98" s="196"/>
      <c r="CU98" s="196"/>
      <c r="CV98" s="196"/>
      <c r="CW98" s="196"/>
      <c r="CX98" s="196"/>
      <c r="CY98" s="196"/>
      <c r="CZ98" s="196"/>
      <c r="DA98" s="196"/>
      <c r="DB98" s="196"/>
      <c r="DC98" s="196"/>
      <c r="DD98" s="196"/>
      <c r="DE98" s="196"/>
      <c r="DF98" s="196"/>
      <c r="DG98" s="196"/>
      <c r="DH98" s="196"/>
      <c r="DI98" s="196"/>
      <c r="DJ98" s="196"/>
      <c r="DK98" s="196"/>
      <c r="DL98" s="196"/>
      <c r="DM98" s="196"/>
      <c r="DN98" s="196"/>
      <c r="DO98" s="196"/>
      <c r="DP98" s="196"/>
      <c r="DQ98" s="196"/>
      <c r="DR98" s="196"/>
      <c r="DS98" s="196"/>
      <c r="DT98" s="196"/>
      <c r="DU98" s="196"/>
      <c r="DV98" s="196"/>
      <c r="DW98" s="196"/>
      <c r="DX98" s="196"/>
      <c r="DY98" s="196"/>
      <c r="DZ98" s="196"/>
      <c r="EA98" s="196"/>
      <c r="EB98" s="196"/>
      <c r="EC98" s="196"/>
      <c r="ED98" s="196"/>
      <c r="EE98" s="196"/>
      <c r="EF98" s="196"/>
      <c r="EG98" s="196"/>
      <c r="EH98" s="196"/>
      <c r="EI98" s="196"/>
      <c r="EJ98" s="196"/>
      <c r="EK98" s="196"/>
      <c r="EL98" s="196"/>
      <c r="EM98" s="196"/>
      <c r="EN98" s="196"/>
      <c r="EO98" s="196"/>
      <c r="EP98" s="196"/>
      <c r="EQ98" s="196"/>
      <c r="ER98" s="196"/>
      <c r="ES98" s="196"/>
      <c r="ET98" s="196"/>
      <c r="EU98" s="196"/>
      <c r="EV98" s="196"/>
      <c r="EW98" s="196"/>
      <c r="EX98" s="196"/>
      <c r="EY98" s="196"/>
      <c r="EZ98" s="196"/>
      <c r="FA98" s="196"/>
      <c r="FB98" s="196"/>
      <c r="FC98" s="196"/>
      <c r="FD98" s="196"/>
      <c r="FE98" s="196"/>
      <c r="FF98" s="196"/>
      <c r="FG98" s="196"/>
      <c r="FH98" s="196"/>
      <c r="FI98" s="196"/>
      <c r="FJ98" s="196"/>
      <c r="FK98" s="196"/>
      <c r="FL98" s="196"/>
      <c r="FM98" s="196"/>
      <c r="FN98" s="196"/>
      <c r="FO98" s="196"/>
      <c r="FP98" s="196"/>
      <c r="FQ98" s="196"/>
      <c r="FR98" s="196"/>
      <c r="FS98" s="196"/>
      <c r="FT98" s="196"/>
      <c r="FU98" s="196"/>
      <c r="FV98" s="196"/>
      <c r="FW98" s="196"/>
      <c r="FX98" s="196"/>
      <c r="FY98" s="196"/>
      <c r="FZ98" s="196"/>
      <c r="GA98" s="196"/>
      <c r="GB98" s="196"/>
      <c r="GC98" s="196"/>
      <c r="GD98" s="196"/>
      <c r="GE98" s="196"/>
      <c r="GF98" s="196"/>
      <c r="GG98" s="196"/>
      <c r="GH98" s="196"/>
      <c r="GI98" s="196"/>
      <c r="GJ98" s="196"/>
      <c r="GK98" s="196"/>
      <c r="GL98" s="196"/>
      <c r="GM98" s="196"/>
      <c r="GN98" s="196"/>
      <c r="GO98" s="196"/>
      <c r="GP98" s="196"/>
      <c r="GQ98" s="196"/>
      <c r="GR98" s="196"/>
      <c r="GS98" s="196"/>
      <c r="GT98" s="196"/>
      <c r="GU98" s="196"/>
      <c r="GV98" s="196"/>
      <c r="GW98" s="196"/>
      <c r="GX98" s="196"/>
      <c r="GY98" s="196"/>
      <c r="GZ98" s="196"/>
      <c r="HA98" s="196"/>
      <c r="HB98" s="196"/>
      <c r="HC98" s="196"/>
      <c r="HD98" s="196"/>
      <c r="HE98" s="196"/>
      <c r="HF98" s="196"/>
      <c r="HG98" s="196"/>
      <c r="HH98" s="196"/>
      <c r="HI98" s="196"/>
      <c r="HJ98" s="196"/>
      <c r="HK98" s="196"/>
      <c r="HL98" s="196"/>
      <c r="HM98" s="196"/>
      <c r="HN98" s="196"/>
      <c r="HO98" s="196"/>
      <c r="HP98" s="196"/>
      <c r="HQ98" s="196"/>
      <c r="HR98" s="196"/>
      <c r="HS98" s="196"/>
      <c r="HT98" s="196"/>
      <c r="HU98" s="196"/>
      <c r="HV98" s="196"/>
      <c r="HW98" s="196"/>
      <c r="HX98" s="196"/>
      <c r="HY98" s="196"/>
      <c r="HZ98" s="196"/>
      <c r="IA98" s="196"/>
      <c r="IB98" s="196"/>
      <c r="IC98" s="196"/>
      <c r="ID98" s="196"/>
      <c r="IE98" s="196"/>
      <c r="IF98" s="196"/>
      <c r="IG98" s="196"/>
      <c r="IH98" s="196"/>
      <c r="II98" s="196"/>
      <c r="IJ98" s="196"/>
      <c r="IK98" s="196"/>
      <c r="IL98" s="196"/>
      <c r="IM98" s="196"/>
      <c r="IN98" s="196"/>
      <c r="IO98" s="196"/>
      <c r="IP98" s="196"/>
      <c r="IQ98" s="196"/>
      <c r="IR98" s="196"/>
    </row>
    <row r="99" spans="1:252" ht="15.6">
      <c r="A99" s="196"/>
      <c r="B99" s="196"/>
      <c r="C99" s="584">
        <v>435.36</v>
      </c>
      <c r="D99" s="579">
        <v>735.4</v>
      </c>
      <c r="E99" s="579">
        <v>682.69</v>
      </c>
      <c r="F99" s="579">
        <v>704.64</v>
      </c>
      <c r="G99" s="579">
        <v>670.35</v>
      </c>
      <c r="H99" s="579">
        <v>594.9</v>
      </c>
      <c r="I99" s="579">
        <v>635.80999999999995</v>
      </c>
      <c r="J99" s="579">
        <v>674.03</v>
      </c>
      <c r="K99" s="579">
        <v>668.77</v>
      </c>
      <c r="L99" s="579">
        <v>657.93</v>
      </c>
      <c r="M99" s="579">
        <v>652.77</v>
      </c>
      <c r="N99" s="579">
        <v>643.6</v>
      </c>
      <c r="O99" s="579">
        <v>662.24</v>
      </c>
      <c r="P99" s="579">
        <v>650.29999999999995</v>
      </c>
      <c r="Q99" s="579">
        <v>658.28</v>
      </c>
      <c r="R99" s="579">
        <v>640.34</v>
      </c>
      <c r="S99" s="579">
        <v>646.52</v>
      </c>
      <c r="T99" s="579">
        <v>642.63</v>
      </c>
      <c r="U99" s="579">
        <v>643.88</v>
      </c>
      <c r="V99" s="579">
        <v>622.32000000000005</v>
      </c>
      <c r="W99" s="579">
        <v>616.17999999999995</v>
      </c>
      <c r="X99" s="579"/>
      <c r="Y99" s="579"/>
      <c r="Z99" s="579"/>
      <c r="AA99" s="579"/>
      <c r="AB99" s="579"/>
      <c r="AC99" s="579"/>
      <c r="AD99" s="579"/>
      <c r="AE99" s="579"/>
      <c r="AF99" s="579"/>
      <c r="AG99" s="579"/>
      <c r="AH99" s="579"/>
      <c r="AI99" s="579"/>
      <c r="AJ99" s="579"/>
      <c r="AK99" s="579"/>
      <c r="AL99" s="579"/>
      <c r="AM99" s="579"/>
      <c r="AN99" s="579"/>
      <c r="AO99" s="579"/>
      <c r="AP99" s="584"/>
      <c r="AQ99" s="584"/>
      <c r="AR99" s="584"/>
      <c r="AS99" s="584"/>
      <c r="AT99" s="584"/>
      <c r="AU99" s="584"/>
      <c r="AV99" s="584"/>
      <c r="AW99" s="584"/>
      <c r="AX99" s="584"/>
      <c r="AY99" s="584"/>
      <c r="AZ99" s="196"/>
      <c r="BA99" s="196"/>
      <c r="BB99" s="196"/>
      <c r="BC99" s="196"/>
      <c r="BD99" s="196"/>
      <c r="BE99" s="196"/>
      <c r="BF99" s="196"/>
      <c r="BG99" s="196"/>
      <c r="BH99" s="196"/>
      <c r="BI99" s="196"/>
      <c r="BJ99" s="196"/>
      <c r="BK99" s="196"/>
      <c r="BL99" s="196"/>
      <c r="BM99" s="196"/>
      <c r="BN99" s="196"/>
      <c r="BO99" s="196"/>
      <c r="BP99" s="196"/>
      <c r="BQ99" s="196"/>
      <c r="BR99" s="196"/>
      <c r="BS99" s="196"/>
      <c r="BT99" s="196"/>
      <c r="BU99" s="196"/>
      <c r="BV99" s="196"/>
      <c r="BW99" s="196"/>
      <c r="BX99" s="196"/>
      <c r="BY99" s="196"/>
      <c r="BZ99" s="196"/>
      <c r="CA99" s="196"/>
      <c r="CB99" s="196"/>
      <c r="CC99" s="196"/>
      <c r="CD99" s="196"/>
      <c r="CE99" s="196"/>
      <c r="CF99" s="196"/>
      <c r="CG99" s="196"/>
      <c r="CH99" s="196"/>
      <c r="CI99" s="196"/>
      <c r="CJ99" s="196"/>
      <c r="CK99" s="196"/>
      <c r="CL99" s="196"/>
      <c r="CM99" s="196"/>
      <c r="CN99" s="196"/>
      <c r="CO99" s="196"/>
      <c r="CP99" s="196"/>
      <c r="CQ99" s="196"/>
      <c r="CR99" s="196"/>
      <c r="CS99" s="196"/>
      <c r="CT99" s="196"/>
      <c r="CU99" s="196"/>
      <c r="CV99" s="196"/>
      <c r="CW99" s="196"/>
      <c r="CX99" s="196"/>
      <c r="CY99" s="196"/>
      <c r="CZ99" s="196"/>
      <c r="DA99" s="196"/>
      <c r="DB99" s="196"/>
      <c r="DC99" s="196"/>
      <c r="DD99" s="196"/>
      <c r="DE99" s="196"/>
      <c r="DF99" s="196"/>
      <c r="DG99" s="196"/>
      <c r="DH99" s="196"/>
      <c r="DI99" s="196"/>
      <c r="DJ99" s="196"/>
      <c r="DK99" s="196"/>
      <c r="DL99" s="196"/>
      <c r="DM99" s="196"/>
      <c r="DN99" s="196"/>
      <c r="DO99" s="196"/>
      <c r="DP99" s="196"/>
      <c r="DQ99" s="196"/>
      <c r="DR99" s="196"/>
      <c r="DS99" s="196"/>
      <c r="DT99" s="196"/>
      <c r="DU99" s="196"/>
      <c r="DV99" s="196"/>
      <c r="DW99" s="196"/>
      <c r="DX99" s="196"/>
      <c r="DY99" s="196"/>
      <c r="DZ99" s="196"/>
      <c r="EA99" s="196"/>
      <c r="EB99" s="196"/>
      <c r="EC99" s="196"/>
      <c r="ED99" s="196"/>
      <c r="EE99" s="196"/>
      <c r="EF99" s="196"/>
      <c r="EG99" s="196"/>
      <c r="EH99" s="196"/>
      <c r="EI99" s="196"/>
      <c r="EJ99" s="196"/>
      <c r="EK99" s="196"/>
      <c r="EL99" s="196"/>
      <c r="EM99" s="196"/>
      <c r="EN99" s="196"/>
      <c r="EO99" s="196"/>
      <c r="EP99" s="196"/>
      <c r="EQ99" s="196"/>
      <c r="ER99" s="196"/>
      <c r="ES99" s="196"/>
      <c r="ET99" s="196"/>
      <c r="EU99" s="196"/>
      <c r="EV99" s="196"/>
      <c r="EW99" s="196"/>
      <c r="EX99" s="196"/>
      <c r="EY99" s="196"/>
      <c r="EZ99" s="196"/>
      <c r="FA99" s="196"/>
      <c r="FB99" s="196"/>
      <c r="FC99" s="196"/>
      <c r="FD99" s="196"/>
      <c r="FE99" s="196"/>
      <c r="FF99" s="196"/>
      <c r="FG99" s="196"/>
      <c r="FH99" s="196"/>
      <c r="FI99" s="196"/>
      <c r="FJ99" s="196"/>
      <c r="FK99" s="196"/>
      <c r="FL99" s="196"/>
      <c r="FM99" s="196"/>
      <c r="FN99" s="196"/>
      <c r="FO99" s="196"/>
      <c r="FP99" s="196"/>
      <c r="FQ99" s="196"/>
      <c r="FR99" s="196"/>
      <c r="FS99" s="196"/>
      <c r="FT99" s="196"/>
      <c r="FU99" s="196"/>
      <c r="FV99" s="196"/>
      <c r="FW99" s="196"/>
      <c r="FX99" s="196"/>
      <c r="FY99" s="196"/>
      <c r="FZ99" s="196"/>
      <c r="GA99" s="196"/>
      <c r="GB99" s="196"/>
      <c r="GC99" s="196"/>
      <c r="GD99" s="196"/>
      <c r="GE99" s="196"/>
      <c r="GF99" s="196"/>
      <c r="GG99" s="196"/>
      <c r="GH99" s="196"/>
      <c r="GI99" s="196"/>
      <c r="GJ99" s="196"/>
      <c r="GK99" s="196"/>
      <c r="GL99" s="196"/>
      <c r="GM99" s="196"/>
      <c r="GN99" s="196"/>
      <c r="GO99" s="196"/>
      <c r="GP99" s="196"/>
      <c r="GQ99" s="196"/>
      <c r="GR99" s="196"/>
      <c r="GS99" s="196"/>
      <c r="GT99" s="196"/>
      <c r="GU99" s="196"/>
      <c r="GV99" s="196"/>
      <c r="GW99" s="196"/>
      <c r="GX99" s="196"/>
      <c r="GY99" s="196"/>
      <c r="GZ99" s="196"/>
      <c r="HA99" s="196"/>
      <c r="HB99" s="196"/>
      <c r="HC99" s="196"/>
      <c r="HD99" s="196"/>
      <c r="HE99" s="196"/>
      <c r="HF99" s="196"/>
      <c r="HG99" s="196"/>
      <c r="HH99" s="196"/>
      <c r="HI99" s="196"/>
      <c r="HJ99" s="196"/>
      <c r="HK99" s="196"/>
      <c r="HL99" s="196"/>
      <c r="HM99" s="196"/>
      <c r="HN99" s="196"/>
      <c r="HO99" s="196"/>
      <c r="HP99" s="196"/>
      <c r="HQ99" s="196"/>
      <c r="HR99" s="196"/>
      <c r="HS99" s="196"/>
      <c r="HT99" s="196"/>
      <c r="HU99" s="196"/>
      <c r="HV99" s="196"/>
      <c r="HW99" s="196"/>
      <c r="HX99" s="196"/>
      <c r="HY99" s="196"/>
      <c r="HZ99" s="196"/>
      <c r="IA99" s="196"/>
      <c r="IB99" s="196"/>
      <c r="IC99" s="196"/>
      <c r="ID99" s="196"/>
      <c r="IE99" s="196"/>
      <c r="IF99" s="196"/>
      <c r="IG99" s="196"/>
      <c r="IH99" s="196"/>
      <c r="II99" s="196"/>
      <c r="IJ99" s="196"/>
      <c r="IK99" s="196"/>
      <c r="IL99" s="196"/>
      <c r="IM99" s="196"/>
      <c r="IN99" s="196"/>
      <c r="IO99" s="196"/>
      <c r="IP99" s="196"/>
      <c r="IQ99" s="196"/>
      <c r="IR99" s="196"/>
    </row>
    <row r="100" spans="1:252" ht="15.6">
      <c r="A100" s="189"/>
      <c r="B100" s="189"/>
      <c r="C100" s="579"/>
      <c r="D100" s="579"/>
      <c r="E100" s="579"/>
      <c r="F100" s="579"/>
      <c r="G100" s="579"/>
      <c r="H100" s="579"/>
      <c r="I100" s="579"/>
      <c r="J100" s="579"/>
      <c r="K100" s="579"/>
      <c r="L100" s="579"/>
      <c r="M100" s="579"/>
      <c r="N100" s="579"/>
      <c r="O100" s="579"/>
      <c r="P100" s="579"/>
      <c r="Q100" s="579"/>
      <c r="R100" s="579"/>
      <c r="S100" s="579"/>
      <c r="T100" s="579"/>
      <c r="U100" s="579"/>
      <c r="V100" s="579"/>
      <c r="W100" s="579"/>
      <c r="X100" s="579"/>
      <c r="Y100" s="579"/>
      <c r="Z100" s="579"/>
      <c r="AA100" s="579"/>
      <c r="AB100" s="579"/>
      <c r="AC100" s="579"/>
      <c r="AD100" s="579"/>
      <c r="AE100" s="579"/>
      <c r="AF100" s="579"/>
      <c r="AG100" s="579"/>
      <c r="AH100" s="579"/>
      <c r="AI100" s="579"/>
      <c r="AJ100" s="579"/>
      <c r="AK100" s="579"/>
      <c r="AL100" s="579"/>
      <c r="AM100" s="579"/>
      <c r="AN100" s="579"/>
      <c r="AO100" s="579"/>
      <c r="AP100" s="584"/>
      <c r="AQ100" s="584"/>
      <c r="AR100" s="584"/>
      <c r="AS100" s="584"/>
      <c r="AT100" s="584"/>
      <c r="AU100" s="584"/>
      <c r="AV100" s="584"/>
      <c r="AW100" s="584"/>
      <c r="AX100" s="584"/>
      <c r="AY100" s="584"/>
      <c r="AZ100" s="196"/>
      <c r="BA100" s="196"/>
      <c r="BB100" s="196"/>
      <c r="BC100" s="196"/>
      <c r="BD100" s="196"/>
      <c r="BE100" s="196"/>
      <c r="BF100" s="196"/>
      <c r="BG100" s="196"/>
      <c r="BH100" s="196"/>
      <c r="BI100" s="196"/>
      <c r="BJ100" s="196"/>
      <c r="BK100" s="196"/>
      <c r="BL100" s="196"/>
      <c r="BM100" s="196"/>
      <c r="BN100" s="196"/>
      <c r="BO100" s="196"/>
      <c r="BP100" s="196"/>
      <c r="BQ100" s="196"/>
      <c r="BR100" s="196"/>
      <c r="BS100" s="196"/>
      <c r="BT100" s="196"/>
      <c r="BU100" s="196"/>
      <c r="BV100" s="196"/>
      <c r="BW100" s="196"/>
      <c r="BX100" s="196"/>
      <c r="BY100" s="196"/>
      <c r="BZ100" s="196"/>
      <c r="CA100" s="196"/>
      <c r="CB100" s="196"/>
      <c r="CC100" s="196"/>
      <c r="CD100" s="196"/>
      <c r="CE100" s="196"/>
      <c r="CF100" s="196"/>
      <c r="CG100" s="196"/>
      <c r="CH100" s="196"/>
      <c r="CI100" s="196"/>
      <c r="CJ100" s="196"/>
      <c r="CK100" s="196"/>
      <c r="CL100" s="196"/>
      <c r="CM100" s="196"/>
      <c r="CN100" s="196"/>
      <c r="CO100" s="196"/>
      <c r="CP100" s="196"/>
      <c r="CQ100" s="196"/>
      <c r="CR100" s="196"/>
      <c r="CS100" s="196"/>
      <c r="CT100" s="196"/>
      <c r="CU100" s="196"/>
      <c r="CV100" s="196"/>
      <c r="CW100" s="196"/>
      <c r="CX100" s="196"/>
      <c r="CY100" s="196"/>
      <c r="CZ100" s="196"/>
      <c r="DA100" s="196"/>
      <c r="DB100" s="196"/>
      <c r="DC100" s="196"/>
      <c r="DD100" s="196"/>
      <c r="DE100" s="196"/>
      <c r="DF100" s="196"/>
      <c r="DG100" s="196"/>
      <c r="DH100" s="196"/>
      <c r="DI100" s="196"/>
      <c r="DJ100" s="196"/>
      <c r="DK100" s="196"/>
      <c r="DL100" s="196"/>
      <c r="DM100" s="196"/>
      <c r="DN100" s="196"/>
      <c r="DO100" s="196"/>
      <c r="DP100" s="196"/>
      <c r="DQ100" s="196"/>
      <c r="DR100" s="196"/>
      <c r="DS100" s="196"/>
      <c r="DT100" s="196"/>
      <c r="DU100" s="196"/>
      <c r="DV100" s="196"/>
      <c r="DW100" s="196"/>
      <c r="DX100" s="196"/>
      <c r="DY100" s="196"/>
      <c r="DZ100" s="196"/>
      <c r="EA100" s="196"/>
      <c r="EB100" s="196"/>
      <c r="EC100" s="196"/>
      <c r="ED100" s="196"/>
      <c r="EE100" s="196"/>
      <c r="EF100" s="196"/>
      <c r="EG100" s="196"/>
      <c r="EH100" s="196"/>
      <c r="EI100" s="196"/>
      <c r="EJ100" s="196"/>
      <c r="EK100" s="196"/>
      <c r="EL100" s="196"/>
      <c r="EM100" s="196"/>
      <c r="EN100" s="196"/>
      <c r="EO100" s="196"/>
      <c r="EP100" s="196"/>
      <c r="EQ100" s="196"/>
      <c r="ER100" s="196"/>
      <c r="ES100" s="196"/>
      <c r="ET100" s="196"/>
      <c r="EU100" s="196"/>
      <c r="EV100" s="196"/>
      <c r="EW100" s="196"/>
      <c r="EX100" s="196"/>
      <c r="EY100" s="196"/>
      <c r="EZ100" s="196"/>
      <c r="FA100" s="196"/>
      <c r="FB100" s="196"/>
      <c r="FC100" s="196"/>
      <c r="FD100" s="196"/>
      <c r="FE100" s="196"/>
      <c r="FF100" s="196"/>
      <c r="FG100" s="196"/>
      <c r="FH100" s="196"/>
      <c r="FI100" s="196"/>
      <c r="FJ100" s="196"/>
      <c r="FK100" s="196"/>
      <c r="FL100" s="196"/>
      <c r="FM100" s="196"/>
      <c r="FN100" s="196"/>
      <c r="FO100" s="196"/>
      <c r="FP100" s="196"/>
      <c r="FQ100" s="196"/>
      <c r="FR100" s="196"/>
      <c r="FS100" s="196"/>
      <c r="FT100" s="196"/>
      <c r="FU100" s="196"/>
      <c r="FV100" s="196"/>
      <c r="FW100" s="196"/>
      <c r="FX100" s="196"/>
      <c r="FY100" s="196"/>
      <c r="FZ100" s="196"/>
      <c r="GA100" s="196"/>
      <c r="GB100" s="196"/>
      <c r="GC100" s="196"/>
      <c r="GD100" s="196"/>
      <c r="GE100" s="196"/>
      <c r="GF100" s="196"/>
      <c r="GG100" s="196"/>
      <c r="GH100" s="196"/>
      <c r="GI100" s="196"/>
      <c r="GJ100" s="196"/>
      <c r="GK100" s="196"/>
      <c r="GL100" s="196"/>
      <c r="GM100" s="196"/>
      <c r="GN100" s="196"/>
      <c r="GO100" s="196"/>
      <c r="GP100" s="196"/>
      <c r="GQ100" s="196"/>
      <c r="GR100" s="196"/>
      <c r="GS100" s="196"/>
      <c r="GT100" s="196"/>
      <c r="GU100" s="196"/>
      <c r="GV100" s="196"/>
      <c r="GW100" s="196"/>
      <c r="GX100" s="196"/>
      <c r="GY100" s="196"/>
      <c r="GZ100" s="196"/>
      <c r="HA100" s="196"/>
      <c r="HB100" s="196"/>
      <c r="HC100" s="196"/>
      <c r="HD100" s="196"/>
      <c r="HE100" s="196"/>
      <c r="HF100" s="196"/>
      <c r="HG100" s="196"/>
      <c r="HH100" s="196"/>
      <c r="HI100" s="196"/>
      <c r="HJ100" s="196"/>
      <c r="HK100" s="196"/>
      <c r="HL100" s="196"/>
      <c r="HM100" s="196"/>
      <c r="HN100" s="196"/>
      <c r="HO100" s="196"/>
      <c r="HP100" s="196"/>
      <c r="HQ100" s="196"/>
      <c r="HR100" s="196"/>
      <c r="HS100" s="196"/>
      <c r="HT100" s="196"/>
      <c r="HU100" s="196"/>
      <c r="HV100" s="196"/>
      <c r="HW100" s="196"/>
      <c r="HX100" s="196"/>
      <c r="HY100" s="196"/>
      <c r="HZ100" s="196"/>
      <c r="IA100" s="196"/>
      <c r="IB100" s="196"/>
      <c r="IC100" s="196"/>
      <c r="ID100" s="196"/>
      <c r="IE100" s="196"/>
      <c r="IF100" s="196"/>
      <c r="IG100" s="196"/>
      <c r="IH100" s="196"/>
      <c r="II100" s="196"/>
      <c r="IJ100" s="196"/>
      <c r="IK100" s="196"/>
      <c r="IL100" s="196"/>
      <c r="IM100" s="196"/>
      <c r="IN100" s="196"/>
      <c r="IO100" s="196"/>
      <c r="IP100" s="196"/>
      <c r="IQ100" s="196"/>
      <c r="IR100" s="196"/>
    </row>
    <row r="101" spans="1:252" ht="15.6">
      <c r="A101" s="189"/>
      <c r="B101" s="189"/>
      <c r="C101" s="579"/>
      <c r="D101" s="579"/>
      <c r="E101" s="579"/>
      <c r="F101" s="579"/>
      <c r="G101" s="579"/>
      <c r="H101" s="579"/>
      <c r="I101" s="579"/>
      <c r="J101" s="579"/>
      <c r="K101" s="579"/>
      <c r="L101" s="579"/>
      <c r="M101" s="579"/>
      <c r="N101" s="579"/>
      <c r="O101" s="579"/>
      <c r="P101" s="579"/>
      <c r="Q101" s="579"/>
      <c r="R101" s="579"/>
      <c r="S101" s="579"/>
      <c r="T101" s="579"/>
      <c r="U101" s="579"/>
      <c r="V101" s="579"/>
      <c r="W101" s="579"/>
      <c r="X101" s="579"/>
      <c r="Y101" s="579"/>
      <c r="Z101" s="579"/>
      <c r="AA101" s="579"/>
      <c r="AB101" s="579"/>
      <c r="AC101" s="579"/>
      <c r="AD101" s="579"/>
      <c r="AE101" s="579"/>
      <c r="AF101" s="579"/>
      <c r="AG101" s="579"/>
      <c r="AH101" s="579"/>
      <c r="AI101" s="579"/>
      <c r="AJ101" s="579"/>
      <c r="AK101" s="579"/>
      <c r="AL101" s="579"/>
      <c r="AM101" s="579"/>
      <c r="AN101" s="579"/>
      <c r="AO101" s="579"/>
      <c r="AP101" s="584"/>
      <c r="AQ101" s="584"/>
      <c r="AR101" s="584"/>
      <c r="AS101" s="584"/>
      <c r="AT101" s="584"/>
      <c r="AU101" s="584"/>
      <c r="AV101" s="584"/>
      <c r="AW101" s="584"/>
      <c r="AX101" s="584"/>
      <c r="AY101" s="584"/>
      <c r="AZ101" s="196"/>
      <c r="BA101" s="196"/>
      <c r="BB101" s="196"/>
      <c r="BC101" s="196"/>
      <c r="BD101" s="196"/>
      <c r="BE101" s="196"/>
      <c r="BF101" s="196"/>
      <c r="BG101" s="196"/>
      <c r="BH101" s="196"/>
      <c r="BI101" s="196"/>
      <c r="BJ101" s="196"/>
      <c r="BK101" s="196"/>
      <c r="BL101" s="196"/>
      <c r="BM101" s="196"/>
      <c r="BN101" s="196"/>
      <c r="BO101" s="196"/>
      <c r="BP101" s="196"/>
      <c r="BQ101" s="196"/>
      <c r="BR101" s="196"/>
      <c r="BS101" s="196"/>
      <c r="BT101" s="196"/>
      <c r="BU101" s="196"/>
      <c r="BV101" s="196"/>
      <c r="BW101" s="196"/>
      <c r="BX101" s="196"/>
      <c r="BY101" s="196"/>
      <c r="BZ101" s="196"/>
      <c r="CA101" s="196"/>
      <c r="CB101" s="196"/>
      <c r="CC101" s="196"/>
      <c r="CD101" s="196"/>
      <c r="CE101" s="196"/>
      <c r="CF101" s="196"/>
      <c r="CG101" s="196"/>
      <c r="CH101" s="196"/>
      <c r="CI101" s="196"/>
      <c r="CJ101" s="196"/>
      <c r="CK101" s="196"/>
      <c r="CL101" s="196"/>
      <c r="CM101" s="196"/>
      <c r="CN101" s="196"/>
      <c r="CO101" s="196"/>
      <c r="CP101" s="196"/>
      <c r="CQ101" s="196"/>
      <c r="CR101" s="196"/>
      <c r="CS101" s="196"/>
      <c r="CT101" s="196"/>
      <c r="CU101" s="196"/>
      <c r="CV101" s="196"/>
      <c r="CW101" s="196"/>
      <c r="CX101" s="196"/>
      <c r="CY101" s="196"/>
      <c r="CZ101" s="196"/>
      <c r="DA101" s="196"/>
      <c r="DB101" s="196"/>
      <c r="DC101" s="196"/>
      <c r="DD101" s="196"/>
      <c r="DE101" s="196"/>
      <c r="DF101" s="196"/>
      <c r="DG101" s="196"/>
      <c r="DH101" s="196"/>
      <c r="DI101" s="196"/>
      <c r="DJ101" s="196"/>
      <c r="DK101" s="196"/>
      <c r="DL101" s="196"/>
      <c r="DM101" s="196"/>
      <c r="DN101" s="196"/>
      <c r="DO101" s="196"/>
      <c r="DP101" s="196"/>
      <c r="DQ101" s="196"/>
      <c r="DR101" s="196"/>
      <c r="DS101" s="196"/>
      <c r="DT101" s="196"/>
      <c r="DU101" s="196"/>
      <c r="DV101" s="196"/>
      <c r="DW101" s="196"/>
      <c r="DX101" s="196"/>
      <c r="DY101" s="196"/>
      <c r="DZ101" s="196"/>
      <c r="EA101" s="196"/>
      <c r="EB101" s="196"/>
      <c r="EC101" s="196"/>
      <c r="ED101" s="196"/>
      <c r="EE101" s="196"/>
      <c r="EF101" s="196"/>
      <c r="EG101" s="196"/>
      <c r="EH101" s="196"/>
      <c r="EI101" s="196"/>
      <c r="EJ101" s="196"/>
      <c r="EK101" s="196"/>
      <c r="EL101" s="196"/>
      <c r="EM101" s="196"/>
      <c r="EN101" s="196"/>
      <c r="EO101" s="196"/>
      <c r="EP101" s="196"/>
      <c r="EQ101" s="196"/>
      <c r="ER101" s="196"/>
      <c r="ES101" s="196"/>
      <c r="ET101" s="196"/>
      <c r="EU101" s="196"/>
      <c r="EV101" s="196"/>
      <c r="EW101" s="196"/>
      <c r="EX101" s="196"/>
      <c r="EY101" s="196"/>
      <c r="EZ101" s="196"/>
      <c r="FA101" s="196"/>
      <c r="FB101" s="196"/>
      <c r="FC101" s="196"/>
      <c r="FD101" s="196"/>
      <c r="FE101" s="196"/>
      <c r="FF101" s="196"/>
      <c r="FG101" s="196"/>
      <c r="FH101" s="196"/>
      <c r="FI101" s="196"/>
      <c r="FJ101" s="196"/>
      <c r="FK101" s="196"/>
      <c r="FL101" s="196"/>
      <c r="FM101" s="196"/>
      <c r="FN101" s="196"/>
      <c r="FO101" s="196"/>
      <c r="FP101" s="196"/>
      <c r="FQ101" s="196"/>
      <c r="FR101" s="196"/>
      <c r="FS101" s="196"/>
      <c r="FT101" s="196"/>
      <c r="FU101" s="196"/>
      <c r="FV101" s="196"/>
      <c r="FW101" s="196"/>
      <c r="FX101" s="196"/>
      <c r="FY101" s="196"/>
      <c r="FZ101" s="196"/>
      <c r="GA101" s="196"/>
      <c r="GB101" s="196"/>
      <c r="GC101" s="196"/>
      <c r="GD101" s="196"/>
      <c r="GE101" s="196"/>
      <c r="GF101" s="196"/>
      <c r="GG101" s="196"/>
      <c r="GH101" s="196"/>
      <c r="GI101" s="196"/>
      <c r="GJ101" s="196"/>
      <c r="GK101" s="196"/>
      <c r="GL101" s="196"/>
      <c r="GM101" s="196"/>
      <c r="GN101" s="196"/>
      <c r="GO101" s="196"/>
      <c r="GP101" s="196"/>
      <c r="GQ101" s="196"/>
      <c r="GR101" s="196"/>
      <c r="GS101" s="196"/>
      <c r="GT101" s="196"/>
      <c r="GU101" s="196"/>
      <c r="GV101" s="196"/>
      <c r="GW101" s="196"/>
      <c r="GX101" s="196"/>
      <c r="GY101" s="196"/>
      <c r="GZ101" s="196"/>
      <c r="HA101" s="196"/>
      <c r="HB101" s="196"/>
      <c r="HC101" s="196"/>
      <c r="HD101" s="196"/>
      <c r="HE101" s="196"/>
      <c r="HF101" s="196"/>
      <c r="HG101" s="196"/>
      <c r="HH101" s="196"/>
      <c r="HI101" s="196"/>
      <c r="HJ101" s="196"/>
      <c r="HK101" s="196"/>
      <c r="HL101" s="196"/>
      <c r="HM101" s="196"/>
      <c r="HN101" s="196"/>
      <c r="HO101" s="196"/>
      <c r="HP101" s="196"/>
      <c r="HQ101" s="196"/>
      <c r="HR101" s="196"/>
      <c r="HS101" s="196"/>
      <c r="HT101" s="196"/>
      <c r="HU101" s="196"/>
      <c r="HV101" s="196"/>
      <c r="HW101" s="196"/>
      <c r="HX101" s="196"/>
      <c r="HY101" s="196"/>
      <c r="HZ101" s="196"/>
      <c r="IA101" s="196"/>
      <c r="IB101" s="196"/>
      <c r="IC101" s="196"/>
      <c r="ID101" s="196"/>
      <c r="IE101" s="196"/>
      <c r="IF101" s="196"/>
      <c r="IG101" s="196"/>
      <c r="IH101" s="196"/>
      <c r="II101" s="196"/>
      <c r="IJ101" s="196"/>
      <c r="IK101" s="196"/>
      <c r="IL101" s="196"/>
      <c r="IM101" s="196"/>
      <c r="IN101" s="196"/>
      <c r="IO101" s="196"/>
      <c r="IP101" s="196"/>
      <c r="IQ101" s="196"/>
      <c r="IR101" s="196"/>
    </row>
    <row r="102" spans="1:252" ht="15.6">
      <c r="A102" s="189"/>
      <c r="B102" s="189"/>
      <c r="C102" s="579"/>
      <c r="D102" s="579"/>
      <c r="E102" s="579"/>
      <c r="F102" s="579"/>
      <c r="G102" s="579"/>
      <c r="H102" s="579"/>
      <c r="I102" s="579"/>
      <c r="J102" s="579"/>
      <c r="K102" s="579"/>
      <c r="L102" s="579"/>
      <c r="M102" s="579"/>
      <c r="N102" s="579"/>
      <c r="O102" s="579"/>
      <c r="P102" s="579"/>
      <c r="Q102" s="579"/>
      <c r="R102" s="579"/>
      <c r="S102" s="579"/>
      <c r="T102" s="579"/>
      <c r="U102" s="579"/>
      <c r="V102" s="579"/>
      <c r="W102" s="579"/>
      <c r="X102" s="579"/>
      <c r="Y102" s="579"/>
      <c r="Z102" s="579"/>
      <c r="AA102" s="579"/>
      <c r="AB102" s="579"/>
      <c r="AC102" s="579"/>
      <c r="AD102" s="579"/>
      <c r="AE102" s="579"/>
      <c r="AF102" s="579"/>
      <c r="AG102" s="579"/>
      <c r="AH102" s="579"/>
      <c r="AI102" s="579"/>
      <c r="AJ102" s="579"/>
      <c r="AK102" s="579"/>
      <c r="AL102" s="579"/>
      <c r="AM102" s="579"/>
      <c r="AN102" s="579"/>
      <c r="AO102" s="579"/>
      <c r="AP102" s="584"/>
      <c r="AQ102" s="584"/>
      <c r="AR102" s="584"/>
      <c r="AS102" s="584"/>
      <c r="AT102" s="584"/>
      <c r="AU102" s="584"/>
      <c r="AV102" s="584"/>
      <c r="AW102" s="584"/>
      <c r="AX102" s="584"/>
      <c r="AY102" s="584"/>
      <c r="AZ102" s="196"/>
      <c r="BA102" s="196"/>
      <c r="BB102" s="196"/>
      <c r="BC102" s="196"/>
      <c r="BD102" s="196"/>
      <c r="BE102" s="196"/>
      <c r="BF102" s="196"/>
      <c r="BG102" s="196"/>
      <c r="BH102" s="196"/>
      <c r="BI102" s="196"/>
      <c r="BJ102" s="196"/>
      <c r="BK102" s="196"/>
      <c r="BL102" s="196"/>
      <c r="BM102" s="196"/>
      <c r="BN102" s="196"/>
      <c r="BO102" s="196"/>
      <c r="BP102" s="196"/>
      <c r="BQ102" s="196"/>
      <c r="BR102" s="196"/>
      <c r="BS102" s="196"/>
      <c r="BT102" s="196"/>
      <c r="BU102" s="196"/>
      <c r="BV102" s="196"/>
      <c r="BW102" s="196"/>
      <c r="BX102" s="196"/>
      <c r="BY102" s="196"/>
      <c r="BZ102" s="196"/>
      <c r="CA102" s="196"/>
      <c r="CB102" s="196"/>
      <c r="CC102" s="196"/>
      <c r="CD102" s="196"/>
      <c r="CE102" s="196"/>
      <c r="CF102" s="196"/>
      <c r="CG102" s="196"/>
      <c r="CH102" s="196"/>
      <c r="CI102" s="196"/>
      <c r="CJ102" s="196"/>
      <c r="CK102" s="196"/>
      <c r="CL102" s="196"/>
      <c r="CM102" s="196"/>
      <c r="CN102" s="196"/>
      <c r="CO102" s="196"/>
      <c r="CP102" s="196"/>
      <c r="CQ102" s="196"/>
      <c r="CR102" s="196"/>
      <c r="CS102" s="196"/>
      <c r="CT102" s="196"/>
      <c r="CU102" s="196"/>
      <c r="CV102" s="196"/>
      <c r="CW102" s="196"/>
      <c r="CX102" s="196"/>
      <c r="CY102" s="196"/>
      <c r="CZ102" s="196"/>
      <c r="DA102" s="196"/>
      <c r="DB102" s="196"/>
      <c r="DC102" s="196"/>
      <c r="DD102" s="196"/>
      <c r="DE102" s="196"/>
      <c r="DF102" s="196"/>
      <c r="DG102" s="196"/>
      <c r="DH102" s="196"/>
      <c r="DI102" s="196"/>
      <c r="DJ102" s="196"/>
      <c r="DK102" s="196"/>
      <c r="DL102" s="196"/>
      <c r="DM102" s="196"/>
      <c r="DN102" s="196"/>
      <c r="DO102" s="196"/>
      <c r="DP102" s="196"/>
      <c r="DQ102" s="196"/>
      <c r="DR102" s="196"/>
      <c r="DS102" s="196"/>
      <c r="DT102" s="196"/>
      <c r="DU102" s="196"/>
      <c r="DV102" s="196"/>
      <c r="DW102" s="196"/>
      <c r="DX102" s="196"/>
      <c r="DY102" s="196"/>
      <c r="DZ102" s="196"/>
      <c r="EA102" s="196"/>
      <c r="EB102" s="196"/>
      <c r="EC102" s="196"/>
      <c r="ED102" s="196"/>
      <c r="EE102" s="196"/>
      <c r="EF102" s="196"/>
      <c r="EG102" s="196"/>
      <c r="EH102" s="196"/>
      <c r="EI102" s="196"/>
      <c r="EJ102" s="196"/>
      <c r="EK102" s="196"/>
      <c r="EL102" s="196"/>
      <c r="EM102" s="196"/>
      <c r="EN102" s="196"/>
      <c r="EO102" s="196"/>
      <c r="EP102" s="196"/>
      <c r="EQ102" s="196"/>
      <c r="ER102" s="196"/>
      <c r="ES102" s="196"/>
      <c r="ET102" s="196"/>
      <c r="EU102" s="196"/>
      <c r="EV102" s="196"/>
      <c r="EW102" s="196"/>
      <c r="EX102" s="196"/>
      <c r="EY102" s="196"/>
      <c r="EZ102" s="196"/>
      <c r="FA102" s="196"/>
      <c r="FB102" s="196"/>
      <c r="FC102" s="196"/>
      <c r="FD102" s="196"/>
      <c r="FE102" s="196"/>
      <c r="FF102" s="196"/>
      <c r="FG102" s="196"/>
      <c r="FH102" s="196"/>
      <c r="FI102" s="196"/>
      <c r="FJ102" s="196"/>
      <c r="FK102" s="196"/>
      <c r="FL102" s="196"/>
      <c r="FM102" s="196"/>
      <c r="FN102" s="196"/>
      <c r="FO102" s="196"/>
      <c r="FP102" s="196"/>
      <c r="FQ102" s="196"/>
      <c r="FR102" s="196"/>
      <c r="FS102" s="196"/>
      <c r="FT102" s="196"/>
      <c r="FU102" s="196"/>
      <c r="FV102" s="196"/>
      <c r="FW102" s="196"/>
      <c r="FX102" s="196"/>
      <c r="FY102" s="196"/>
      <c r="FZ102" s="196"/>
      <c r="GA102" s="196"/>
      <c r="GB102" s="196"/>
      <c r="GC102" s="196"/>
      <c r="GD102" s="196"/>
      <c r="GE102" s="196"/>
      <c r="GF102" s="196"/>
      <c r="GG102" s="196"/>
      <c r="GH102" s="196"/>
      <c r="GI102" s="196"/>
      <c r="GJ102" s="196"/>
      <c r="GK102" s="196"/>
      <c r="GL102" s="196"/>
      <c r="GM102" s="196"/>
      <c r="GN102" s="196"/>
      <c r="GO102" s="196"/>
      <c r="GP102" s="196"/>
      <c r="GQ102" s="196"/>
      <c r="GR102" s="196"/>
      <c r="GS102" s="196"/>
      <c r="GT102" s="196"/>
      <c r="GU102" s="196"/>
      <c r="GV102" s="196"/>
      <c r="GW102" s="196"/>
      <c r="GX102" s="196"/>
      <c r="GY102" s="196"/>
      <c r="GZ102" s="196"/>
      <c r="HA102" s="196"/>
      <c r="HB102" s="196"/>
      <c r="HC102" s="196"/>
      <c r="HD102" s="196"/>
      <c r="HE102" s="196"/>
      <c r="HF102" s="196"/>
      <c r="HG102" s="196"/>
      <c r="HH102" s="196"/>
      <c r="HI102" s="196"/>
      <c r="HJ102" s="196"/>
      <c r="HK102" s="196"/>
      <c r="HL102" s="196"/>
      <c r="HM102" s="196"/>
      <c r="HN102" s="196"/>
      <c r="HO102" s="196"/>
      <c r="HP102" s="196"/>
      <c r="HQ102" s="196"/>
      <c r="HR102" s="196"/>
      <c r="HS102" s="196"/>
      <c r="HT102" s="196"/>
      <c r="HU102" s="196"/>
      <c r="HV102" s="196"/>
      <c r="HW102" s="196"/>
      <c r="HX102" s="196"/>
      <c r="HY102" s="196"/>
      <c r="HZ102" s="196"/>
      <c r="IA102" s="196"/>
      <c r="IB102" s="196"/>
      <c r="IC102" s="196"/>
      <c r="ID102" s="196"/>
      <c r="IE102" s="196"/>
      <c r="IF102" s="196"/>
      <c r="IG102" s="196"/>
      <c r="IH102" s="196"/>
      <c r="II102" s="196"/>
      <c r="IJ102" s="196"/>
      <c r="IK102" s="196"/>
      <c r="IL102" s="196"/>
      <c r="IM102" s="196"/>
      <c r="IN102" s="196"/>
      <c r="IO102" s="196"/>
      <c r="IP102" s="196"/>
      <c r="IQ102" s="196"/>
      <c r="IR102" s="196"/>
    </row>
    <row r="103" spans="1:252" ht="15.6">
      <c r="A103" s="189"/>
      <c r="B103" s="189"/>
      <c r="C103" s="579"/>
      <c r="D103" s="579"/>
      <c r="E103" s="579"/>
      <c r="F103" s="579"/>
      <c r="G103" s="579"/>
      <c r="H103" s="579"/>
      <c r="I103" s="579"/>
      <c r="J103" s="579"/>
      <c r="K103" s="579"/>
      <c r="L103" s="579"/>
      <c r="M103" s="579"/>
      <c r="N103" s="579"/>
      <c r="O103" s="579"/>
      <c r="P103" s="579"/>
      <c r="Q103" s="579"/>
      <c r="R103" s="579"/>
      <c r="S103" s="579"/>
      <c r="T103" s="579"/>
      <c r="U103" s="579"/>
      <c r="V103" s="579"/>
      <c r="W103" s="579"/>
      <c r="X103" s="579"/>
      <c r="Y103" s="579"/>
      <c r="Z103" s="579"/>
      <c r="AA103" s="579"/>
      <c r="AB103" s="579"/>
      <c r="AC103" s="579"/>
      <c r="AD103" s="579"/>
      <c r="AE103" s="579"/>
      <c r="AF103" s="579"/>
      <c r="AG103" s="579"/>
      <c r="AH103" s="579"/>
      <c r="AI103" s="579"/>
      <c r="AJ103" s="579"/>
      <c r="AK103" s="579"/>
      <c r="AL103" s="579"/>
      <c r="AM103" s="579"/>
      <c r="AN103" s="579"/>
      <c r="AO103" s="579"/>
      <c r="AP103" s="584"/>
      <c r="AQ103" s="584"/>
      <c r="AR103" s="584"/>
      <c r="AS103" s="584"/>
      <c r="AT103" s="584"/>
      <c r="AU103" s="584"/>
      <c r="AV103" s="584"/>
      <c r="AW103" s="584"/>
      <c r="AX103" s="584"/>
      <c r="AY103" s="584"/>
      <c r="AZ103" s="196"/>
      <c r="BA103" s="196"/>
      <c r="BB103" s="196"/>
      <c r="BC103" s="196"/>
      <c r="BD103" s="196"/>
      <c r="BE103" s="196"/>
      <c r="BF103" s="196"/>
      <c r="BG103" s="196"/>
      <c r="BH103" s="196"/>
      <c r="BI103" s="196"/>
      <c r="BJ103" s="196"/>
      <c r="BK103" s="196"/>
      <c r="BL103" s="196"/>
      <c r="BM103" s="196"/>
      <c r="BN103" s="196"/>
      <c r="BO103" s="196"/>
      <c r="BP103" s="196"/>
      <c r="BQ103" s="196"/>
      <c r="BR103" s="196"/>
      <c r="BS103" s="196"/>
      <c r="BT103" s="196"/>
      <c r="BU103" s="196"/>
      <c r="BV103" s="196"/>
      <c r="BW103" s="196"/>
      <c r="BX103" s="196"/>
      <c r="BY103" s="196"/>
      <c r="BZ103" s="196"/>
      <c r="CA103" s="196"/>
      <c r="CB103" s="196"/>
      <c r="CC103" s="196"/>
      <c r="CD103" s="196"/>
      <c r="CE103" s="196"/>
      <c r="CF103" s="196"/>
      <c r="CG103" s="196"/>
      <c r="CH103" s="196"/>
      <c r="CI103" s="196"/>
      <c r="CJ103" s="196"/>
      <c r="CK103" s="196"/>
      <c r="CL103" s="196"/>
      <c r="CM103" s="196"/>
      <c r="CN103" s="196"/>
      <c r="CO103" s="196"/>
      <c r="CP103" s="196"/>
      <c r="CQ103" s="196"/>
      <c r="CR103" s="196"/>
      <c r="CS103" s="196"/>
      <c r="CT103" s="196"/>
      <c r="CU103" s="196"/>
      <c r="CV103" s="196"/>
      <c r="CW103" s="196"/>
      <c r="CX103" s="196"/>
      <c r="CY103" s="196"/>
      <c r="CZ103" s="196"/>
      <c r="DA103" s="196"/>
      <c r="DB103" s="196"/>
      <c r="DC103" s="196"/>
      <c r="DD103" s="196"/>
      <c r="DE103" s="196"/>
      <c r="DF103" s="196"/>
      <c r="DG103" s="196"/>
      <c r="DH103" s="196"/>
      <c r="DI103" s="196"/>
      <c r="DJ103" s="196"/>
      <c r="DK103" s="196"/>
      <c r="DL103" s="196"/>
      <c r="DM103" s="196"/>
      <c r="DN103" s="196"/>
      <c r="DO103" s="196"/>
      <c r="DP103" s="196"/>
      <c r="DQ103" s="196"/>
      <c r="DR103" s="196"/>
      <c r="DS103" s="196"/>
      <c r="DT103" s="196"/>
      <c r="DU103" s="196"/>
      <c r="DV103" s="196"/>
      <c r="DW103" s="196"/>
      <c r="DX103" s="196"/>
      <c r="DY103" s="196"/>
      <c r="DZ103" s="196"/>
      <c r="EA103" s="196"/>
      <c r="EB103" s="196"/>
      <c r="EC103" s="196"/>
      <c r="ED103" s="196"/>
      <c r="EE103" s="196"/>
      <c r="EF103" s="196"/>
      <c r="EG103" s="196"/>
      <c r="EH103" s="196"/>
      <c r="EI103" s="196"/>
      <c r="EJ103" s="196"/>
      <c r="EK103" s="196"/>
      <c r="EL103" s="196"/>
      <c r="EM103" s="196"/>
      <c r="EN103" s="196"/>
      <c r="EO103" s="196"/>
      <c r="EP103" s="196"/>
      <c r="EQ103" s="196"/>
      <c r="ER103" s="196"/>
      <c r="ES103" s="196"/>
      <c r="ET103" s="196"/>
      <c r="EU103" s="196"/>
      <c r="EV103" s="196"/>
      <c r="EW103" s="196"/>
      <c r="EX103" s="196"/>
      <c r="EY103" s="196"/>
      <c r="EZ103" s="196"/>
      <c r="FA103" s="196"/>
      <c r="FB103" s="196"/>
      <c r="FC103" s="196"/>
      <c r="FD103" s="196"/>
      <c r="FE103" s="196"/>
      <c r="FF103" s="196"/>
      <c r="FG103" s="196"/>
      <c r="FH103" s="196"/>
      <c r="FI103" s="196"/>
      <c r="FJ103" s="196"/>
      <c r="FK103" s="196"/>
      <c r="FL103" s="196"/>
      <c r="FM103" s="196"/>
      <c r="FN103" s="196"/>
      <c r="FO103" s="196"/>
      <c r="FP103" s="196"/>
      <c r="FQ103" s="196"/>
      <c r="FR103" s="196"/>
      <c r="FS103" s="196"/>
      <c r="FT103" s="196"/>
      <c r="FU103" s="196"/>
      <c r="FV103" s="196"/>
      <c r="FW103" s="196"/>
      <c r="FX103" s="196"/>
      <c r="FY103" s="196"/>
      <c r="FZ103" s="196"/>
      <c r="GA103" s="196"/>
      <c r="GB103" s="196"/>
      <c r="GC103" s="196"/>
      <c r="GD103" s="196"/>
      <c r="GE103" s="196"/>
      <c r="GF103" s="196"/>
      <c r="GG103" s="196"/>
      <c r="GH103" s="196"/>
      <c r="GI103" s="196"/>
      <c r="GJ103" s="196"/>
      <c r="GK103" s="196"/>
      <c r="GL103" s="196"/>
      <c r="GM103" s="196"/>
      <c r="GN103" s="196"/>
      <c r="GO103" s="196"/>
      <c r="GP103" s="196"/>
      <c r="GQ103" s="196"/>
      <c r="GR103" s="196"/>
      <c r="GS103" s="196"/>
      <c r="GT103" s="196"/>
      <c r="GU103" s="196"/>
      <c r="GV103" s="196"/>
      <c r="GW103" s="196"/>
      <c r="GX103" s="196"/>
      <c r="GY103" s="196"/>
      <c r="GZ103" s="196"/>
      <c r="HA103" s="196"/>
      <c r="HB103" s="196"/>
      <c r="HC103" s="196"/>
      <c r="HD103" s="196"/>
      <c r="HE103" s="196"/>
      <c r="HF103" s="196"/>
      <c r="HG103" s="196"/>
      <c r="HH103" s="196"/>
      <c r="HI103" s="196"/>
      <c r="HJ103" s="196"/>
      <c r="HK103" s="196"/>
      <c r="HL103" s="196"/>
      <c r="HM103" s="196"/>
      <c r="HN103" s="196"/>
      <c r="HO103" s="196"/>
      <c r="HP103" s="196"/>
      <c r="HQ103" s="196"/>
      <c r="HR103" s="196"/>
      <c r="HS103" s="196"/>
      <c r="HT103" s="196"/>
      <c r="HU103" s="196"/>
      <c r="HV103" s="196"/>
      <c r="HW103" s="196"/>
      <c r="HX103" s="196"/>
      <c r="HY103" s="196"/>
      <c r="HZ103" s="196"/>
      <c r="IA103" s="196"/>
      <c r="IB103" s="196"/>
      <c r="IC103" s="196"/>
      <c r="ID103" s="196"/>
      <c r="IE103" s="196"/>
      <c r="IF103" s="196"/>
      <c r="IG103" s="196"/>
      <c r="IH103" s="196"/>
      <c r="II103" s="196"/>
      <c r="IJ103" s="196"/>
      <c r="IK103" s="196"/>
      <c r="IL103" s="196"/>
      <c r="IM103" s="196"/>
      <c r="IN103" s="196"/>
      <c r="IO103" s="196"/>
      <c r="IP103" s="196"/>
      <c r="IQ103" s="196"/>
      <c r="IR103" s="196"/>
    </row>
    <row r="104" spans="1:252" ht="15.6">
      <c r="A104" s="189"/>
      <c r="B104" s="189"/>
      <c r="C104" s="579"/>
      <c r="D104" s="579"/>
      <c r="E104" s="579"/>
      <c r="F104" s="579"/>
      <c r="G104" s="579"/>
      <c r="H104" s="579"/>
      <c r="I104" s="579"/>
      <c r="J104" s="579"/>
      <c r="K104" s="579"/>
      <c r="L104" s="579"/>
      <c r="M104" s="579"/>
      <c r="N104" s="579"/>
      <c r="O104" s="579"/>
      <c r="P104" s="579"/>
      <c r="Q104" s="579"/>
      <c r="R104" s="579"/>
      <c r="S104" s="579"/>
      <c r="T104" s="579"/>
      <c r="U104" s="579"/>
      <c r="V104" s="579"/>
      <c r="W104" s="579"/>
      <c r="X104" s="579"/>
      <c r="Y104" s="579"/>
      <c r="Z104" s="579"/>
      <c r="AA104" s="579"/>
      <c r="AB104" s="579"/>
      <c r="AC104" s="579"/>
      <c r="AD104" s="579"/>
      <c r="AE104" s="579"/>
      <c r="AF104" s="579"/>
      <c r="AG104" s="579"/>
      <c r="AH104" s="579"/>
      <c r="AI104" s="579"/>
      <c r="AJ104" s="579"/>
      <c r="AK104" s="579"/>
      <c r="AL104" s="579"/>
      <c r="AM104" s="579"/>
      <c r="AN104" s="579"/>
      <c r="AO104" s="579"/>
      <c r="AP104" s="584"/>
      <c r="AQ104" s="584"/>
      <c r="AR104" s="584"/>
      <c r="AS104" s="584"/>
      <c r="AT104" s="584"/>
      <c r="AU104" s="584"/>
      <c r="AV104" s="584"/>
      <c r="AW104" s="584"/>
      <c r="AX104" s="584"/>
      <c r="AY104" s="584"/>
      <c r="AZ104" s="196"/>
      <c r="BA104" s="196"/>
      <c r="BB104" s="196"/>
      <c r="BC104" s="196"/>
      <c r="BD104" s="196"/>
      <c r="BE104" s="196"/>
      <c r="BF104" s="196"/>
      <c r="BG104" s="196"/>
      <c r="BH104" s="196"/>
      <c r="BI104" s="196"/>
      <c r="BJ104" s="196"/>
      <c r="BK104" s="196"/>
      <c r="BL104" s="196"/>
      <c r="BM104" s="196"/>
      <c r="BN104" s="196"/>
      <c r="BO104" s="196"/>
      <c r="BP104" s="196"/>
      <c r="BQ104" s="196"/>
      <c r="BR104" s="196"/>
      <c r="BS104" s="196"/>
      <c r="BT104" s="196"/>
      <c r="BU104" s="196"/>
      <c r="BV104" s="196"/>
      <c r="BW104" s="196"/>
      <c r="BX104" s="196"/>
      <c r="BY104" s="196"/>
      <c r="BZ104" s="196"/>
      <c r="CA104" s="196"/>
      <c r="CB104" s="196"/>
      <c r="CC104" s="196"/>
      <c r="CD104" s="196"/>
      <c r="CE104" s="196"/>
      <c r="CF104" s="196"/>
      <c r="CG104" s="196"/>
      <c r="CH104" s="196"/>
      <c r="CI104" s="196"/>
      <c r="CJ104" s="196"/>
      <c r="CK104" s="196"/>
      <c r="CL104" s="196"/>
      <c r="CM104" s="196"/>
      <c r="CN104" s="196"/>
      <c r="CO104" s="196"/>
      <c r="CP104" s="196"/>
      <c r="CQ104" s="196"/>
      <c r="CR104" s="196"/>
      <c r="CS104" s="196"/>
      <c r="CT104" s="196"/>
      <c r="CU104" s="196"/>
      <c r="CV104" s="196"/>
      <c r="CW104" s="196"/>
      <c r="CX104" s="196"/>
      <c r="CY104" s="196"/>
      <c r="CZ104" s="196"/>
      <c r="DA104" s="196"/>
      <c r="DB104" s="196"/>
      <c r="DC104" s="196"/>
      <c r="DD104" s="196"/>
      <c r="DE104" s="196"/>
      <c r="DF104" s="196"/>
      <c r="DG104" s="196"/>
      <c r="DH104" s="196"/>
      <c r="DI104" s="196"/>
      <c r="DJ104" s="196"/>
      <c r="DK104" s="196"/>
      <c r="DL104" s="196"/>
      <c r="DM104" s="196"/>
      <c r="DN104" s="196"/>
      <c r="DO104" s="196"/>
      <c r="DP104" s="196"/>
      <c r="DQ104" s="196"/>
      <c r="DR104" s="196"/>
      <c r="DS104" s="196"/>
      <c r="DT104" s="196"/>
      <c r="DU104" s="196"/>
      <c r="DV104" s="196"/>
      <c r="DW104" s="196"/>
      <c r="DX104" s="196"/>
      <c r="DY104" s="196"/>
      <c r="DZ104" s="196"/>
      <c r="EA104" s="196"/>
      <c r="EB104" s="196"/>
      <c r="EC104" s="196"/>
      <c r="ED104" s="196"/>
      <c r="EE104" s="196"/>
      <c r="EF104" s="196"/>
      <c r="EG104" s="196"/>
      <c r="EH104" s="196"/>
      <c r="EI104" s="196"/>
      <c r="EJ104" s="196"/>
      <c r="EK104" s="196"/>
      <c r="EL104" s="196"/>
      <c r="EM104" s="196"/>
      <c r="EN104" s="196"/>
      <c r="EO104" s="196"/>
      <c r="EP104" s="196"/>
      <c r="EQ104" s="196"/>
      <c r="ER104" s="196"/>
      <c r="ES104" s="196"/>
      <c r="ET104" s="196"/>
      <c r="EU104" s="196"/>
      <c r="EV104" s="196"/>
      <c r="EW104" s="196"/>
      <c r="EX104" s="196"/>
      <c r="EY104" s="196"/>
      <c r="EZ104" s="196"/>
      <c r="FA104" s="196"/>
      <c r="FB104" s="196"/>
      <c r="FC104" s="196"/>
      <c r="FD104" s="196"/>
      <c r="FE104" s="196"/>
      <c r="FF104" s="196"/>
      <c r="FG104" s="196"/>
      <c r="FH104" s="196"/>
      <c r="FI104" s="196"/>
      <c r="FJ104" s="196"/>
      <c r="FK104" s="196"/>
      <c r="FL104" s="196"/>
      <c r="FM104" s="196"/>
      <c r="FN104" s="196"/>
      <c r="FO104" s="196"/>
      <c r="FP104" s="196"/>
      <c r="FQ104" s="196"/>
      <c r="FR104" s="196"/>
      <c r="FS104" s="196"/>
      <c r="FT104" s="196"/>
      <c r="FU104" s="196"/>
      <c r="FV104" s="196"/>
      <c r="FW104" s="196"/>
      <c r="FX104" s="196"/>
      <c r="FY104" s="196"/>
      <c r="FZ104" s="196"/>
      <c r="GA104" s="196"/>
      <c r="GB104" s="196"/>
      <c r="GC104" s="196"/>
      <c r="GD104" s="196"/>
      <c r="GE104" s="196"/>
      <c r="GF104" s="196"/>
      <c r="GG104" s="196"/>
      <c r="GH104" s="196"/>
      <c r="GI104" s="196"/>
      <c r="GJ104" s="196"/>
      <c r="GK104" s="196"/>
      <c r="GL104" s="196"/>
      <c r="GM104" s="196"/>
      <c r="GN104" s="196"/>
      <c r="GO104" s="196"/>
      <c r="GP104" s="196"/>
      <c r="GQ104" s="196"/>
      <c r="GR104" s="196"/>
      <c r="GS104" s="196"/>
      <c r="GT104" s="196"/>
      <c r="GU104" s="196"/>
      <c r="GV104" s="196"/>
      <c r="GW104" s="196"/>
      <c r="GX104" s="196"/>
      <c r="GY104" s="196"/>
      <c r="GZ104" s="196"/>
      <c r="HA104" s="196"/>
      <c r="HB104" s="196"/>
      <c r="HC104" s="196"/>
      <c r="HD104" s="196"/>
      <c r="HE104" s="196"/>
      <c r="HF104" s="196"/>
      <c r="HG104" s="196"/>
      <c r="HH104" s="196"/>
      <c r="HI104" s="196"/>
      <c r="HJ104" s="196"/>
      <c r="HK104" s="196"/>
      <c r="HL104" s="196"/>
      <c r="HM104" s="196"/>
      <c r="HN104" s="196"/>
      <c r="HO104" s="196"/>
      <c r="HP104" s="196"/>
      <c r="HQ104" s="196"/>
      <c r="HR104" s="196"/>
      <c r="HS104" s="196"/>
      <c r="HT104" s="196"/>
      <c r="HU104" s="196"/>
      <c r="HV104" s="196"/>
      <c r="HW104" s="196"/>
      <c r="HX104" s="196"/>
      <c r="HY104" s="196"/>
      <c r="HZ104" s="196"/>
      <c r="IA104" s="196"/>
      <c r="IB104" s="196"/>
      <c r="IC104" s="196"/>
      <c r="ID104" s="196"/>
      <c r="IE104" s="196"/>
      <c r="IF104" s="196"/>
      <c r="IG104" s="196"/>
      <c r="IH104" s="196"/>
      <c r="II104" s="196"/>
      <c r="IJ104" s="196"/>
      <c r="IK104" s="196"/>
      <c r="IL104" s="196"/>
      <c r="IM104" s="196"/>
      <c r="IN104" s="196"/>
      <c r="IO104" s="196"/>
      <c r="IP104" s="196"/>
      <c r="IQ104" s="196"/>
      <c r="IR104" s="196"/>
    </row>
    <row r="105" spans="1:252" ht="15.6">
      <c r="A105" s="189"/>
      <c r="B105" s="189"/>
      <c r="C105" s="579"/>
      <c r="D105" s="579"/>
      <c r="E105" s="579"/>
      <c r="F105" s="579"/>
      <c r="G105" s="579"/>
      <c r="H105" s="579"/>
      <c r="I105" s="579"/>
      <c r="J105" s="579"/>
      <c r="K105" s="579"/>
      <c r="L105" s="579"/>
      <c r="M105" s="579"/>
      <c r="N105" s="579"/>
      <c r="O105" s="579"/>
      <c r="P105" s="579"/>
      <c r="Q105" s="579"/>
      <c r="R105" s="579"/>
      <c r="S105" s="579"/>
      <c r="T105" s="579"/>
      <c r="U105" s="579"/>
      <c r="V105" s="579"/>
      <c r="W105" s="579"/>
      <c r="X105" s="579"/>
      <c r="Y105" s="579"/>
      <c r="Z105" s="579"/>
      <c r="AA105" s="579"/>
      <c r="AB105" s="579"/>
      <c r="AC105" s="579"/>
      <c r="AD105" s="579"/>
      <c r="AE105" s="579"/>
      <c r="AF105" s="579"/>
      <c r="AG105" s="579"/>
      <c r="AH105" s="579"/>
      <c r="AI105" s="579"/>
      <c r="AJ105" s="579"/>
      <c r="AK105" s="579"/>
      <c r="AL105" s="579"/>
      <c r="AM105" s="579"/>
      <c r="AN105" s="579"/>
      <c r="AO105" s="579"/>
      <c r="AP105" s="584"/>
      <c r="AQ105" s="584"/>
      <c r="AR105" s="584"/>
      <c r="AS105" s="584"/>
      <c r="AT105" s="584"/>
      <c r="AU105" s="584"/>
      <c r="AV105" s="584"/>
      <c r="AW105" s="584"/>
      <c r="AX105" s="584"/>
      <c r="AY105" s="584"/>
      <c r="AZ105" s="196"/>
      <c r="BA105" s="196"/>
      <c r="BB105" s="196"/>
      <c r="BC105" s="196"/>
      <c r="BD105" s="196"/>
      <c r="BE105" s="196"/>
      <c r="BF105" s="196"/>
      <c r="BG105" s="196"/>
      <c r="BH105" s="196"/>
      <c r="BI105" s="196"/>
      <c r="BJ105" s="196"/>
      <c r="BK105" s="196"/>
      <c r="BL105" s="196"/>
      <c r="BM105" s="196"/>
      <c r="BN105" s="196"/>
      <c r="BO105" s="196"/>
      <c r="BP105" s="196"/>
      <c r="BQ105" s="196"/>
      <c r="BR105" s="196"/>
      <c r="BS105" s="196"/>
      <c r="BT105" s="196"/>
      <c r="BU105" s="196"/>
      <c r="BV105" s="196"/>
      <c r="BW105" s="196"/>
      <c r="BX105" s="196"/>
      <c r="BY105" s="196"/>
      <c r="BZ105" s="196"/>
      <c r="CA105" s="196"/>
      <c r="CB105" s="196"/>
      <c r="CC105" s="196"/>
      <c r="CD105" s="196"/>
      <c r="CE105" s="196"/>
      <c r="CF105" s="196"/>
      <c r="CG105" s="196"/>
      <c r="CH105" s="196"/>
      <c r="CI105" s="196"/>
      <c r="CJ105" s="196"/>
      <c r="CK105" s="196"/>
      <c r="CL105" s="196"/>
      <c r="CM105" s="196"/>
      <c r="CN105" s="196"/>
      <c r="CO105" s="196"/>
      <c r="CP105" s="196"/>
      <c r="CQ105" s="196"/>
      <c r="CR105" s="196"/>
      <c r="CS105" s="196"/>
      <c r="CT105" s="196"/>
      <c r="CU105" s="196"/>
      <c r="CV105" s="196"/>
      <c r="CW105" s="196"/>
      <c r="CX105" s="196"/>
      <c r="CY105" s="196"/>
      <c r="CZ105" s="196"/>
      <c r="DA105" s="196"/>
      <c r="DB105" s="196"/>
      <c r="DC105" s="196"/>
      <c r="DD105" s="196"/>
      <c r="DE105" s="196"/>
      <c r="DF105" s="196"/>
      <c r="DG105" s="196"/>
      <c r="DH105" s="196"/>
      <c r="DI105" s="196"/>
      <c r="DJ105" s="196"/>
      <c r="DK105" s="196"/>
      <c r="DL105" s="196"/>
      <c r="DM105" s="196"/>
      <c r="DN105" s="196"/>
      <c r="DO105" s="196"/>
      <c r="DP105" s="196"/>
      <c r="DQ105" s="196"/>
      <c r="DR105" s="196"/>
      <c r="DS105" s="196"/>
      <c r="DT105" s="196"/>
      <c r="DU105" s="196"/>
      <c r="DV105" s="196"/>
      <c r="DW105" s="196"/>
      <c r="DX105" s="196"/>
      <c r="DY105" s="196"/>
      <c r="DZ105" s="196"/>
      <c r="EA105" s="196"/>
      <c r="EB105" s="196"/>
      <c r="EC105" s="196"/>
      <c r="ED105" s="196"/>
      <c r="EE105" s="196"/>
      <c r="EF105" s="196"/>
      <c r="EG105" s="196"/>
      <c r="EH105" s="196"/>
      <c r="EI105" s="196"/>
      <c r="EJ105" s="196"/>
      <c r="EK105" s="196"/>
      <c r="EL105" s="196"/>
      <c r="EM105" s="196"/>
      <c r="EN105" s="196"/>
      <c r="EO105" s="196"/>
      <c r="EP105" s="196"/>
      <c r="EQ105" s="196"/>
      <c r="ER105" s="196"/>
      <c r="ES105" s="196"/>
      <c r="ET105" s="196"/>
      <c r="EU105" s="196"/>
      <c r="EV105" s="196"/>
      <c r="EW105" s="196"/>
      <c r="EX105" s="196"/>
      <c r="EY105" s="196"/>
      <c r="EZ105" s="196"/>
      <c r="FA105" s="196"/>
      <c r="FB105" s="196"/>
      <c r="FC105" s="196"/>
      <c r="FD105" s="196"/>
      <c r="FE105" s="196"/>
      <c r="FF105" s="196"/>
      <c r="FG105" s="196"/>
      <c r="FH105" s="196"/>
      <c r="FI105" s="196"/>
      <c r="FJ105" s="196"/>
      <c r="FK105" s="196"/>
      <c r="FL105" s="196"/>
      <c r="FM105" s="196"/>
      <c r="FN105" s="196"/>
      <c r="FO105" s="196"/>
      <c r="FP105" s="196"/>
      <c r="FQ105" s="196"/>
      <c r="FR105" s="196"/>
      <c r="FS105" s="196"/>
      <c r="FT105" s="196"/>
      <c r="FU105" s="196"/>
      <c r="FV105" s="196"/>
      <c r="FW105" s="196"/>
      <c r="FX105" s="196"/>
      <c r="FY105" s="196"/>
      <c r="FZ105" s="196"/>
      <c r="GA105" s="196"/>
      <c r="GB105" s="196"/>
      <c r="GC105" s="196"/>
      <c r="GD105" s="196"/>
      <c r="GE105" s="196"/>
      <c r="GF105" s="196"/>
      <c r="GG105" s="196"/>
      <c r="GH105" s="196"/>
      <c r="GI105" s="196"/>
      <c r="GJ105" s="196"/>
      <c r="GK105" s="196"/>
      <c r="GL105" s="196"/>
      <c r="GM105" s="196"/>
      <c r="GN105" s="196"/>
      <c r="GO105" s="196"/>
      <c r="GP105" s="196"/>
      <c r="GQ105" s="196"/>
      <c r="GR105" s="196"/>
      <c r="GS105" s="196"/>
      <c r="GT105" s="196"/>
      <c r="GU105" s="196"/>
      <c r="GV105" s="196"/>
      <c r="GW105" s="196"/>
      <c r="GX105" s="196"/>
      <c r="GY105" s="196"/>
      <c r="GZ105" s="196"/>
      <c r="HA105" s="196"/>
      <c r="HB105" s="196"/>
      <c r="HC105" s="196"/>
      <c r="HD105" s="196"/>
      <c r="HE105" s="196"/>
      <c r="HF105" s="196"/>
      <c r="HG105" s="196"/>
      <c r="HH105" s="196"/>
      <c r="HI105" s="196"/>
      <c r="HJ105" s="196"/>
      <c r="HK105" s="196"/>
      <c r="HL105" s="196"/>
      <c r="HM105" s="196"/>
      <c r="HN105" s="196"/>
      <c r="HO105" s="196"/>
      <c r="HP105" s="196"/>
      <c r="HQ105" s="196"/>
      <c r="HR105" s="196"/>
      <c r="HS105" s="196"/>
      <c r="HT105" s="196"/>
      <c r="HU105" s="196"/>
      <c r="HV105" s="196"/>
      <c r="HW105" s="196"/>
      <c r="HX105" s="196"/>
      <c r="HY105" s="196"/>
      <c r="HZ105" s="196"/>
      <c r="IA105" s="196"/>
      <c r="IB105" s="196"/>
      <c r="IC105" s="196"/>
      <c r="ID105" s="196"/>
      <c r="IE105" s="196"/>
      <c r="IF105" s="196"/>
      <c r="IG105" s="196"/>
      <c r="IH105" s="196"/>
      <c r="II105" s="196"/>
      <c r="IJ105" s="196"/>
      <c r="IK105" s="196"/>
      <c r="IL105" s="196"/>
      <c r="IM105" s="196"/>
      <c r="IN105" s="196"/>
      <c r="IO105" s="196"/>
      <c r="IP105" s="196"/>
      <c r="IQ105" s="196"/>
      <c r="IR105" s="196"/>
    </row>
    <row r="106" spans="1:252" ht="15.6">
      <c r="A106" s="189"/>
      <c r="B106" s="189"/>
      <c r="C106" s="579"/>
      <c r="D106" s="579"/>
      <c r="E106" s="579"/>
      <c r="F106" s="579"/>
      <c r="G106" s="579"/>
      <c r="H106" s="579"/>
      <c r="I106" s="579"/>
      <c r="J106" s="579"/>
      <c r="K106" s="579"/>
      <c r="L106" s="579"/>
      <c r="M106" s="579"/>
      <c r="N106" s="579"/>
      <c r="O106" s="579"/>
      <c r="P106" s="579"/>
      <c r="Q106" s="579"/>
      <c r="R106" s="579"/>
      <c r="S106" s="579"/>
      <c r="T106" s="579"/>
      <c r="U106" s="579"/>
      <c r="V106" s="579"/>
      <c r="W106" s="579"/>
      <c r="X106" s="579"/>
      <c r="Y106" s="579"/>
      <c r="Z106" s="579"/>
      <c r="AA106" s="579"/>
      <c r="AB106" s="579"/>
      <c r="AC106" s="579"/>
      <c r="AD106" s="579"/>
      <c r="AE106" s="579"/>
      <c r="AF106" s="579"/>
      <c r="AG106" s="579"/>
      <c r="AH106" s="579"/>
      <c r="AI106" s="579"/>
      <c r="AJ106" s="579"/>
      <c r="AK106" s="579"/>
      <c r="AL106" s="579"/>
      <c r="AM106" s="579"/>
      <c r="AN106" s="579"/>
      <c r="AO106" s="579"/>
      <c r="AP106" s="584"/>
      <c r="AQ106" s="584"/>
      <c r="AR106" s="584"/>
      <c r="AS106" s="584"/>
      <c r="AT106" s="584"/>
      <c r="AU106" s="584"/>
      <c r="AV106" s="584"/>
      <c r="AW106" s="584"/>
      <c r="AX106" s="584"/>
      <c r="AY106" s="584"/>
      <c r="AZ106" s="196"/>
      <c r="BA106" s="196"/>
      <c r="BB106" s="196"/>
      <c r="BC106" s="196"/>
      <c r="BD106" s="196"/>
      <c r="BE106" s="196"/>
      <c r="BF106" s="196"/>
      <c r="BG106" s="196"/>
      <c r="BH106" s="196"/>
      <c r="BI106" s="196"/>
      <c r="BJ106" s="196"/>
      <c r="BK106" s="196"/>
      <c r="BL106" s="196"/>
      <c r="BM106" s="196"/>
      <c r="BN106" s="196"/>
      <c r="BO106" s="196"/>
      <c r="BP106" s="196"/>
      <c r="BQ106" s="196"/>
      <c r="BR106" s="196"/>
      <c r="BS106" s="196"/>
      <c r="BT106" s="196"/>
      <c r="BU106" s="196"/>
      <c r="BV106" s="196"/>
      <c r="BW106" s="196"/>
      <c r="BX106" s="196"/>
      <c r="BY106" s="196"/>
      <c r="BZ106" s="196"/>
      <c r="CA106" s="196"/>
      <c r="CB106" s="196"/>
      <c r="CC106" s="196"/>
      <c r="CD106" s="196"/>
      <c r="CE106" s="196"/>
      <c r="CF106" s="196"/>
      <c r="CG106" s="196"/>
      <c r="CH106" s="196"/>
      <c r="CI106" s="196"/>
      <c r="CJ106" s="196"/>
      <c r="CK106" s="196"/>
      <c r="CL106" s="196"/>
      <c r="CM106" s="196"/>
      <c r="CN106" s="196"/>
      <c r="CO106" s="196"/>
      <c r="CP106" s="196"/>
      <c r="CQ106" s="196"/>
      <c r="CR106" s="196"/>
      <c r="CS106" s="196"/>
      <c r="CT106" s="196"/>
      <c r="CU106" s="196"/>
      <c r="CV106" s="196"/>
      <c r="CW106" s="196"/>
      <c r="CX106" s="196"/>
      <c r="CY106" s="196"/>
      <c r="CZ106" s="196"/>
      <c r="DA106" s="196"/>
      <c r="DB106" s="196"/>
      <c r="DC106" s="196"/>
      <c r="DD106" s="196"/>
      <c r="DE106" s="196"/>
      <c r="DF106" s="196"/>
      <c r="DG106" s="196"/>
      <c r="DH106" s="196"/>
      <c r="DI106" s="196"/>
      <c r="DJ106" s="196"/>
      <c r="DK106" s="196"/>
      <c r="DL106" s="196"/>
      <c r="DM106" s="196"/>
      <c r="DN106" s="196"/>
      <c r="DO106" s="196"/>
      <c r="DP106" s="196"/>
      <c r="DQ106" s="196"/>
      <c r="DR106" s="196"/>
      <c r="DS106" s="196"/>
      <c r="DT106" s="196"/>
      <c r="DU106" s="196"/>
      <c r="DV106" s="196"/>
      <c r="DW106" s="196"/>
      <c r="DX106" s="196"/>
      <c r="DY106" s="196"/>
      <c r="DZ106" s="196"/>
      <c r="EA106" s="196"/>
      <c r="EB106" s="196"/>
      <c r="EC106" s="196"/>
      <c r="ED106" s="196"/>
      <c r="EE106" s="196"/>
      <c r="EF106" s="196"/>
      <c r="EG106" s="196"/>
      <c r="EH106" s="196"/>
      <c r="EI106" s="196"/>
      <c r="EJ106" s="196"/>
      <c r="EK106" s="196"/>
      <c r="EL106" s="196"/>
      <c r="EM106" s="196"/>
      <c r="EN106" s="196"/>
      <c r="EO106" s="196"/>
      <c r="EP106" s="196"/>
      <c r="EQ106" s="196"/>
      <c r="ER106" s="196"/>
      <c r="ES106" s="196"/>
      <c r="ET106" s="196"/>
      <c r="EU106" s="196"/>
      <c r="EV106" s="196"/>
      <c r="EW106" s="196"/>
      <c r="EX106" s="196"/>
      <c r="EY106" s="196"/>
      <c r="EZ106" s="196"/>
      <c r="FA106" s="196"/>
      <c r="FB106" s="196"/>
      <c r="FC106" s="196"/>
      <c r="FD106" s="196"/>
      <c r="FE106" s="196"/>
      <c r="FF106" s="196"/>
      <c r="FG106" s="196"/>
      <c r="FH106" s="196"/>
      <c r="FI106" s="196"/>
      <c r="FJ106" s="196"/>
      <c r="FK106" s="196"/>
      <c r="FL106" s="196"/>
      <c r="FM106" s="196"/>
      <c r="FN106" s="196"/>
      <c r="FO106" s="196"/>
      <c r="FP106" s="196"/>
      <c r="FQ106" s="196"/>
      <c r="FR106" s="196"/>
      <c r="FS106" s="196"/>
      <c r="FT106" s="196"/>
      <c r="FU106" s="196"/>
      <c r="FV106" s="196"/>
      <c r="FW106" s="196"/>
      <c r="FX106" s="196"/>
      <c r="FY106" s="196"/>
      <c r="FZ106" s="196"/>
      <c r="GA106" s="196"/>
      <c r="GB106" s="196"/>
      <c r="GC106" s="196"/>
      <c r="GD106" s="196"/>
      <c r="GE106" s="196"/>
      <c r="GF106" s="196"/>
      <c r="GG106" s="196"/>
      <c r="GH106" s="196"/>
      <c r="GI106" s="196"/>
      <c r="GJ106" s="196"/>
      <c r="GK106" s="196"/>
      <c r="GL106" s="196"/>
      <c r="GM106" s="196"/>
      <c r="GN106" s="196"/>
      <c r="GO106" s="196"/>
      <c r="GP106" s="196"/>
      <c r="GQ106" s="196"/>
      <c r="GR106" s="196"/>
      <c r="GS106" s="196"/>
      <c r="GT106" s="196"/>
      <c r="GU106" s="196"/>
      <c r="GV106" s="196"/>
      <c r="GW106" s="196"/>
      <c r="GX106" s="196"/>
      <c r="GY106" s="196"/>
      <c r="GZ106" s="196"/>
      <c r="HA106" s="196"/>
      <c r="HB106" s="196"/>
      <c r="HC106" s="196"/>
      <c r="HD106" s="196"/>
      <c r="HE106" s="196"/>
      <c r="HF106" s="196"/>
      <c r="HG106" s="196"/>
      <c r="HH106" s="196"/>
      <c r="HI106" s="196"/>
      <c r="HJ106" s="196"/>
      <c r="HK106" s="196"/>
      <c r="HL106" s="196"/>
      <c r="HM106" s="196"/>
      <c r="HN106" s="196"/>
      <c r="HO106" s="196"/>
      <c r="HP106" s="196"/>
      <c r="HQ106" s="196"/>
      <c r="HR106" s="196"/>
      <c r="HS106" s="196"/>
      <c r="HT106" s="196"/>
      <c r="HU106" s="196"/>
      <c r="HV106" s="196"/>
      <c r="HW106" s="196"/>
      <c r="HX106" s="196"/>
      <c r="HY106" s="196"/>
      <c r="HZ106" s="196"/>
      <c r="IA106" s="196"/>
      <c r="IB106" s="196"/>
      <c r="IC106" s="196"/>
      <c r="ID106" s="196"/>
      <c r="IE106" s="196"/>
      <c r="IF106" s="196"/>
      <c r="IG106" s="196"/>
      <c r="IH106" s="196"/>
      <c r="II106" s="196"/>
      <c r="IJ106" s="196"/>
      <c r="IK106" s="196"/>
      <c r="IL106" s="196"/>
      <c r="IM106" s="196"/>
      <c r="IN106" s="196"/>
      <c r="IO106" s="196"/>
      <c r="IP106" s="196"/>
      <c r="IQ106" s="196"/>
      <c r="IR106" s="196"/>
    </row>
    <row r="107" spans="1:252" ht="15.6">
      <c r="A107" s="189"/>
      <c r="B107" s="189"/>
      <c r="C107" s="579"/>
      <c r="D107" s="579"/>
      <c r="E107" s="579"/>
      <c r="F107" s="579"/>
      <c r="G107" s="579"/>
      <c r="H107" s="579"/>
      <c r="I107" s="579"/>
      <c r="J107" s="579"/>
      <c r="K107" s="579"/>
      <c r="L107" s="579"/>
      <c r="M107" s="579"/>
      <c r="N107" s="579"/>
      <c r="O107" s="579"/>
      <c r="P107" s="579"/>
      <c r="Q107" s="579"/>
      <c r="R107" s="579"/>
      <c r="S107" s="579"/>
      <c r="T107" s="579"/>
      <c r="U107" s="579"/>
      <c r="V107" s="579"/>
      <c r="W107" s="579"/>
      <c r="X107" s="579"/>
      <c r="Y107" s="579"/>
      <c r="Z107" s="579"/>
      <c r="AA107" s="579"/>
      <c r="AB107" s="579"/>
      <c r="AC107" s="579"/>
      <c r="AD107" s="579"/>
      <c r="AE107" s="579"/>
      <c r="AF107" s="579"/>
      <c r="AG107" s="579"/>
      <c r="AH107" s="579"/>
      <c r="AI107" s="579"/>
      <c r="AJ107" s="579"/>
      <c r="AK107" s="579"/>
      <c r="AL107" s="579"/>
      <c r="AM107" s="579"/>
      <c r="AN107" s="579"/>
      <c r="AO107" s="579"/>
      <c r="AP107" s="584"/>
      <c r="AQ107" s="584"/>
      <c r="AR107" s="584"/>
      <c r="AS107" s="584"/>
      <c r="AT107" s="584"/>
      <c r="AU107" s="584"/>
      <c r="AV107" s="584"/>
      <c r="AW107" s="584"/>
      <c r="AX107" s="584"/>
      <c r="AY107" s="584"/>
      <c r="AZ107" s="196"/>
      <c r="BA107" s="196"/>
      <c r="BB107" s="196"/>
      <c r="BC107" s="196"/>
      <c r="BD107" s="196"/>
      <c r="BE107" s="196"/>
      <c r="BF107" s="196"/>
      <c r="BG107" s="196"/>
      <c r="BH107" s="196"/>
      <c r="BI107" s="196"/>
      <c r="BJ107" s="196"/>
      <c r="BK107" s="196"/>
      <c r="BL107" s="196"/>
      <c r="BM107" s="196"/>
      <c r="BN107" s="196"/>
      <c r="BO107" s="196"/>
      <c r="BP107" s="196"/>
      <c r="BQ107" s="196"/>
      <c r="BR107" s="196"/>
      <c r="BS107" s="196"/>
      <c r="BT107" s="196"/>
      <c r="BU107" s="196"/>
      <c r="BV107" s="196"/>
      <c r="BW107" s="196"/>
      <c r="BX107" s="196"/>
      <c r="BY107" s="196"/>
      <c r="BZ107" s="196"/>
      <c r="CA107" s="196"/>
      <c r="CB107" s="196"/>
      <c r="CC107" s="196"/>
      <c r="CD107" s="196"/>
      <c r="CE107" s="196"/>
      <c r="CF107" s="196"/>
      <c r="CG107" s="196"/>
      <c r="CH107" s="196"/>
      <c r="CI107" s="196"/>
      <c r="CJ107" s="196"/>
      <c r="CK107" s="196"/>
      <c r="CL107" s="196"/>
      <c r="CM107" s="196"/>
      <c r="CN107" s="196"/>
      <c r="CO107" s="196"/>
      <c r="CP107" s="196"/>
      <c r="CQ107" s="196"/>
      <c r="CR107" s="196"/>
      <c r="CS107" s="196"/>
      <c r="CT107" s="196"/>
      <c r="CU107" s="196"/>
      <c r="CV107" s="196"/>
      <c r="CW107" s="196"/>
      <c r="CX107" s="196"/>
      <c r="CY107" s="196"/>
      <c r="CZ107" s="196"/>
      <c r="DA107" s="196"/>
      <c r="DB107" s="196"/>
      <c r="DC107" s="196"/>
      <c r="DD107" s="196"/>
      <c r="DE107" s="196"/>
      <c r="DF107" s="196"/>
      <c r="DG107" s="196"/>
      <c r="DH107" s="196"/>
      <c r="DI107" s="196"/>
      <c r="DJ107" s="196"/>
      <c r="DK107" s="196"/>
      <c r="DL107" s="196"/>
      <c r="DM107" s="196"/>
      <c r="DN107" s="196"/>
      <c r="DO107" s="196"/>
      <c r="DP107" s="196"/>
      <c r="DQ107" s="196"/>
      <c r="DR107" s="196"/>
      <c r="DS107" s="196"/>
      <c r="DT107" s="196"/>
      <c r="DU107" s="196"/>
      <c r="DV107" s="196"/>
      <c r="DW107" s="196"/>
      <c r="DX107" s="196"/>
      <c r="DY107" s="196"/>
      <c r="DZ107" s="196"/>
      <c r="EA107" s="196"/>
      <c r="EB107" s="196"/>
      <c r="EC107" s="196"/>
      <c r="ED107" s="196"/>
      <c r="EE107" s="196"/>
      <c r="EF107" s="196"/>
      <c r="EG107" s="196"/>
      <c r="EH107" s="196"/>
      <c r="EI107" s="196"/>
      <c r="EJ107" s="196"/>
      <c r="EK107" s="196"/>
      <c r="EL107" s="196"/>
      <c r="EM107" s="196"/>
      <c r="EN107" s="196"/>
      <c r="EO107" s="196"/>
      <c r="EP107" s="196"/>
      <c r="EQ107" s="196"/>
      <c r="ER107" s="196"/>
      <c r="ES107" s="196"/>
      <c r="ET107" s="196"/>
      <c r="EU107" s="196"/>
      <c r="EV107" s="196"/>
      <c r="EW107" s="196"/>
      <c r="EX107" s="196"/>
      <c r="EY107" s="196"/>
      <c r="EZ107" s="196"/>
      <c r="FA107" s="196"/>
      <c r="FB107" s="196"/>
      <c r="FC107" s="196"/>
      <c r="FD107" s="196"/>
      <c r="FE107" s="196"/>
      <c r="FF107" s="196"/>
      <c r="FG107" s="196"/>
      <c r="FH107" s="196"/>
      <c r="FI107" s="196"/>
      <c r="FJ107" s="196"/>
      <c r="FK107" s="196"/>
      <c r="FL107" s="196"/>
      <c r="FM107" s="196"/>
      <c r="FN107" s="196"/>
      <c r="FO107" s="196"/>
      <c r="FP107" s="196"/>
      <c r="FQ107" s="196"/>
      <c r="FR107" s="196"/>
      <c r="FS107" s="196"/>
      <c r="FT107" s="196"/>
      <c r="FU107" s="196"/>
      <c r="FV107" s="196"/>
      <c r="FW107" s="196"/>
      <c r="FX107" s="196"/>
      <c r="FY107" s="196"/>
      <c r="FZ107" s="196"/>
      <c r="GA107" s="196"/>
      <c r="GB107" s="196"/>
      <c r="GC107" s="196"/>
      <c r="GD107" s="196"/>
      <c r="GE107" s="196"/>
      <c r="GF107" s="196"/>
      <c r="GG107" s="196"/>
      <c r="GH107" s="196"/>
      <c r="GI107" s="196"/>
      <c r="GJ107" s="196"/>
      <c r="GK107" s="196"/>
      <c r="GL107" s="196"/>
      <c r="GM107" s="196"/>
      <c r="GN107" s="196"/>
      <c r="GO107" s="196"/>
      <c r="GP107" s="196"/>
      <c r="GQ107" s="196"/>
      <c r="GR107" s="196"/>
      <c r="GS107" s="196"/>
      <c r="GT107" s="196"/>
      <c r="GU107" s="196"/>
      <c r="GV107" s="196"/>
      <c r="GW107" s="196"/>
      <c r="GX107" s="196"/>
      <c r="GY107" s="196"/>
      <c r="GZ107" s="196"/>
      <c r="HA107" s="196"/>
      <c r="HB107" s="196"/>
      <c r="HC107" s="196"/>
      <c r="HD107" s="196"/>
      <c r="HE107" s="196"/>
      <c r="HF107" s="196"/>
      <c r="HG107" s="196"/>
      <c r="HH107" s="196"/>
      <c r="HI107" s="196"/>
      <c r="HJ107" s="196"/>
      <c r="HK107" s="196"/>
      <c r="HL107" s="196"/>
      <c r="HM107" s="196"/>
      <c r="HN107" s="196"/>
      <c r="HO107" s="196"/>
      <c r="HP107" s="196"/>
      <c r="HQ107" s="196"/>
      <c r="HR107" s="196"/>
      <c r="HS107" s="196"/>
      <c r="HT107" s="196"/>
      <c r="HU107" s="196"/>
      <c r="HV107" s="196"/>
      <c r="HW107" s="196"/>
      <c r="HX107" s="196"/>
      <c r="HY107" s="196"/>
      <c r="HZ107" s="196"/>
      <c r="IA107" s="196"/>
      <c r="IB107" s="196"/>
      <c r="IC107" s="196"/>
      <c r="ID107" s="196"/>
      <c r="IE107" s="196"/>
      <c r="IF107" s="196"/>
      <c r="IG107" s="196"/>
      <c r="IH107" s="196"/>
      <c r="II107" s="196"/>
      <c r="IJ107" s="196"/>
      <c r="IK107" s="196"/>
      <c r="IL107" s="196"/>
      <c r="IM107" s="196"/>
      <c r="IN107" s="196"/>
      <c r="IO107" s="196"/>
      <c r="IP107" s="196"/>
      <c r="IQ107" s="196"/>
      <c r="IR107" s="196"/>
    </row>
    <row r="108" spans="1:252" ht="15.6">
      <c r="A108" s="189"/>
      <c r="B108" s="189"/>
      <c r="C108" s="579"/>
      <c r="D108" s="579"/>
      <c r="E108" s="579"/>
      <c r="F108" s="579"/>
      <c r="G108" s="579"/>
      <c r="H108" s="579"/>
      <c r="I108" s="579"/>
      <c r="J108" s="579"/>
      <c r="K108" s="579"/>
      <c r="L108" s="579"/>
      <c r="M108" s="579"/>
      <c r="N108" s="579"/>
      <c r="O108" s="579"/>
      <c r="P108" s="579"/>
      <c r="Q108" s="579"/>
      <c r="R108" s="579"/>
      <c r="S108" s="579"/>
      <c r="T108" s="579"/>
      <c r="U108" s="579"/>
      <c r="V108" s="579"/>
      <c r="W108" s="579"/>
      <c r="X108" s="579"/>
      <c r="Y108" s="579"/>
      <c r="Z108" s="579"/>
      <c r="AA108" s="579"/>
      <c r="AB108" s="579"/>
      <c r="AC108" s="579"/>
      <c r="AD108" s="579"/>
      <c r="AE108" s="579"/>
      <c r="AF108" s="579"/>
      <c r="AG108" s="579"/>
      <c r="AH108" s="579"/>
      <c r="AI108" s="579"/>
      <c r="AJ108" s="579"/>
      <c r="AK108" s="579"/>
      <c r="AL108" s="579"/>
      <c r="AM108" s="579"/>
      <c r="AN108" s="579"/>
      <c r="AO108" s="579"/>
      <c r="AP108" s="584"/>
      <c r="AQ108" s="584"/>
      <c r="AR108" s="584"/>
      <c r="AS108" s="584"/>
      <c r="AT108" s="584"/>
      <c r="AU108" s="584"/>
      <c r="AV108" s="584"/>
      <c r="AW108" s="584"/>
      <c r="AX108" s="584"/>
      <c r="AY108" s="584"/>
      <c r="AZ108" s="196"/>
      <c r="BA108" s="196"/>
      <c r="BB108" s="196"/>
      <c r="BC108" s="196"/>
      <c r="BD108" s="196"/>
      <c r="BE108" s="196"/>
      <c r="BF108" s="196"/>
      <c r="BG108" s="196"/>
      <c r="BH108" s="196"/>
      <c r="BI108" s="196"/>
      <c r="BJ108" s="196"/>
      <c r="BK108" s="196"/>
      <c r="BL108" s="196"/>
      <c r="BM108" s="196"/>
      <c r="BN108" s="196"/>
      <c r="BO108" s="196"/>
      <c r="BP108" s="196"/>
      <c r="BQ108" s="196"/>
      <c r="BR108" s="196"/>
      <c r="BS108" s="196"/>
      <c r="BT108" s="196"/>
      <c r="BU108" s="196"/>
      <c r="BV108" s="196"/>
      <c r="BW108" s="196"/>
      <c r="BX108" s="196"/>
      <c r="BY108" s="196"/>
      <c r="BZ108" s="196"/>
      <c r="CA108" s="196"/>
      <c r="CB108" s="196"/>
      <c r="CC108" s="196"/>
      <c r="CD108" s="196"/>
      <c r="CE108" s="196"/>
      <c r="CF108" s="196"/>
      <c r="CG108" s="196"/>
      <c r="CH108" s="196"/>
      <c r="CI108" s="196"/>
      <c r="CJ108" s="196"/>
      <c r="CK108" s="196"/>
      <c r="CL108" s="196"/>
      <c r="CM108" s="196"/>
      <c r="CN108" s="196"/>
      <c r="CO108" s="196"/>
      <c r="CP108" s="196"/>
      <c r="CQ108" s="196"/>
      <c r="CR108" s="196"/>
      <c r="CS108" s="196"/>
      <c r="CT108" s="196"/>
      <c r="CU108" s="196"/>
      <c r="CV108" s="196"/>
      <c r="CW108" s="196"/>
      <c r="CX108" s="196"/>
      <c r="CY108" s="196"/>
      <c r="CZ108" s="196"/>
      <c r="DA108" s="196"/>
      <c r="DB108" s="196"/>
      <c r="DC108" s="196"/>
      <c r="DD108" s="196"/>
      <c r="DE108" s="196"/>
      <c r="DF108" s="196"/>
      <c r="DG108" s="196"/>
      <c r="DH108" s="196"/>
      <c r="DI108" s="196"/>
      <c r="DJ108" s="196"/>
      <c r="DK108" s="196"/>
      <c r="DL108" s="196"/>
      <c r="DM108" s="196"/>
      <c r="DN108" s="196"/>
      <c r="DO108" s="196"/>
      <c r="DP108" s="196"/>
      <c r="DQ108" s="196"/>
      <c r="DR108" s="196"/>
      <c r="DS108" s="196"/>
      <c r="DT108" s="196"/>
      <c r="DU108" s="196"/>
      <c r="DV108" s="196"/>
      <c r="DW108" s="196"/>
      <c r="DX108" s="196"/>
      <c r="DY108" s="196"/>
      <c r="DZ108" s="196"/>
      <c r="EA108" s="196"/>
      <c r="EB108" s="196"/>
      <c r="EC108" s="196"/>
      <c r="ED108" s="196"/>
      <c r="EE108" s="196"/>
      <c r="EF108" s="196"/>
      <c r="EG108" s="196"/>
      <c r="EH108" s="196"/>
      <c r="EI108" s="196"/>
      <c r="EJ108" s="196"/>
      <c r="EK108" s="196"/>
      <c r="EL108" s="196"/>
      <c r="EM108" s="196"/>
      <c r="EN108" s="196"/>
      <c r="EO108" s="196"/>
      <c r="EP108" s="196"/>
      <c r="EQ108" s="196"/>
      <c r="ER108" s="196"/>
      <c r="ES108" s="196"/>
      <c r="ET108" s="196"/>
      <c r="EU108" s="196"/>
      <c r="EV108" s="196"/>
      <c r="EW108" s="196"/>
      <c r="EX108" s="196"/>
      <c r="EY108" s="196"/>
      <c r="EZ108" s="196"/>
      <c r="FA108" s="196"/>
      <c r="FB108" s="196"/>
      <c r="FC108" s="196"/>
      <c r="FD108" s="196"/>
      <c r="FE108" s="196"/>
      <c r="FF108" s="196"/>
      <c r="FG108" s="196"/>
      <c r="FH108" s="196"/>
      <c r="FI108" s="196"/>
      <c r="FJ108" s="196"/>
      <c r="FK108" s="196"/>
      <c r="FL108" s="196"/>
      <c r="FM108" s="196"/>
      <c r="FN108" s="196"/>
      <c r="FO108" s="196"/>
      <c r="FP108" s="196"/>
      <c r="FQ108" s="196"/>
      <c r="FR108" s="196"/>
      <c r="FS108" s="196"/>
      <c r="FT108" s="196"/>
      <c r="FU108" s="196"/>
      <c r="FV108" s="196"/>
      <c r="FW108" s="196"/>
      <c r="FX108" s="196"/>
      <c r="FY108" s="196"/>
      <c r="FZ108" s="196"/>
      <c r="GA108" s="196"/>
      <c r="GB108" s="196"/>
      <c r="GC108" s="196"/>
      <c r="GD108" s="196"/>
      <c r="GE108" s="196"/>
      <c r="GF108" s="196"/>
      <c r="GG108" s="196"/>
      <c r="GH108" s="196"/>
      <c r="GI108" s="196"/>
      <c r="GJ108" s="196"/>
      <c r="GK108" s="196"/>
      <c r="GL108" s="196"/>
      <c r="GM108" s="196"/>
      <c r="GN108" s="196"/>
      <c r="GO108" s="196"/>
      <c r="GP108" s="196"/>
      <c r="GQ108" s="196"/>
      <c r="GR108" s="196"/>
      <c r="GS108" s="196"/>
      <c r="GT108" s="196"/>
      <c r="GU108" s="196"/>
      <c r="GV108" s="196"/>
      <c r="GW108" s="196"/>
      <c r="GX108" s="196"/>
      <c r="GY108" s="196"/>
      <c r="GZ108" s="196"/>
      <c r="HA108" s="196"/>
      <c r="HB108" s="196"/>
      <c r="HC108" s="196"/>
      <c r="HD108" s="196"/>
      <c r="HE108" s="196"/>
      <c r="HF108" s="196"/>
      <c r="HG108" s="196"/>
      <c r="HH108" s="196"/>
      <c r="HI108" s="196"/>
      <c r="HJ108" s="196"/>
      <c r="HK108" s="196"/>
      <c r="HL108" s="196"/>
      <c r="HM108" s="196"/>
      <c r="HN108" s="196"/>
      <c r="HO108" s="196"/>
      <c r="HP108" s="196"/>
      <c r="HQ108" s="196"/>
      <c r="HR108" s="196"/>
      <c r="HS108" s="196"/>
      <c r="HT108" s="196"/>
      <c r="HU108" s="196"/>
      <c r="HV108" s="196"/>
      <c r="HW108" s="196"/>
      <c r="HX108" s="196"/>
      <c r="HY108" s="196"/>
      <c r="HZ108" s="196"/>
      <c r="IA108" s="196"/>
      <c r="IB108" s="196"/>
      <c r="IC108" s="196"/>
      <c r="ID108" s="196"/>
      <c r="IE108" s="196"/>
      <c r="IF108" s="196"/>
      <c r="IG108" s="196"/>
      <c r="IH108" s="196"/>
      <c r="II108" s="196"/>
      <c r="IJ108" s="196"/>
      <c r="IK108" s="196"/>
      <c r="IL108" s="196"/>
      <c r="IM108" s="196"/>
      <c r="IN108" s="196"/>
      <c r="IO108" s="196"/>
      <c r="IP108" s="196"/>
      <c r="IQ108" s="196"/>
      <c r="IR108" s="196"/>
    </row>
    <row r="109" spans="1:252" ht="15.6">
      <c r="A109" s="189"/>
      <c r="B109" s="189"/>
      <c r="C109" s="579"/>
      <c r="D109" s="579"/>
      <c r="E109" s="579"/>
      <c r="F109" s="579"/>
      <c r="G109" s="579"/>
      <c r="H109" s="579"/>
      <c r="I109" s="579"/>
      <c r="J109" s="579"/>
      <c r="K109" s="579"/>
      <c r="L109" s="579"/>
      <c r="M109" s="579"/>
      <c r="N109" s="579"/>
      <c r="O109" s="579"/>
      <c r="P109" s="579"/>
      <c r="Q109" s="579"/>
      <c r="R109" s="579"/>
      <c r="S109" s="579"/>
      <c r="T109" s="579"/>
      <c r="U109" s="579"/>
      <c r="V109" s="579"/>
      <c r="W109" s="579"/>
      <c r="X109" s="579"/>
      <c r="Y109" s="579"/>
      <c r="Z109" s="579"/>
      <c r="AA109" s="579"/>
      <c r="AB109" s="579"/>
      <c r="AC109" s="579"/>
      <c r="AD109" s="579"/>
      <c r="AE109" s="579"/>
      <c r="AF109" s="579"/>
      <c r="AG109" s="579"/>
      <c r="AH109" s="579"/>
      <c r="AI109" s="579"/>
      <c r="AJ109" s="579"/>
      <c r="AK109" s="579"/>
      <c r="AL109" s="579"/>
      <c r="AM109" s="579"/>
      <c r="AN109" s="579"/>
      <c r="AO109" s="579"/>
      <c r="AP109" s="584"/>
      <c r="AQ109" s="584"/>
      <c r="AR109" s="584"/>
      <c r="AS109" s="584"/>
      <c r="AT109" s="584"/>
      <c r="AU109" s="584"/>
      <c r="AV109" s="584"/>
      <c r="AW109" s="584"/>
      <c r="AX109" s="584"/>
      <c r="AY109" s="584"/>
      <c r="AZ109" s="196"/>
      <c r="BA109" s="196"/>
      <c r="BB109" s="196"/>
      <c r="BC109" s="196"/>
      <c r="BD109" s="196"/>
      <c r="BE109" s="196"/>
      <c r="BF109" s="196"/>
      <c r="BG109" s="196"/>
      <c r="BH109" s="196"/>
      <c r="BI109" s="196"/>
      <c r="BJ109" s="196"/>
      <c r="BK109" s="196"/>
      <c r="BL109" s="196"/>
      <c r="BM109" s="196"/>
      <c r="BN109" s="196"/>
      <c r="BO109" s="196"/>
      <c r="BP109" s="196"/>
      <c r="BQ109" s="196"/>
      <c r="BR109" s="196"/>
      <c r="BS109" s="196"/>
      <c r="BT109" s="196"/>
      <c r="BU109" s="196"/>
      <c r="BV109" s="196"/>
      <c r="BW109" s="196"/>
      <c r="BX109" s="196"/>
      <c r="BY109" s="196"/>
      <c r="BZ109" s="196"/>
      <c r="CA109" s="196"/>
      <c r="CB109" s="196"/>
      <c r="CC109" s="196"/>
      <c r="CD109" s="196"/>
      <c r="CE109" s="196"/>
      <c r="CF109" s="196"/>
      <c r="CG109" s="196"/>
      <c r="CH109" s="196"/>
      <c r="CI109" s="196"/>
      <c r="CJ109" s="196"/>
      <c r="CK109" s="196"/>
      <c r="CL109" s="196"/>
      <c r="CM109" s="196"/>
      <c r="CN109" s="196"/>
      <c r="CO109" s="196"/>
      <c r="CP109" s="196"/>
      <c r="CQ109" s="196"/>
      <c r="CR109" s="196"/>
      <c r="CS109" s="196"/>
      <c r="CT109" s="196"/>
      <c r="CU109" s="196"/>
      <c r="CV109" s="196"/>
      <c r="CW109" s="196"/>
      <c r="CX109" s="196"/>
      <c r="CY109" s="196"/>
      <c r="CZ109" s="196"/>
      <c r="DA109" s="196"/>
      <c r="DB109" s="196"/>
      <c r="DC109" s="196"/>
      <c r="DD109" s="196"/>
      <c r="DE109" s="196"/>
      <c r="DF109" s="196"/>
      <c r="DG109" s="196"/>
      <c r="DH109" s="196"/>
      <c r="DI109" s="196"/>
      <c r="DJ109" s="196"/>
      <c r="DK109" s="196"/>
      <c r="DL109" s="196"/>
      <c r="DM109" s="196"/>
      <c r="DN109" s="196"/>
      <c r="DO109" s="196"/>
      <c r="DP109" s="196"/>
      <c r="DQ109" s="196"/>
      <c r="DR109" s="196"/>
      <c r="DS109" s="196"/>
      <c r="DT109" s="196"/>
      <c r="DU109" s="196"/>
      <c r="DV109" s="196"/>
      <c r="DW109" s="196"/>
      <c r="DX109" s="196"/>
      <c r="DY109" s="196"/>
      <c r="DZ109" s="196"/>
      <c r="EA109" s="196"/>
      <c r="EB109" s="196"/>
      <c r="EC109" s="196"/>
      <c r="ED109" s="196"/>
      <c r="EE109" s="196"/>
      <c r="EF109" s="196"/>
      <c r="EG109" s="196"/>
      <c r="EH109" s="196"/>
      <c r="EI109" s="196"/>
      <c r="EJ109" s="196"/>
      <c r="EK109" s="196"/>
      <c r="EL109" s="196"/>
      <c r="EM109" s="196"/>
      <c r="EN109" s="196"/>
      <c r="EO109" s="196"/>
      <c r="EP109" s="196"/>
      <c r="EQ109" s="196"/>
      <c r="ER109" s="196"/>
      <c r="ES109" s="196"/>
      <c r="ET109" s="196"/>
      <c r="EU109" s="196"/>
      <c r="EV109" s="196"/>
      <c r="EW109" s="196"/>
      <c r="EX109" s="196"/>
      <c r="EY109" s="196"/>
      <c r="EZ109" s="196"/>
      <c r="FA109" s="196"/>
      <c r="FB109" s="196"/>
      <c r="FC109" s="196"/>
      <c r="FD109" s="196"/>
      <c r="FE109" s="196"/>
      <c r="FF109" s="196"/>
      <c r="FG109" s="196"/>
      <c r="FH109" s="196"/>
      <c r="FI109" s="196"/>
      <c r="FJ109" s="196"/>
      <c r="FK109" s="196"/>
      <c r="FL109" s="196"/>
      <c r="FM109" s="196"/>
      <c r="FN109" s="196"/>
      <c r="FO109" s="196"/>
      <c r="FP109" s="196"/>
      <c r="FQ109" s="196"/>
      <c r="FR109" s="196"/>
      <c r="FS109" s="196"/>
      <c r="FT109" s="196"/>
      <c r="FU109" s="196"/>
      <c r="FV109" s="196"/>
      <c r="FW109" s="196"/>
      <c r="FX109" s="196"/>
      <c r="FY109" s="196"/>
      <c r="FZ109" s="196"/>
      <c r="GA109" s="196"/>
      <c r="GB109" s="196"/>
      <c r="GC109" s="196"/>
      <c r="GD109" s="196"/>
      <c r="GE109" s="196"/>
      <c r="GF109" s="196"/>
      <c r="GG109" s="196"/>
      <c r="GH109" s="196"/>
      <c r="GI109" s="196"/>
      <c r="GJ109" s="196"/>
      <c r="GK109" s="196"/>
      <c r="GL109" s="196"/>
      <c r="GM109" s="196"/>
      <c r="GN109" s="196"/>
      <c r="GO109" s="196"/>
      <c r="GP109" s="196"/>
      <c r="GQ109" s="196"/>
      <c r="GR109" s="196"/>
      <c r="GS109" s="196"/>
      <c r="GT109" s="196"/>
      <c r="GU109" s="196"/>
      <c r="GV109" s="196"/>
      <c r="GW109" s="196"/>
      <c r="GX109" s="196"/>
      <c r="GY109" s="196"/>
      <c r="GZ109" s="196"/>
      <c r="HA109" s="196"/>
      <c r="HB109" s="196"/>
      <c r="HC109" s="196"/>
      <c r="HD109" s="196"/>
      <c r="HE109" s="196"/>
      <c r="HF109" s="196"/>
      <c r="HG109" s="196"/>
      <c r="HH109" s="196"/>
      <c r="HI109" s="196"/>
      <c r="HJ109" s="196"/>
      <c r="HK109" s="196"/>
      <c r="HL109" s="196"/>
      <c r="HM109" s="196"/>
      <c r="HN109" s="196"/>
      <c r="HO109" s="196"/>
      <c r="HP109" s="196"/>
      <c r="HQ109" s="196"/>
      <c r="HR109" s="196"/>
      <c r="HS109" s="196"/>
      <c r="HT109" s="196"/>
      <c r="HU109" s="196"/>
      <c r="HV109" s="196"/>
      <c r="HW109" s="196"/>
      <c r="HX109" s="196"/>
      <c r="HY109" s="196"/>
      <c r="HZ109" s="196"/>
      <c r="IA109" s="196"/>
      <c r="IB109" s="196"/>
      <c r="IC109" s="196"/>
      <c r="ID109" s="196"/>
      <c r="IE109" s="196"/>
      <c r="IF109" s="196"/>
      <c r="IG109" s="196"/>
      <c r="IH109" s="196"/>
      <c r="II109" s="196"/>
      <c r="IJ109" s="196"/>
      <c r="IK109" s="196"/>
      <c r="IL109" s="196"/>
      <c r="IM109" s="196"/>
      <c r="IN109" s="196"/>
      <c r="IO109" s="196"/>
      <c r="IP109" s="196"/>
      <c r="IQ109" s="196"/>
      <c r="IR109" s="196"/>
    </row>
    <row r="110" spans="1:252" ht="15.6">
      <c r="A110" s="189"/>
      <c r="B110" s="189"/>
      <c r="C110" s="579"/>
      <c r="D110" s="579"/>
      <c r="E110" s="579"/>
      <c r="F110" s="579"/>
      <c r="G110" s="579"/>
      <c r="H110" s="579"/>
      <c r="I110" s="579"/>
      <c r="J110" s="579"/>
      <c r="K110" s="579"/>
      <c r="L110" s="579"/>
      <c r="M110" s="579"/>
      <c r="N110" s="579"/>
      <c r="O110" s="579"/>
      <c r="P110" s="579"/>
      <c r="Q110" s="579"/>
      <c r="R110" s="579"/>
      <c r="S110" s="579"/>
      <c r="T110" s="579"/>
      <c r="U110" s="579"/>
      <c r="V110" s="579"/>
      <c r="W110" s="579"/>
      <c r="X110" s="579"/>
      <c r="Y110" s="579"/>
      <c r="Z110" s="579"/>
      <c r="AA110" s="579"/>
      <c r="AB110" s="579"/>
      <c r="AC110" s="579"/>
      <c r="AD110" s="579"/>
      <c r="AE110" s="579"/>
      <c r="AF110" s="579"/>
      <c r="AG110" s="579"/>
      <c r="AH110" s="579"/>
      <c r="AI110" s="579"/>
      <c r="AJ110" s="579"/>
      <c r="AK110" s="579"/>
      <c r="AL110" s="579"/>
      <c r="AM110" s="579"/>
      <c r="AN110" s="579"/>
      <c r="AO110" s="579"/>
      <c r="AP110" s="584"/>
      <c r="AQ110" s="584"/>
      <c r="AR110" s="584"/>
      <c r="AS110" s="584"/>
      <c r="AT110" s="584"/>
      <c r="AU110" s="584"/>
      <c r="AV110" s="584"/>
      <c r="AW110" s="584"/>
      <c r="AX110" s="584"/>
      <c r="AY110" s="584"/>
      <c r="AZ110" s="196"/>
      <c r="BA110" s="196"/>
      <c r="BB110" s="196"/>
      <c r="BC110" s="196"/>
      <c r="BD110" s="196"/>
      <c r="BE110" s="196"/>
      <c r="BF110" s="196"/>
      <c r="BG110" s="196"/>
      <c r="BH110" s="196"/>
      <c r="BI110" s="196"/>
      <c r="BJ110" s="196"/>
      <c r="BK110" s="196"/>
      <c r="BL110" s="196"/>
      <c r="BM110" s="196"/>
      <c r="BN110" s="196"/>
      <c r="BO110" s="196"/>
      <c r="BP110" s="196"/>
      <c r="BQ110" s="196"/>
      <c r="BR110" s="196"/>
      <c r="BS110" s="196"/>
      <c r="BT110" s="196"/>
      <c r="BU110" s="196"/>
      <c r="BV110" s="196"/>
      <c r="BW110" s="196"/>
      <c r="BX110" s="196"/>
      <c r="BY110" s="196"/>
      <c r="BZ110" s="196"/>
      <c r="CA110" s="196"/>
      <c r="CB110" s="196"/>
      <c r="CC110" s="196"/>
      <c r="CD110" s="196"/>
      <c r="CE110" s="196"/>
      <c r="CF110" s="196"/>
      <c r="CG110" s="196"/>
      <c r="CH110" s="196"/>
      <c r="CI110" s="196"/>
      <c r="CJ110" s="196"/>
      <c r="CK110" s="196"/>
      <c r="CL110" s="196"/>
      <c r="CM110" s="196"/>
      <c r="CN110" s="196"/>
      <c r="CO110" s="196"/>
      <c r="CP110" s="196"/>
      <c r="CQ110" s="196"/>
      <c r="CR110" s="196"/>
      <c r="CS110" s="196"/>
      <c r="CT110" s="196"/>
      <c r="CU110" s="196"/>
      <c r="CV110" s="196"/>
      <c r="CW110" s="196"/>
      <c r="CX110" s="196"/>
      <c r="CY110" s="196"/>
      <c r="CZ110" s="196"/>
      <c r="DA110" s="196"/>
      <c r="DB110" s="196"/>
      <c r="DC110" s="196"/>
      <c r="DD110" s="196"/>
      <c r="DE110" s="196"/>
      <c r="DF110" s="196"/>
      <c r="DG110" s="196"/>
      <c r="DH110" s="196"/>
      <c r="DI110" s="196"/>
      <c r="DJ110" s="196"/>
      <c r="DK110" s="196"/>
      <c r="DL110" s="196"/>
      <c r="DM110" s="196"/>
      <c r="DN110" s="196"/>
      <c r="DO110" s="196"/>
      <c r="DP110" s="196"/>
      <c r="DQ110" s="196"/>
      <c r="DR110" s="196"/>
      <c r="DS110" s="196"/>
      <c r="DT110" s="196"/>
      <c r="DU110" s="196"/>
      <c r="DV110" s="196"/>
      <c r="DW110" s="196"/>
      <c r="DX110" s="196"/>
      <c r="DY110" s="196"/>
      <c r="DZ110" s="196"/>
      <c r="EA110" s="196"/>
      <c r="EB110" s="196"/>
      <c r="EC110" s="196"/>
      <c r="ED110" s="196"/>
      <c r="EE110" s="196"/>
      <c r="EF110" s="196"/>
      <c r="EG110" s="196"/>
      <c r="EH110" s="196"/>
      <c r="EI110" s="196"/>
      <c r="EJ110" s="196"/>
      <c r="EK110" s="196"/>
      <c r="EL110" s="196"/>
      <c r="EM110" s="196"/>
      <c r="EN110" s="196"/>
      <c r="EO110" s="196"/>
      <c r="EP110" s="196"/>
      <c r="EQ110" s="196"/>
      <c r="ER110" s="196"/>
      <c r="ES110" s="196"/>
      <c r="ET110" s="196"/>
      <c r="EU110" s="196"/>
      <c r="EV110" s="196"/>
      <c r="EW110" s="196"/>
      <c r="EX110" s="196"/>
      <c r="EY110" s="196"/>
      <c r="EZ110" s="196"/>
      <c r="FA110" s="196"/>
      <c r="FB110" s="196"/>
      <c r="FC110" s="196"/>
      <c r="FD110" s="196"/>
      <c r="FE110" s="196"/>
      <c r="FF110" s="196"/>
      <c r="FG110" s="196"/>
      <c r="FH110" s="196"/>
      <c r="FI110" s="196"/>
      <c r="FJ110" s="196"/>
      <c r="FK110" s="196"/>
      <c r="FL110" s="196"/>
      <c r="FM110" s="196"/>
      <c r="FN110" s="196"/>
      <c r="FO110" s="196"/>
      <c r="FP110" s="196"/>
      <c r="FQ110" s="196"/>
      <c r="FR110" s="196"/>
      <c r="FS110" s="196"/>
      <c r="FT110" s="196"/>
      <c r="FU110" s="196"/>
      <c r="FV110" s="196"/>
      <c r="FW110" s="196"/>
      <c r="FX110" s="196"/>
      <c r="FY110" s="196"/>
      <c r="FZ110" s="196"/>
      <c r="GA110" s="196"/>
      <c r="GB110" s="196"/>
      <c r="GC110" s="196"/>
      <c r="GD110" s="196"/>
      <c r="GE110" s="196"/>
      <c r="GF110" s="196"/>
      <c r="GG110" s="196"/>
      <c r="GH110" s="196"/>
      <c r="GI110" s="196"/>
      <c r="GJ110" s="196"/>
      <c r="GK110" s="196"/>
      <c r="GL110" s="196"/>
      <c r="GM110" s="196"/>
      <c r="GN110" s="196"/>
      <c r="GO110" s="196"/>
      <c r="GP110" s="196"/>
      <c r="GQ110" s="196"/>
      <c r="GR110" s="196"/>
      <c r="GS110" s="196"/>
      <c r="GT110" s="196"/>
      <c r="GU110" s="196"/>
      <c r="GV110" s="196"/>
      <c r="GW110" s="196"/>
      <c r="GX110" s="196"/>
      <c r="GY110" s="196"/>
      <c r="GZ110" s="196"/>
      <c r="HA110" s="196"/>
      <c r="HB110" s="196"/>
      <c r="HC110" s="196"/>
      <c r="HD110" s="196"/>
      <c r="HE110" s="196"/>
      <c r="HF110" s="196"/>
      <c r="HG110" s="196"/>
      <c r="HH110" s="196"/>
      <c r="HI110" s="196"/>
      <c r="HJ110" s="196"/>
      <c r="HK110" s="196"/>
      <c r="HL110" s="196"/>
      <c r="HM110" s="196"/>
      <c r="HN110" s="196"/>
      <c r="HO110" s="196"/>
      <c r="HP110" s="196"/>
      <c r="HQ110" s="196"/>
      <c r="HR110" s="196"/>
      <c r="HS110" s="196"/>
      <c r="HT110" s="196"/>
      <c r="HU110" s="196"/>
      <c r="HV110" s="196"/>
      <c r="HW110" s="196"/>
      <c r="HX110" s="196"/>
      <c r="HY110" s="196"/>
      <c r="HZ110" s="196"/>
      <c r="IA110" s="196"/>
      <c r="IB110" s="196"/>
      <c r="IC110" s="196"/>
      <c r="ID110" s="196"/>
      <c r="IE110" s="196"/>
      <c r="IF110" s="196"/>
      <c r="IG110" s="196"/>
      <c r="IH110" s="196"/>
      <c r="II110" s="196"/>
      <c r="IJ110" s="196"/>
      <c r="IK110" s="196"/>
      <c r="IL110" s="196"/>
      <c r="IM110" s="196"/>
      <c r="IN110" s="196"/>
      <c r="IO110" s="196"/>
      <c r="IP110" s="196"/>
      <c r="IQ110" s="196"/>
      <c r="IR110" s="196"/>
    </row>
    <row r="111" spans="1:252" ht="15.6">
      <c r="A111" s="189"/>
      <c r="B111" s="189"/>
      <c r="C111" s="579"/>
      <c r="D111" s="579"/>
      <c r="E111" s="579"/>
      <c r="F111" s="579"/>
      <c r="G111" s="579"/>
      <c r="H111" s="579"/>
      <c r="I111" s="579"/>
      <c r="J111" s="579"/>
      <c r="K111" s="579"/>
      <c r="L111" s="579"/>
      <c r="M111" s="579"/>
      <c r="N111" s="579"/>
      <c r="O111" s="579"/>
      <c r="P111" s="579"/>
      <c r="Q111" s="579"/>
      <c r="R111" s="579"/>
      <c r="S111" s="579"/>
      <c r="T111" s="579"/>
      <c r="U111" s="579"/>
      <c r="V111" s="579"/>
      <c r="W111" s="579"/>
      <c r="X111" s="579"/>
      <c r="Y111" s="579"/>
      <c r="Z111" s="579"/>
      <c r="AA111" s="579"/>
      <c r="AB111" s="579"/>
      <c r="AC111" s="579"/>
      <c r="AD111" s="579"/>
      <c r="AE111" s="579"/>
      <c r="AF111" s="579"/>
      <c r="AG111" s="579"/>
      <c r="AH111" s="579"/>
      <c r="AI111" s="579"/>
      <c r="AJ111" s="579"/>
      <c r="AK111" s="579"/>
      <c r="AL111" s="579"/>
      <c r="AM111" s="579"/>
      <c r="AN111" s="579"/>
      <c r="AO111" s="579"/>
      <c r="AP111" s="584"/>
      <c r="AQ111" s="584"/>
      <c r="AR111" s="584"/>
      <c r="AS111" s="584"/>
      <c r="AT111" s="584"/>
      <c r="AU111" s="584"/>
      <c r="AV111" s="584"/>
      <c r="AW111" s="584"/>
      <c r="AX111" s="584"/>
      <c r="AY111" s="584"/>
      <c r="AZ111" s="196"/>
      <c r="BA111" s="196"/>
      <c r="BB111" s="196"/>
      <c r="BC111" s="196"/>
      <c r="BD111" s="196"/>
      <c r="BE111" s="196"/>
      <c r="BF111" s="196"/>
      <c r="BG111" s="196"/>
      <c r="BH111" s="196"/>
      <c r="BI111" s="196"/>
      <c r="BJ111" s="196"/>
      <c r="BK111" s="196"/>
      <c r="BL111" s="196"/>
      <c r="BM111" s="196"/>
      <c r="BN111" s="196"/>
      <c r="BO111" s="196"/>
      <c r="BP111" s="196"/>
      <c r="BQ111" s="196"/>
      <c r="BR111" s="196"/>
      <c r="BS111" s="196"/>
      <c r="BT111" s="196"/>
      <c r="BU111" s="196"/>
      <c r="BV111" s="196"/>
      <c r="BW111" s="196"/>
      <c r="BX111" s="196"/>
      <c r="BY111" s="196"/>
      <c r="BZ111" s="196"/>
      <c r="CA111" s="196"/>
      <c r="CB111" s="196"/>
      <c r="CC111" s="196"/>
      <c r="CD111" s="196"/>
      <c r="CE111" s="196"/>
      <c r="CF111" s="196"/>
      <c r="CG111" s="196"/>
      <c r="CH111" s="196"/>
      <c r="CI111" s="196"/>
      <c r="CJ111" s="196"/>
      <c r="CK111" s="196"/>
      <c r="CL111" s="196"/>
      <c r="CM111" s="196"/>
      <c r="CN111" s="196"/>
      <c r="CO111" s="196"/>
      <c r="CP111" s="196"/>
      <c r="CQ111" s="196"/>
      <c r="CR111" s="196"/>
      <c r="CS111" s="196"/>
      <c r="CT111" s="196"/>
      <c r="CU111" s="196"/>
      <c r="CV111" s="196"/>
      <c r="CW111" s="196"/>
      <c r="CX111" s="196"/>
      <c r="CY111" s="196"/>
      <c r="CZ111" s="196"/>
      <c r="DA111" s="196"/>
      <c r="DB111" s="196"/>
      <c r="DC111" s="196"/>
      <c r="DD111" s="196"/>
      <c r="DE111" s="196"/>
      <c r="DF111" s="196"/>
      <c r="DG111" s="196"/>
      <c r="DH111" s="196"/>
      <c r="DI111" s="196"/>
      <c r="DJ111" s="196"/>
      <c r="DK111" s="196"/>
      <c r="DL111" s="196"/>
      <c r="DM111" s="196"/>
      <c r="DN111" s="196"/>
      <c r="DO111" s="196"/>
      <c r="DP111" s="196"/>
      <c r="DQ111" s="196"/>
      <c r="DR111" s="196"/>
      <c r="DS111" s="196"/>
      <c r="DT111" s="196"/>
      <c r="DU111" s="196"/>
      <c r="DV111" s="196"/>
      <c r="DW111" s="196"/>
      <c r="DX111" s="196"/>
      <c r="DY111" s="196"/>
      <c r="DZ111" s="196"/>
      <c r="EA111" s="196"/>
      <c r="EB111" s="196"/>
      <c r="EC111" s="196"/>
      <c r="ED111" s="196"/>
      <c r="EE111" s="196"/>
      <c r="EF111" s="196"/>
      <c r="EG111" s="196"/>
      <c r="EH111" s="196"/>
      <c r="EI111" s="196"/>
      <c r="EJ111" s="196"/>
      <c r="EK111" s="196"/>
      <c r="EL111" s="196"/>
      <c r="EM111" s="196"/>
      <c r="EN111" s="196"/>
      <c r="EO111" s="196"/>
      <c r="EP111" s="196"/>
      <c r="EQ111" s="196"/>
      <c r="ER111" s="196"/>
      <c r="ES111" s="196"/>
      <c r="ET111" s="196"/>
      <c r="EU111" s="196"/>
      <c r="EV111" s="196"/>
      <c r="EW111" s="196"/>
      <c r="EX111" s="196"/>
      <c r="EY111" s="196"/>
      <c r="EZ111" s="196"/>
      <c r="FA111" s="196"/>
      <c r="FB111" s="196"/>
      <c r="FC111" s="196"/>
      <c r="FD111" s="196"/>
      <c r="FE111" s="196"/>
      <c r="FF111" s="196"/>
      <c r="FG111" s="196"/>
      <c r="FH111" s="196"/>
      <c r="FI111" s="196"/>
      <c r="FJ111" s="196"/>
      <c r="FK111" s="196"/>
      <c r="FL111" s="196"/>
      <c r="FM111" s="196"/>
      <c r="FN111" s="196"/>
      <c r="FO111" s="196"/>
      <c r="FP111" s="196"/>
      <c r="FQ111" s="196"/>
      <c r="FR111" s="196"/>
      <c r="FS111" s="196"/>
      <c r="FT111" s="196"/>
      <c r="FU111" s="196"/>
      <c r="FV111" s="196"/>
      <c r="FW111" s="196"/>
      <c r="FX111" s="196"/>
      <c r="FY111" s="196"/>
      <c r="FZ111" s="196"/>
      <c r="GA111" s="196"/>
      <c r="GB111" s="196"/>
      <c r="GC111" s="196"/>
      <c r="GD111" s="196"/>
      <c r="GE111" s="196"/>
      <c r="GF111" s="196"/>
      <c r="GG111" s="196"/>
      <c r="GH111" s="196"/>
      <c r="GI111" s="196"/>
      <c r="GJ111" s="196"/>
      <c r="GK111" s="196"/>
      <c r="GL111" s="196"/>
      <c r="GM111" s="196"/>
      <c r="GN111" s="196"/>
      <c r="GO111" s="196"/>
      <c r="GP111" s="196"/>
      <c r="GQ111" s="196"/>
      <c r="GR111" s="196"/>
      <c r="GS111" s="196"/>
      <c r="GT111" s="196"/>
      <c r="GU111" s="196"/>
      <c r="GV111" s="196"/>
      <c r="GW111" s="196"/>
      <c r="GX111" s="196"/>
      <c r="GY111" s="196"/>
      <c r="GZ111" s="196"/>
      <c r="HA111" s="196"/>
      <c r="HB111" s="196"/>
      <c r="HC111" s="196"/>
      <c r="HD111" s="196"/>
      <c r="HE111" s="196"/>
      <c r="HF111" s="196"/>
      <c r="HG111" s="196"/>
      <c r="HH111" s="196"/>
      <c r="HI111" s="196"/>
      <c r="HJ111" s="196"/>
      <c r="HK111" s="196"/>
      <c r="HL111" s="196"/>
      <c r="HM111" s="196"/>
      <c r="HN111" s="196"/>
      <c r="HO111" s="196"/>
      <c r="HP111" s="196"/>
      <c r="HQ111" s="196"/>
      <c r="HR111" s="196"/>
      <c r="HS111" s="196"/>
      <c r="HT111" s="196"/>
      <c r="HU111" s="196"/>
      <c r="HV111" s="196"/>
      <c r="HW111" s="196"/>
      <c r="HX111" s="196"/>
      <c r="HY111" s="196"/>
      <c r="HZ111" s="196"/>
      <c r="IA111" s="196"/>
      <c r="IB111" s="196"/>
      <c r="IC111" s="196"/>
      <c r="ID111" s="196"/>
      <c r="IE111" s="196"/>
      <c r="IF111" s="196"/>
      <c r="IG111" s="196"/>
      <c r="IH111" s="196"/>
      <c r="II111" s="196"/>
      <c r="IJ111" s="196"/>
      <c r="IK111" s="196"/>
      <c r="IL111" s="196"/>
      <c r="IM111" s="196"/>
      <c r="IN111" s="196"/>
      <c r="IO111" s="196"/>
      <c r="IP111" s="196"/>
      <c r="IQ111" s="196"/>
      <c r="IR111" s="196"/>
    </row>
    <row r="112" spans="1:252" ht="15.6">
      <c r="A112" s="189"/>
      <c r="B112" s="189"/>
      <c r="C112" s="579"/>
      <c r="D112" s="579"/>
      <c r="E112" s="579"/>
      <c r="F112" s="579"/>
      <c r="G112" s="579"/>
      <c r="H112" s="579"/>
      <c r="I112" s="579"/>
      <c r="J112" s="579"/>
      <c r="K112" s="579"/>
      <c r="L112" s="579"/>
      <c r="M112" s="579"/>
      <c r="N112" s="579"/>
      <c r="O112" s="579"/>
      <c r="P112" s="579"/>
      <c r="Q112" s="579"/>
      <c r="R112" s="579"/>
      <c r="S112" s="579"/>
      <c r="T112" s="579"/>
      <c r="U112" s="579"/>
      <c r="V112" s="579"/>
      <c r="W112" s="579"/>
      <c r="X112" s="579"/>
      <c r="Y112" s="579"/>
      <c r="Z112" s="579"/>
      <c r="AA112" s="579"/>
      <c r="AB112" s="579"/>
      <c r="AC112" s="579"/>
      <c r="AD112" s="579"/>
      <c r="AE112" s="579"/>
      <c r="AF112" s="579"/>
      <c r="AG112" s="579"/>
      <c r="AH112" s="579"/>
      <c r="AI112" s="579"/>
      <c r="AJ112" s="579"/>
      <c r="AK112" s="579"/>
      <c r="AL112" s="579"/>
      <c r="AM112" s="579"/>
      <c r="AN112" s="579"/>
      <c r="AO112" s="579"/>
      <c r="AP112" s="584"/>
      <c r="AQ112" s="584"/>
      <c r="AR112" s="584"/>
      <c r="AS112" s="584"/>
      <c r="AT112" s="584"/>
      <c r="AU112" s="584"/>
      <c r="AV112" s="584"/>
      <c r="AW112" s="584"/>
      <c r="AX112" s="584"/>
      <c r="AY112" s="584"/>
      <c r="AZ112" s="196"/>
      <c r="BA112" s="196"/>
      <c r="BB112" s="196"/>
      <c r="BC112" s="196"/>
      <c r="BD112" s="196"/>
      <c r="BE112" s="196"/>
      <c r="BF112" s="196"/>
      <c r="BG112" s="196"/>
      <c r="BH112" s="196"/>
      <c r="BI112" s="196"/>
      <c r="BJ112" s="196"/>
      <c r="BK112" s="196"/>
      <c r="BL112" s="196"/>
      <c r="BM112" s="196"/>
      <c r="BN112" s="196"/>
      <c r="BO112" s="196"/>
      <c r="BP112" s="196"/>
      <c r="BQ112" s="196"/>
      <c r="BR112" s="196"/>
      <c r="BS112" s="196"/>
      <c r="BT112" s="196"/>
      <c r="BU112" s="196"/>
      <c r="BV112" s="196"/>
      <c r="BW112" s="196"/>
      <c r="BX112" s="196"/>
      <c r="BY112" s="196"/>
      <c r="BZ112" s="196"/>
      <c r="CA112" s="196"/>
      <c r="CB112" s="196"/>
      <c r="CC112" s="196"/>
      <c r="CD112" s="196"/>
      <c r="CE112" s="196"/>
      <c r="CF112" s="196"/>
      <c r="CG112" s="196"/>
      <c r="CH112" s="196"/>
      <c r="CI112" s="196"/>
      <c r="CJ112" s="196"/>
      <c r="CK112" s="196"/>
      <c r="CL112" s="196"/>
      <c r="CM112" s="196"/>
      <c r="CN112" s="196"/>
      <c r="CO112" s="196"/>
      <c r="CP112" s="196"/>
      <c r="CQ112" s="196"/>
      <c r="CR112" s="196"/>
      <c r="CS112" s="196"/>
      <c r="CT112" s="196"/>
      <c r="CU112" s="196"/>
      <c r="CV112" s="196"/>
      <c r="CW112" s="196"/>
      <c r="CX112" s="196"/>
      <c r="CY112" s="196"/>
      <c r="CZ112" s="196"/>
      <c r="DA112" s="196"/>
      <c r="DB112" s="196"/>
      <c r="DC112" s="196"/>
      <c r="DD112" s="196"/>
      <c r="DE112" s="196"/>
      <c r="DF112" s="196"/>
      <c r="DG112" s="196"/>
      <c r="DH112" s="196"/>
      <c r="DI112" s="196"/>
      <c r="DJ112" s="196"/>
      <c r="DK112" s="196"/>
      <c r="DL112" s="196"/>
      <c r="DM112" s="196"/>
      <c r="DN112" s="196"/>
      <c r="DO112" s="196"/>
      <c r="DP112" s="196"/>
      <c r="DQ112" s="196"/>
      <c r="DR112" s="196"/>
      <c r="DS112" s="196"/>
      <c r="DT112" s="196"/>
      <c r="DU112" s="196"/>
      <c r="DV112" s="196"/>
      <c r="DW112" s="196"/>
      <c r="DX112" s="196"/>
      <c r="DY112" s="196"/>
      <c r="DZ112" s="196"/>
      <c r="EA112" s="196"/>
      <c r="EB112" s="196"/>
      <c r="EC112" s="196"/>
      <c r="ED112" s="196"/>
      <c r="EE112" s="196"/>
      <c r="EF112" s="196"/>
      <c r="EG112" s="196"/>
      <c r="EH112" s="196"/>
      <c r="EI112" s="196"/>
      <c r="EJ112" s="196"/>
      <c r="EK112" s="196"/>
      <c r="EL112" s="196"/>
      <c r="EM112" s="196"/>
      <c r="EN112" s="196"/>
      <c r="EO112" s="196"/>
      <c r="EP112" s="196"/>
      <c r="EQ112" s="196"/>
      <c r="ER112" s="196"/>
      <c r="ES112" s="196"/>
      <c r="ET112" s="196"/>
      <c r="EU112" s="196"/>
      <c r="EV112" s="196"/>
      <c r="EW112" s="196"/>
      <c r="EX112" s="196"/>
      <c r="EY112" s="196"/>
      <c r="EZ112" s="196"/>
      <c r="FA112" s="196"/>
      <c r="FB112" s="196"/>
      <c r="FC112" s="196"/>
      <c r="FD112" s="196"/>
      <c r="FE112" s="196"/>
      <c r="FF112" s="196"/>
      <c r="FG112" s="196"/>
      <c r="FH112" s="196"/>
      <c r="FI112" s="196"/>
      <c r="FJ112" s="196"/>
      <c r="FK112" s="196"/>
      <c r="FL112" s="196"/>
      <c r="FM112" s="196"/>
      <c r="FN112" s="196"/>
      <c r="FO112" s="196"/>
      <c r="FP112" s="196"/>
      <c r="FQ112" s="196"/>
      <c r="FR112" s="196"/>
      <c r="FS112" s="196"/>
      <c r="FT112" s="196"/>
      <c r="FU112" s="196"/>
      <c r="FV112" s="196"/>
      <c r="FW112" s="196"/>
      <c r="FX112" s="196"/>
      <c r="FY112" s="196"/>
      <c r="FZ112" s="196"/>
      <c r="GA112" s="196"/>
      <c r="GB112" s="196"/>
      <c r="GC112" s="196"/>
      <c r="GD112" s="196"/>
      <c r="GE112" s="196"/>
      <c r="GF112" s="196"/>
      <c r="GG112" s="196"/>
      <c r="GH112" s="196"/>
      <c r="GI112" s="196"/>
      <c r="GJ112" s="196"/>
      <c r="GK112" s="196"/>
      <c r="GL112" s="196"/>
      <c r="GM112" s="196"/>
      <c r="GN112" s="196"/>
      <c r="GO112" s="196"/>
      <c r="GP112" s="196"/>
      <c r="GQ112" s="196"/>
      <c r="GR112" s="196"/>
      <c r="GS112" s="196"/>
      <c r="GT112" s="196"/>
      <c r="GU112" s="196"/>
      <c r="GV112" s="196"/>
      <c r="GW112" s="196"/>
      <c r="GX112" s="196"/>
      <c r="GY112" s="196"/>
      <c r="GZ112" s="196"/>
      <c r="HA112" s="196"/>
      <c r="HB112" s="196"/>
      <c r="HC112" s="196"/>
      <c r="HD112" s="196"/>
      <c r="HE112" s="196"/>
      <c r="HF112" s="196"/>
      <c r="HG112" s="196"/>
      <c r="HH112" s="196"/>
      <c r="HI112" s="196"/>
      <c r="HJ112" s="196"/>
      <c r="HK112" s="196"/>
      <c r="HL112" s="196"/>
      <c r="HM112" s="196"/>
      <c r="HN112" s="196"/>
      <c r="HO112" s="196"/>
      <c r="HP112" s="196"/>
      <c r="HQ112" s="196"/>
      <c r="HR112" s="196"/>
      <c r="HS112" s="196"/>
      <c r="HT112" s="196"/>
      <c r="HU112" s="196"/>
      <c r="HV112" s="196"/>
      <c r="HW112" s="196"/>
      <c r="HX112" s="196"/>
      <c r="HY112" s="196"/>
      <c r="HZ112" s="196"/>
      <c r="IA112" s="196"/>
      <c r="IB112" s="196"/>
      <c r="IC112" s="196"/>
      <c r="ID112" s="196"/>
      <c r="IE112" s="196"/>
      <c r="IF112" s="196"/>
      <c r="IG112" s="196"/>
      <c r="IH112" s="196"/>
      <c r="II112" s="196"/>
      <c r="IJ112" s="196"/>
      <c r="IK112" s="196"/>
      <c r="IL112" s="196"/>
      <c r="IM112" s="196"/>
      <c r="IN112" s="196"/>
      <c r="IO112" s="196"/>
      <c r="IP112" s="196"/>
      <c r="IQ112" s="196"/>
      <c r="IR112" s="196"/>
    </row>
    <row r="113" spans="1:41" ht="15.6">
      <c r="A113" s="189"/>
      <c r="B113" s="189"/>
      <c r="C113" s="579"/>
      <c r="D113" s="579"/>
      <c r="E113" s="579"/>
      <c r="F113" s="579"/>
      <c r="G113" s="579"/>
      <c r="H113" s="579"/>
      <c r="I113" s="579"/>
      <c r="J113" s="579"/>
      <c r="K113" s="579"/>
      <c r="L113" s="579"/>
      <c r="M113" s="579"/>
      <c r="N113" s="579"/>
      <c r="O113" s="579"/>
      <c r="P113" s="579"/>
      <c r="Q113" s="579"/>
      <c r="R113" s="579"/>
      <c r="S113" s="579"/>
      <c r="T113" s="579"/>
      <c r="U113" s="579"/>
      <c r="V113" s="579"/>
      <c r="W113" s="579"/>
      <c r="X113" s="579"/>
      <c r="Y113" s="579"/>
      <c r="Z113" s="579"/>
      <c r="AA113" s="579"/>
      <c r="AB113" s="579"/>
      <c r="AC113" s="579"/>
      <c r="AD113" s="579"/>
      <c r="AE113" s="579"/>
      <c r="AF113" s="579"/>
      <c r="AG113" s="579"/>
      <c r="AH113" s="579"/>
      <c r="AI113" s="579"/>
      <c r="AJ113" s="579"/>
      <c r="AK113" s="579"/>
      <c r="AL113" s="579"/>
      <c r="AM113" s="579"/>
      <c r="AN113" s="579"/>
      <c r="AO113" s="579"/>
    </row>
    <row r="114" spans="1:41" ht="15.6">
      <c r="A114" s="189"/>
      <c r="B114" s="189"/>
      <c r="C114" s="579"/>
      <c r="D114" s="579"/>
      <c r="E114" s="579"/>
      <c r="F114" s="579"/>
      <c r="G114" s="579"/>
      <c r="H114" s="579"/>
      <c r="I114" s="579"/>
      <c r="J114" s="579"/>
      <c r="K114" s="579"/>
      <c r="L114" s="579"/>
      <c r="M114" s="579"/>
      <c r="N114" s="579"/>
      <c r="O114" s="579"/>
      <c r="P114" s="579"/>
      <c r="Q114" s="579"/>
      <c r="R114" s="579"/>
      <c r="S114" s="579"/>
      <c r="T114" s="579"/>
      <c r="U114" s="579"/>
      <c r="V114" s="579"/>
      <c r="W114" s="579"/>
      <c r="X114" s="579"/>
      <c r="Y114" s="579"/>
      <c r="Z114" s="579"/>
      <c r="AA114" s="579"/>
      <c r="AB114" s="579"/>
      <c r="AC114" s="579"/>
      <c r="AD114" s="579"/>
      <c r="AE114" s="579"/>
      <c r="AF114" s="579"/>
      <c r="AG114" s="579"/>
      <c r="AH114" s="579"/>
      <c r="AI114" s="579"/>
      <c r="AJ114" s="579"/>
      <c r="AK114" s="579"/>
      <c r="AL114" s="579"/>
      <c r="AM114" s="579"/>
      <c r="AN114" s="579"/>
      <c r="AO114" s="579"/>
    </row>
    <row r="115" spans="1:41" ht="15.6">
      <c r="A115" s="189"/>
      <c r="B115" s="189"/>
      <c r="C115" s="579"/>
      <c r="D115" s="579"/>
      <c r="E115" s="579"/>
      <c r="F115" s="579"/>
      <c r="G115" s="579"/>
      <c r="H115" s="579"/>
      <c r="I115" s="579"/>
      <c r="J115" s="579"/>
      <c r="K115" s="579"/>
      <c r="L115" s="579"/>
      <c r="M115" s="579"/>
      <c r="N115" s="579"/>
      <c r="O115" s="579"/>
      <c r="P115" s="579"/>
      <c r="Q115" s="579"/>
      <c r="R115" s="579"/>
      <c r="S115" s="579"/>
      <c r="T115" s="579"/>
      <c r="U115" s="579"/>
      <c r="V115" s="579"/>
      <c r="W115" s="579"/>
      <c r="X115" s="579"/>
      <c r="Y115" s="579"/>
      <c r="Z115" s="579"/>
      <c r="AA115" s="579"/>
      <c r="AB115" s="579"/>
      <c r="AC115" s="579"/>
      <c r="AD115" s="579"/>
      <c r="AE115" s="579"/>
      <c r="AF115" s="579"/>
      <c r="AG115" s="579"/>
      <c r="AH115" s="579"/>
      <c r="AI115" s="579"/>
      <c r="AJ115" s="579"/>
      <c r="AK115" s="579"/>
      <c r="AL115" s="579"/>
      <c r="AM115" s="579"/>
      <c r="AN115" s="579"/>
      <c r="AO115" s="579"/>
    </row>
    <row r="116" spans="1:41" ht="15.6">
      <c r="A116" s="189"/>
      <c r="B116" s="189"/>
      <c r="C116" s="579"/>
      <c r="D116" s="579"/>
      <c r="E116" s="579"/>
      <c r="F116" s="579"/>
      <c r="G116" s="579"/>
      <c r="H116" s="579"/>
      <c r="I116" s="579"/>
      <c r="J116" s="579"/>
      <c r="K116" s="579"/>
      <c r="L116" s="579"/>
      <c r="M116" s="579"/>
      <c r="N116" s="579"/>
      <c r="O116" s="579"/>
      <c r="P116" s="579"/>
      <c r="Q116" s="579"/>
      <c r="R116" s="579"/>
      <c r="S116" s="579"/>
      <c r="T116" s="579"/>
      <c r="U116" s="579"/>
      <c r="V116" s="579"/>
      <c r="W116" s="579"/>
      <c r="X116" s="579"/>
      <c r="Y116" s="579"/>
      <c r="Z116" s="579"/>
      <c r="AA116" s="579"/>
      <c r="AB116" s="579"/>
      <c r="AC116" s="579"/>
      <c r="AD116" s="579"/>
      <c r="AE116" s="579"/>
      <c r="AF116" s="579"/>
      <c r="AG116" s="579"/>
      <c r="AH116" s="579"/>
      <c r="AI116" s="579"/>
      <c r="AJ116" s="579"/>
      <c r="AK116" s="579"/>
      <c r="AL116" s="579"/>
      <c r="AM116" s="579"/>
      <c r="AN116" s="579"/>
      <c r="AO116" s="579"/>
    </row>
    <row r="117" spans="1:41" ht="15.6">
      <c r="A117" s="189"/>
      <c r="B117" s="189"/>
      <c r="C117" s="579"/>
      <c r="D117" s="579"/>
      <c r="E117" s="579"/>
      <c r="F117" s="579"/>
      <c r="G117" s="579"/>
      <c r="H117" s="579"/>
      <c r="I117" s="579"/>
      <c r="J117" s="579"/>
      <c r="K117" s="579"/>
      <c r="L117" s="579"/>
      <c r="M117" s="579"/>
      <c r="N117" s="579"/>
      <c r="O117" s="579"/>
      <c r="P117" s="579"/>
      <c r="Q117" s="579"/>
      <c r="R117" s="579"/>
      <c r="S117" s="579"/>
      <c r="T117" s="579"/>
      <c r="U117" s="579"/>
      <c r="V117" s="579"/>
      <c r="W117" s="579"/>
      <c r="X117" s="579"/>
      <c r="Y117" s="579"/>
      <c r="Z117" s="579"/>
      <c r="AA117" s="579"/>
      <c r="AB117" s="579"/>
      <c r="AC117" s="579"/>
      <c r="AD117" s="579"/>
      <c r="AE117" s="579"/>
      <c r="AF117" s="579"/>
      <c r="AG117" s="579"/>
      <c r="AH117" s="579"/>
      <c r="AI117" s="579"/>
      <c r="AJ117" s="579"/>
      <c r="AK117" s="579"/>
      <c r="AL117" s="579"/>
      <c r="AM117" s="579"/>
      <c r="AN117" s="579"/>
      <c r="AO117" s="579"/>
    </row>
    <row r="118" spans="1:41" ht="15.6">
      <c r="A118" s="189"/>
      <c r="B118" s="189"/>
      <c r="C118" s="579"/>
      <c r="D118" s="579"/>
      <c r="E118" s="579"/>
      <c r="F118" s="579"/>
      <c r="G118" s="579"/>
      <c r="H118" s="579"/>
      <c r="I118" s="579"/>
      <c r="J118" s="579"/>
      <c r="K118" s="579"/>
      <c r="L118" s="579"/>
      <c r="M118" s="579"/>
      <c r="N118" s="579"/>
      <c r="O118" s="579"/>
      <c r="P118" s="579"/>
      <c r="Q118" s="579"/>
      <c r="R118" s="579"/>
      <c r="S118" s="579"/>
      <c r="T118" s="579"/>
      <c r="U118" s="579"/>
      <c r="V118" s="579"/>
      <c r="W118" s="579"/>
      <c r="X118" s="579"/>
      <c r="Y118" s="579"/>
      <c r="Z118" s="579"/>
      <c r="AA118" s="579"/>
      <c r="AB118" s="579"/>
      <c r="AC118" s="579"/>
      <c r="AD118" s="579"/>
      <c r="AE118" s="579"/>
      <c r="AF118" s="579"/>
      <c r="AG118" s="579"/>
      <c r="AH118" s="579"/>
      <c r="AI118" s="579"/>
      <c r="AJ118" s="579"/>
      <c r="AK118" s="579"/>
      <c r="AL118" s="579"/>
      <c r="AM118" s="579"/>
      <c r="AN118" s="579"/>
      <c r="AO118" s="579"/>
    </row>
    <row r="119" spans="1:41" ht="15.6">
      <c r="A119" s="189"/>
      <c r="B119" s="189"/>
      <c r="C119" s="579"/>
      <c r="D119" s="579"/>
      <c r="E119" s="579"/>
      <c r="F119" s="579"/>
      <c r="G119" s="579"/>
      <c r="H119" s="579"/>
      <c r="I119" s="579"/>
      <c r="J119" s="579"/>
      <c r="K119" s="579"/>
      <c r="L119" s="579"/>
      <c r="M119" s="579"/>
      <c r="N119" s="579"/>
      <c r="O119" s="579"/>
      <c r="P119" s="579"/>
      <c r="Q119" s="579"/>
      <c r="R119" s="579"/>
      <c r="S119" s="579"/>
      <c r="T119" s="579"/>
      <c r="U119" s="579"/>
      <c r="V119" s="579"/>
      <c r="W119" s="579"/>
      <c r="X119" s="579"/>
      <c r="Y119" s="579"/>
      <c r="Z119" s="579"/>
      <c r="AA119" s="579"/>
      <c r="AB119" s="579"/>
      <c r="AC119" s="579"/>
      <c r="AD119" s="579"/>
      <c r="AE119" s="579"/>
      <c r="AF119" s="579"/>
      <c r="AG119" s="579"/>
      <c r="AH119" s="579"/>
      <c r="AI119" s="579"/>
      <c r="AJ119" s="579"/>
      <c r="AK119" s="579"/>
      <c r="AL119" s="579"/>
      <c r="AM119" s="579"/>
      <c r="AN119" s="579"/>
      <c r="AO119" s="579"/>
    </row>
    <row r="120" spans="1:41" ht="15.6">
      <c r="A120" s="189"/>
      <c r="B120" s="189"/>
      <c r="C120" s="579"/>
      <c r="D120" s="579"/>
      <c r="E120" s="579"/>
      <c r="F120" s="579"/>
      <c r="G120" s="579"/>
      <c r="H120" s="579"/>
      <c r="I120" s="579"/>
      <c r="J120" s="579"/>
      <c r="K120" s="579"/>
      <c r="L120" s="579"/>
      <c r="M120" s="579"/>
      <c r="N120" s="579"/>
      <c r="O120" s="579"/>
      <c r="P120" s="579"/>
      <c r="Q120" s="579"/>
      <c r="R120" s="579"/>
      <c r="S120" s="579"/>
      <c r="T120" s="579"/>
      <c r="U120" s="579"/>
      <c r="V120" s="579"/>
      <c r="W120" s="579"/>
      <c r="X120" s="579"/>
      <c r="Y120" s="579"/>
      <c r="Z120" s="579"/>
      <c r="AA120" s="579"/>
      <c r="AB120" s="579"/>
      <c r="AC120" s="579"/>
      <c r="AD120" s="579"/>
      <c r="AE120" s="579"/>
      <c r="AF120" s="579"/>
      <c r="AG120" s="579"/>
      <c r="AH120" s="579"/>
      <c r="AI120" s="579"/>
      <c r="AJ120" s="579"/>
      <c r="AK120" s="579"/>
      <c r="AL120" s="579"/>
      <c r="AM120" s="579"/>
      <c r="AN120" s="579"/>
      <c r="AO120" s="579"/>
    </row>
    <row r="121" spans="1:41" ht="15.6">
      <c r="A121" s="189"/>
      <c r="B121" s="189"/>
      <c r="C121" s="579"/>
      <c r="D121" s="579"/>
      <c r="E121" s="579"/>
      <c r="F121" s="579"/>
      <c r="G121" s="579"/>
      <c r="H121" s="579"/>
      <c r="I121" s="579"/>
      <c r="J121" s="579"/>
      <c r="K121" s="579"/>
      <c r="L121" s="579"/>
      <c r="M121" s="579"/>
      <c r="N121" s="579"/>
      <c r="O121" s="579"/>
      <c r="P121" s="579"/>
      <c r="Q121" s="579"/>
      <c r="R121" s="579"/>
      <c r="S121" s="579"/>
      <c r="T121" s="579"/>
      <c r="U121" s="579"/>
      <c r="V121" s="579"/>
      <c r="W121" s="579"/>
      <c r="X121" s="579"/>
      <c r="Y121" s="579"/>
      <c r="Z121" s="579"/>
      <c r="AA121" s="579"/>
      <c r="AB121" s="579"/>
      <c r="AC121" s="579"/>
      <c r="AD121" s="579"/>
      <c r="AE121" s="579"/>
      <c r="AF121" s="579"/>
      <c r="AG121" s="579"/>
      <c r="AH121" s="579"/>
      <c r="AI121" s="579"/>
      <c r="AJ121" s="579"/>
      <c r="AK121" s="579"/>
      <c r="AL121" s="579"/>
      <c r="AM121" s="579"/>
      <c r="AN121" s="579"/>
      <c r="AO121" s="579"/>
    </row>
    <row r="122" spans="1:41" ht="15.6">
      <c r="A122" s="189"/>
      <c r="B122" s="189"/>
      <c r="C122" s="579"/>
      <c r="D122" s="579"/>
      <c r="E122" s="579"/>
      <c r="F122" s="579"/>
      <c r="G122" s="579"/>
      <c r="H122" s="579"/>
      <c r="I122" s="579"/>
      <c r="J122" s="579"/>
      <c r="K122" s="579"/>
      <c r="L122" s="579"/>
      <c r="M122" s="579"/>
      <c r="N122" s="579"/>
      <c r="O122" s="579"/>
      <c r="P122" s="579"/>
      <c r="Q122" s="579"/>
      <c r="R122" s="579"/>
      <c r="S122" s="579"/>
      <c r="T122" s="579"/>
      <c r="U122" s="579"/>
      <c r="V122" s="579"/>
      <c r="W122" s="579"/>
      <c r="X122" s="579"/>
      <c r="Y122" s="579"/>
      <c r="Z122" s="579"/>
      <c r="AA122" s="579"/>
      <c r="AB122" s="579"/>
      <c r="AC122" s="579"/>
      <c r="AD122" s="579"/>
      <c r="AE122" s="579"/>
      <c r="AF122" s="579"/>
      <c r="AG122" s="579"/>
      <c r="AH122" s="579"/>
      <c r="AI122" s="579"/>
      <c r="AJ122" s="579"/>
      <c r="AK122" s="579"/>
      <c r="AL122" s="579"/>
      <c r="AM122" s="579"/>
      <c r="AN122" s="579"/>
      <c r="AO122" s="579"/>
    </row>
    <row r="123" spans="1:41" ht="15.6">
      <c r="A123" s="189"/>
      <c r="B123" s="189"/>
      <c r="C123" s="579"/>
      <c r="D123" s="579"/>
      <c r="E123" s="579"/>
      <c r="F123" s="579"/>
      <c r="G123" s="579"/>
      <c r="H123" s="579"/>
      <c r="I123" s="579"/>
      <c r="J123" s="579"/>
      <c r="K123" s="579"/>
      <c r="L123" s="579"/>
      <c r="M123" s="579"/>
      <c r="N123" s="579"/>
      <c r="O123" s="579"/>
      <c r="P123" s="579"/>
      <c r="Q123" s="579"/>
      <c r="R123" s="579"/>
      <c r="S123" s="579"/>
      <c r="T123" s="579"/>
      <c r="U123" s="579"/>
      <c r="V123" s="579"/>
      <c r="W123" s="579"/>
      <c r="X123" s="579"/>
      <c r="Y123" s="579"/>
      <c r="Z123" s="579"/>
      <c r="AA123" s="579"/>
      <c r="AB123" s="579"/>
      <c r="AC123" s="579"/>
      <c r="AD123" s="579"/>
      <c r="AE123" s="579"/>
      <c r="AF123" s="579"/>
      <c r="AG123" s="579"/>
      <c r="AH123" s="579"/>
      <c r="AI123" s="579"/>
      <c r="AJ123" s="579"/>
      <c r="AK123" s="579"/>
      <c r="AL123" s="579"/>
      <c r="AM123" s="579"/>
      <c r="AN123" s="579"/>
      <c r="AO123" s="579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103"/>
  <sheetViews>
    <sheetView showOutlineSymbols="0" zoomScale="75" zoomScaleNormal="75" workbookViewId="0">
      <selection activeCell="B23" sqref="B23"/>
    </sheetView>
  </sheetViews>
  <sheetFormatPr defaultColWidth="9.81640625" defaultRowHeight="15.6"/>
  <cols>
    <col min="1" max="1" width="18.1796875" style="214" customWidth="1"/>
    <col min="2" max="16384" width="9.81640625" style="214"/>
  </cols>
  <sheetData>
    <row r="1" spans="1:22" ht="22.2">
      <c r="A1" s="211" t="s">
        <v>236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3"/>
    </row>
    <row r="2" spans="1:22">
      <c r="A2" s="215" t="s">
        <v>237</v>
      </c>
      <c r="B2" s="216"/>
      <c r="C2" s="217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8"/>
    </row>
    <row r="3" spans="1:22" ht="3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20"/>
      <c r="S3" s="220"/>
      <c r="T3" s="220"/>
      <c r="U3" s="220"/>
      <c r="V3" s="220"/>
    </row>
    <row r="4" spans="1:22">
      <c r="A4" s="221" t="s">
        <v>50</v>
      </c>
      <c r="B4" s="222"/>
      <c r="C4" s="572">
        <f>Tariff!C5</f>
        <v>2000</v>
      </c>
      <c r="D4" s="572">
        <f>Tariff!D5</f>
        <v>2001</v>
      </c>
      <c r="E4" s="572">
        <f>Tariff!E5</f>
        <v>2002</v>
      </c>
      <c r="F4" s="572">
        <f>Tariff!F5</f>
        <v>2003</v>
      </c>
      <c r="G4" s="572">
        <f>Tariff!G5</f>
        <v>2004</v>
      </c>
      <c r="H4" s="572">
        <f>Tariff!H5</f>
        <v>2005</v>
      </c>
      <c r="I4" s="572">
        <f>Tariff!I5</f>
        <v>2006</v>
      </c>
      <c r="J4" s="572">
        <f>Tariff!J5</f>
        <v>2007</v>
      </c>
      <c r="K4" s="572">
        <f>Tariff!K5</f>
        <v>2008</v>
      </c>
      <c r="L4" s="572">
        <f>Tariff!L5</f>
        <v>2009</v>
      </c>
      <c r="M4" s="572">
        <f>Tariff!M5</f>
        <v>2010</v>
      </c>
      <c r="N4" s="572">
        <f>Tariff!N5</f>
        <v>2011</v>
      </c>
      <c r="O4" s="572">
        <f>Tariff!O5</f>
        <v>2012</v>
      </c>
      <c r="P4" s="572">
        <f>Tariff!P5</f>
        <v>2013</v>
      </c>
      <c r="Q4" s="572">
        <f>Tariff!Q5</f>
        <v>2014</v>
      </c>
      <c r="R4" s="572">
        <f>Tariff!R5</f>
        <v>2015</v>
      </c>
      <c r="S4" s="572">
        <f>Tariff!S5</f>
        <v>2016</v>
      </c>
      <c r="T4" s="572">
        <f>Tariff!T5</f>
        <v>2017</v>
      </c>
      <c r="U4" s="572">
        <f>Tariff!U5</f>
        <v>2018</v>
      </c>
      <c r="V4" s="572">
        <f>Tariff!V5</f>
        <v>2019</v>
      </c>
    </row>
    <row r="5" spans="1:22">
      <c r="A5" s="221" t="s">
        <v>238</v>
      </c>
      <c r="B5" s="222"/>
      <c r="C5" s="572">
        <f>+Tariff!C7</f>
        <v>7</v>
      </c>
      <c r="D5" s="572">
        <f>+Tariff!D7</f>
        <v>12</v>
      </c>
      <c r="E5" s="572">
        <f>+Tariff!E7</f>
        <v>12</v>
      </c>
      <c r="F5" s="572">
        <f>+Tariff!F7</f>
        <v>12</v>
      </c>
      <c r="G5" s="572">
        <f>+Tariff!G7</f>
        <v>12</v>
      </c>
      <c r="H5" s="572">
        <f>+Tariff!H7</f>
        <v>12</v>
      </c>
      <c r="I5" s="572">
        <f>+Tariff!I7</f>
        <v>12</v>
      </c>
      <c r="J5" s="572">
        <f>+Tariff!J7</f>
        <v>12</v>
      </c>
      <c r="K5" s="572">
        <f>+Tariff!K7</f>
        <v>12</v>
      </c>
      <c r="L5" s="572">
        <f>+Tariff!L7</f>
        <v>12</v>
      </c>
      <c r="M5" s="572">
        <f>+Tariff!M7</f>
        <v>12</v>
      </c>
      <c r="N5" s="572">
        <f>+Tariff!N7</f>
        <v>12</v>
      </c>
      <c r="O5" s="572">
        <f>+Tariff!O7</f>
        <v>12</v>
      </c>
      <c r="P5" s="572">
        <f>+Tariff!P7</f>
        <v>12</v>
      </c>
      <c r="Q5" s="572">
        <f>+Tariff!Q7</f>
        <v>12</v>
      </c>
      <c r="R5" s="572">
        <f>+Tariff!R7</f>
        <v>12</v>
      </c>
      <c r="S5" s="572">
        <f>+Tariff!S7</f>
        <v>12</v>
      </c>
      <c r="T5" s="572">
        <f>+Tariff!T7</f>
        <v>12</v>
      </c>
      <c r="U5" s="572">
        <f>+Tariff!U7</f>
        <v>12</v>
      </c>
      <c r="V5" s="572">
        <f>+Tariff!V7</f>
        <v>12</v>
      </c>
    </row>
    <row r="6" spans="1:22">
      <c r="A6" s="221"/>
      <c r="B6" s="222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</row>
    <row r="7" spans="1:22">
      <c r="A7" s="214" t="s">
        <v>190</v>
      </c>
      <c r="B7" s="214" t="s">
        <v>239</v>
      </c>
      <c r="C7" s="223">
        <f>Tariff!C17*'Stratus Report'!B33</f>
        <v>0</v>
      </c>
      <c r="D7" s="223">
        <f>Tariff!D17*'Stratus Report'!C33</f>
        <v>8959.6774722186638</v>
      </c>
      <c r="E7" s="223">
        <f>Tariff!E17*'Stratus Report'!D33</f>
        <v>20049.084567533777</v>
      </c>
      <c r="F7" s="223">
        <f>Tariff!F17*'Stratus Report'!E33</f>
        <v>19619.599918404885</v>
      </c>
      <c r="G7" s="223">
        <f>Tariff!G17*'Stratus Report'!F33</f>
        <v>17580.826841000882</v>
      </c>
      <c r="H7" s="223">
        <f>Tariff!H17*'Stratus Report'!G33</f>
        <v>16643.557970875103</v>
      </c>
      <c r="I7" s="223">
        <f>Tariff!I17*'Stratus Report'!H33</f>
        <v>17347.411018992443</v>
      </c>
      <c r="J7" s="223">
        <f>Tariff!J17*'Stratus Report'!I33</f>
        <v>18013.917368088445</v>
      </c>
      <c r="K7" s="223">
        <f>Tariff!K17*'Stratus Report'!J33</f>
        <v>17916.30730770533</v>
      </c>
      <c r="L7" s="223">
        <f>Tariff!L17*'Stratus Report'!K33</f>
        <v>17006.62445384622</v>
      </c>
      <c r="M7" s="223">
        <f>Tariff!M17*'Stratus Report'!L33</f>
        <v>16153.385273371108</v>
      </c>
      <c r="N7" s="223">
        <f>Tariff!N17*'Stratus Report'!M33</f>
        <v>16126.649219905776</v>
      </c>
      <c r="O7" s="223">
        <f>Tariff!O17*'Stratus Report'!N33</f>
        <v>16838.565578504444</v>
      </c>
      <c r="P7" s="223">
        <f>Tariff!P17*'Stratus Report'!O33</f>
        <v>17438.018109661331</v>
      </c>
      <c r="Q7" s="223">
        <f>Tariff!Q17*'Stratus Report'!P33</f>
        <v>17301.363640695556</v>
      </c>
      <c r="R7" s="223">
        <f>Tariff!R17*'Stratus Report'!Q33</f>
        <v>14630.45796802489</v>
      </c>
      <c r="S7" s="223">
        <f>Tariff!S17*'Stratus Report'!R33</f>
        <v>13836.209963666219</v>
      </c>
      <c r="T7" s="223">
        <f>Tariff!T17*'Stratus Report'!S33</f>
        <v>14369.033868843107</v>
      </c>
      <c r="U7" s="223">
        <f>Tariff!U17*'Stratus Report'!T33</f>
        <v>14846.473856573333</v>
      </c>
      <c r="V7" s="223">
        <f>Tariff!V17*'Stratus Report'!U33</f>
        <v>14724.461522225774</v>
      </c>
    </row>
    <row r="8" spans="1:22">
      <c r="B8" s="214" t="s">
        <v>240</v>
      </c>
      <c r="C8" s="224">
        <f>'Stratus Report'!B48</f>
        <v>0</v>
      </c>
      <c r="D8" s="224">
        <f>'Stratus Report'!C48</f>
        <v>50.276172119999998</v>
      </c>
      <c r="E8" s="224">
        <f>'Stratus Report'!D48</f>
        <v>49.292064809999999</v>
      </c>
      <c r="F8" s="224">
        <f>'Stratus Report'!E48</f>
        <v>48.871634270000001</v>
      </c>
      <c r="G8" s="224">
        <f>'Stratus Report'!F48</f>
        <v>48.114296760000002</v>
      </c>
      <c r="H8" s="224">
        <f>'Stratus Report'!G48</f>
        <v>48.06361708</v>
      </c>
      <c r="I8" s="224">
        <f>'Stratus Report'!H48</f>
        <v>47.985188090000001</v>
      </c>
      <c r="J8" s="224">
        <f>'Stratus Report'!I48</f>
        <v>47.92342798</v>
      </c>
      <c r="K8" s="224">
        <f>'Stratus Report'!J48</f>
        <v>47.851334469999998</v>
      </c>
      <c r="L8" s="224">
        <f>'Stratus Report'!K48</f>
        <v>47.800795440000002</v>
      </c>
      <c r="M8" s="224">
        <f>'Stratus Report'!L48</f>
        <v>47.727659449999997</v>
      </c>
      <c r="N8" s="224">
        <f>'Stratus Report'!M48</f>
        <v>47.627052849999998</v>
      </c>
      <c r="O8" s="224">
        <f>'Stratus Report'!N48</f>
        <v>47.543011270000001</v>
      </c>
      <c r="P8" s="224">
        <f>'Stratus Report'!O48</f>
        <v>47.51406309</v>
      </c>
      <c r="Q8" s="224">
        <f>'Stratus Report'!P48</f>
        <v>47.472470049999998</v>
      </c>
      <c r="R8" s="224">
        <f>'Stratus Report'!Q48</f>
        <v>48.311608300000003</v>
      </c>
      <c r="S8" s="224">
        <f>'Stratus Report'!R48</f>
        <v>48.278161849999996</v>
      </c>
      <c r="T8" s="224">
        <f>'Stratus Report'!S48</f>
        <v>48.241320610000002</v>
      </c>
      <c r="U8" s="224">
        <f>'Stratus Report'!T48</f>
        <v>48.23143288</v>
      </c>
      <c r="V8" s="224">
        <f>'Stratus Report'!U48</f>
        <v>48.193177519999999</v>
      </c>
    </row>
    <row r="9" spans="1:22">
      <c r="B9" s="214" t="s">
        <v>241</v>
      </c>
      <c r="C9" s="225">
        <f t="shared" ref="C9:V9" si="0">C7*C8/1000</f>
        <v>0</v>
      </c>
      <c r="D9" s="225">
        <f t="shared" si="0"/>
        <v>450.45828673295205</v>
      </c>
      <c r="E9" s="225">
        <f t="shared" si="0"/>
        <v>988.26077588404576</v>
      </c>
      <c r="F9" s="225">
        <f t="shared" si="0"/>
        <v>958.8419117360055</v>
      </c>
      <c r="G9" s="225">
        <f t="shared" si="0"/>
        <v>845.88911991408975</v>
      </c>
      <c r="H9" s="225">
        <f t="shared" si="0"/>
        <v>799.94959716092274</v>
      </c>
      <c r="I9" s="226">
        <f t="shared" si="0"/>
        <v>832.41878062089097</v>
      </c>
      <c r="J9" s="226">
        <f t="shared" si="0"/>
        <v>863.28867162725771</v>
      </c>
      <c r="K9" s="226">
        <f t="shared" si="0"/>
        <v>857.31921344831289</v>
      </c>
      <c r="L9" s="226">
        <f t="shared" si="0"/>
        <v>812.93017664320485</v>
      </c>
      <c r="M9" s="226">
        <f t="shared" si="0"/>
        <v>770.96327129210135</v>
      </c>
      <c r="N9" s="226">
        <f t="shared" si="0"/>
        <v>768.06477468986373</v>
      </c>
      <c r="O9" s="226">
        <f t="shared" si="0"/>
        <v>800.55611306947083</v>
      </c>
      <c r="P9" s="226">
        <f t="shared" si="0"/>
        <v>828.55109262701103</v>
      </c>
      <c r="Q9" s="226">
        <f t="shared" si="0"/>
        <v>821.33846725707872</v>
      </c>
      <c r="R9" s="226">
        <f t="shared" si="0"/>
        <v>706.82095460083247</v>
      </c>
      <c r="S9" s="226">
        <f t="shared" si="0"/>
        <v>667.98678401646032</v>
      </c>
      <c r="T9" s="226">
        <f t="shared" si="0"/>
        <v>693.18116972280916</v>
      </c>
      <c r="U9" s="226">
        <f t="shared" si="0"/>
        <v>716.06670731799136</v>
      </c>
      <c r="V9" s="226">
        <f t="shared" si="0"/>
        <v>709.61858802703614</v>
      </c>
    </row>
    <row r="10" spans="1:22">
      <c r="C10" s="227"/>
      <c r="D10" s="227"/>
      <c r="E10" s="227"/>
      <c r="F10" s="227"/>
      <c r="G10" s="227"/>
      <c r="H10" s="227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8"/>
    </row>
    <row r="11" spans="1:22">
      <c r="A11" s="214" t="s">
        <v>191</v>
      </c>
      <c r="B11" s="214" t="s">
        <v>239</v>
      </c>
      <c r="C11" s="223">
        <f>Tariff!C17*'Stratus Report'!B34</f>
        <v>0</v>
      </c>
      <c r="D11" s="223">
        <f>Tariff!D17*'Stratus Report'!C34</f>
        <v>462.11481927022209</v>
      </c>
      <c r="E11" s="223">
        <f>Tariff!E17*'Stratus Report'!D34</f>
        <v>926.55215538355537</v>
      </c>
      <c r="F11" s="223">
        <f>Tariff!F17*'Stratus Report'!E34</f>
        <v>870.00185066666643</v>
      </c>
      <c r="G11" s="223">
        <f>Tariff!G17*'Stratus Report'!F34</f>
        <v>761.8879230075554</v>
      </c>
      <c r="H11" s="223">
        <f>Tariff!H17*'Stratus Report'!G34</f>
        <v>761.88792300755529</v>
      </c>
      <c r="I11" s="223">
        <f>Tariff!I17*'Stratus Report'!H34</f>
        <v>752.76341374577783</v>
      </c>
      <c r="J11" s="223">
        <f>Tariff!J17*'Stratus Report'!I34</f>
        <v>721.88926158222216</v>
      </c>
      <c r="K11" s="223">
        <f>Tariff!K17*'Stratus Report'!J34</f>
        <v>712.97695085244436</v>
      </c>
      <c r="L11" s="223">
        <f>Tariff!L17*'Stratus Report'!K34</f>
        <v>699.60804490266662</v>
      </c>
      <c r="M11" s="223">
        <f>Tariff!M17*'Stratus Report'!L34</f>
        <v>688.89185384444443</v>
      </c>
      <c r="N11" s="223">
        <f>Tariff!N17*'Stratus Report'!M34</f>
        <v>670.64373574177762</v>
      </c>
      <c r="O11" s="223">
        <f>Tariff!O17*'Stratus Report'!N34</f>
        <v>670.64373574177762</v>
      </c>
      <c r="P11" s="223">
        <f>Tariff!P17*'Stratus Report'!O34</f>
        <v>626.40040543111115</v>
      </c>
      <c r="Q11" s="223">
        <f>Tariff!Q17*'Stratus Report'!P34</f>
        <v>626.40040543111104</v>
      </c>
      <c r="R11" s="223">
        <f>Tariff!R17*'Stratus Report'!Q34</f>
        <v>450.0668593648889</v>
      </c>
      <c r="S11" s="223">
        <f>Tariff!S17*'Stratus Report'!R34</f>
        <v>462.16190842266661</v>
      </c>
      <c r="T11" s="223">
        <f>Tariff!T17*'Stratus Report'!S34</f>
        <v>451.6582285288888</v>
      </c>
      <c r="U11" s="223">
        <f>Tariff!U17*'Stratus Report'!T34</f>
        <v>436.6979534151111</v>
      </c>
      <c r="V11" s="223">
        <f>Tariff!V17*'Stratus Report'!U34</f>
        <v>421.95075555733325</v>
      </c>
    </row>
    <row r="12" spans="1:22">
      <c r="B12" s="214" t="s">
        <v>240</v>
      </c>
      <c r="C12" s="224">
        <f>'Stratus Report'!B49</f>
        <v>0</v>
      </c>
      <c r="D12" s="224">
        <f>'Stratus Report'!C49</f>
        <v>41.817346350000001</v>
      </c>
      <c r="E12" s="224">
        <f>'Stratus Report'!D49</f>
        <v>41.748309280000001</v>
      </c>
      <c r="F12" s="224">
        <f>'Stratus Report'!E49</f>
        <v>41.724420000000002</v>
      </c>
      <c r="G12" s="224">
        <f>'Stratus Report'!F49</f>
        <v>41.790971169999999</v>
      </c>
      <c r="H12" s="224">
        <f>'Stratus Report'!G49</f>
        <v>41.746887319999999</v>
      </c>
      <c r="I12" s="230">
        <f>'Stratus Report'!H49</f>
        <v>41.739237850000002</v>
      </c>
      <c r="J12" s="230">
        <f>'Stratus Report'!I49</f>
        <v>41.750481800000003</v>
      </c>
      <c r="K12" s="230">
        <f>'Stratus Report'!J49</f>
        <v>41.745338220000001</v>
      </c>
      <c r="L12" s="230">
        <f>'Stratus Report'!K49</f>
        <v>41.759888549999999</v>
      </c>
      <c r="M12" s="230">
        <f>'Stratus Report'!L49</f>
        <v>41.834905370000001</v>
      </c>
      <c r="N12" s="230">
        <f>'Stratus Report'!M49</f>
        <v>41.87551191</v>
      </c>
      <c r="O12" s="230">
        <f>'Stratus Report'!N49</f>
        <v>41.835226169999999</v>
      </c>
      <c r="P12" s="230">
        <f>'Stratus Report'!O49</f>
        <v>41.857962829999998</v>
      </c>
      <c r="Q12" s="230">
        <f>'Stratus Report'!P49</f>
        <v>41.819254440000002</v>
      </c>
      <c r="R12" s="230">
        <f>'Stratus Report'!Q49</f>
        <v>42.662712560000003</v>
      </c>
      <c r="S12" s="230">
        <f>'Stratus Report'!R49</f>
        <v>42.681394259999998</v>
      </c>
      <c r="T12" s="230">
        <f>'Stratus Report'!S49</f>
        <v>42.643273039999997</v>
      </c>
      <c r="U12" s="230">
        <f>'Stratus Report'!T49</f>
        <v>42.634758580000003</v>
      </c>
      <c r="V12" s="230">
        <f>'Stratus Report'!U49</f>
        <v>42.626866929999998</v>
      </c>
    </row>
    <row r="13" spans="1:22">
      <c r="B13" s="214" t="s">
        <v>241</v>
      </c>
      <c r="C13" s="225">
        <f t="shared" ref="C13:V13" si="1">C11*C12/1000</f>
        <v>0</v>
      </c>
      <c r="D13" s="225">
        <f t="shared" si="1"/>
        <v>19.32441545089053</v>
      </c>
      <c r="E13" s="225">
        <f t="shared" si="1"/>
        <v>38.681985947003291</v>
      </c>
      <c r="F13" s="225">
        <f t="shared" si="1"/>
        <v>36.300322617993274</v>
      </c>
      <c r="G13" s="225">
        <f t="shared" si="1"/>
        <v>31.840036225179926</v>
      </c>
      <c r="H13" s="225">
        <f t="shared" si="1"/>
        <v>31.806449272265247</v>
      </c>
      <c r="I13" s="226">
        <f t="shared" si="1"/>
        <v>31.419771171112981</v>
      </c>
      <c r="J13" s="226">
        <f t="shared" si="1"/>
        <v>30.139224477304008</v>
      </c>
      <c r="K13" s="226">
        <f t="shared" si="1"/>
        <v>29.763463956399605</v>
      </c>
      <c r="L13" s="226">
        <f t="shared" si="1"/>
        <v>29.215553983818754</v>
      </c>
      <c r="M13" s="226">
        <f t="shared" si="1"/>
        <v>28.819725515746207</v>
      </c>
      <c r="N13" s="226">
        <f t="shared" si="1"/>
        <v>28.083549743421703</v>
      </c>
      <c r="O13" s="226">
        <f t="shared" si="1"/>
        <v>28.05653236425098</v>
      </c>
      <c r="P13" s="226">
        <f t="shared" si="1"/>
        <v>26.21984488723238</v>
      </c>
      <c r="Q13" s="226">
        <f t="shared" si="1"/>
        <v>26.195597936042791</v>
      </c>
      <c r="R13" s="226">
        <f t="shared" si="1"/>
        <v>19.2010730538662</v>
      </c>
      <c r="S13" s="226">
        <f t="shared" si="1"/>
        <v>19.725714625341848</v>
      </c>
      <c r="T13" s="226">
        <f t="shared" si="1"/>
        <v>19.260185159920123</v>
      </c>
      <c r="U13" s="226">
        <f t="shared" si="1"/>
        <v>18.618511816233351</v>
      </c>
      <c r="V13" s="226">
        <f t="shared" si="1"/>
        <v>17.986438708155401</v>
      </c>
    </row>
    <row r="14" spans="1:22">
      <c r="C14" s="223"/>
      <c r="D14" s="223"/>
      <c r="E14" s="223"/>
      <c r="F14" s="223"/>
      <c r="G14" s="223"/>
      <c r="H14" s="223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</row>
    <row r="15" spans="1:22">
      <c r="A15" s="214" t="s">
        <v>192</v>
      </c>
      <c r="B15" s="214" t="s">
        <v>239</v>
      </c>
      <c r="C15" s="223">
        <f>Tariff!C$17*'Stratus Report'!B35</f>
        <v>0</v>
      </c>
      <c r="D15" s="223">
        <f>Tariff!D$17*'Stratus Report'!C35</f>
        <v>462.11481927022209</v>
      </c>
      <c r="E15" s="223">
        <f>Tariff!E$17*'Stratus Report'!D35</f>
        <v>926.55215538355537</v>
      </c>
      <c r="F15" s="223">
        <f>Tariff!F$17*'Stratus Report'!E35</f>
        <v>870.00185066666643</v>
      </c>
      <c r="G15" s="223">
        <f>Tariff!G$17*'Stratus Report'!F35</f>
        <v>761.8879230075554</v>
      </c>
      <c r="H15" s="223">
        <f>Tariff!H$17*'Stratus Report'!G35</f>
        <v>761.88792300755529</v>
      </c>
      <c r="I15" s="223">
        <f>Tariff!I$17*'Stratus Report'!H35</f>
        <v>752.76341374577783</v>
      </c>
      <c r="J15" s="223">
        <f>Tariff!J$17*'Stratus Report'!I35</f>
        <v>721.88926158222216</v>
      </c>
      <c r="K15" s="223">
        <f>Tariff!K$17*'Stratus Report'!J35</f>
        <v>712.97695085244436</v>
      </c>
      <c r="L15" s="223">
        <f>Tariff!L$17*'Stratus Report'!K35</f>
        <v>699.60804490266662</v>
      </c>
      <c r="M15" s="223">
        <f>Tariff!M$17*'Stratus Report'!L35</f>
        <v>688.89185384444443</v>
      </c>
      <c r="N15" s="223">
        <f>Tariff!N$17*'Stratus Report'!M35</f>
        <v>670.64373574177762</v>
      </c>
      <c r="O15" s="223">
        <f>Tariff!O$17*'Stratus Report'!N35</f>
        <v>670.64373574177762</v>
      </c>
      <c r="P15" s="223">
        <f>Tariff!P$17*'Stratus Report'!O35</f>
        <v>626.40040543111115</v>
      </c>
      <c r="Q15" s="223">
        <f>Tariff!Q$17*'Stratus Report'!P35</f>
        <v>626.40040543111104</v>
      </c>
      <c r="R15" s="223">
        <f>Tariff!R$17*'Stratus Report'!Q35</f>
        <v>450.0668593648889</v>
      </c>
      <c r="S15" s="223">
        <f>Tariff!S$17*'Stratus Report'!R35</f>
        <v>462.16190842266661</v>
      </c>
      <c r="T15" s="223">
        <f>Tariff!T$17*'Stratus Report'!S35</f>
        <v>451.6582285288888</v>
      </c>
      <c r="U15" s="223">
        <f>Tariff!U$17*'Stratus Report'!T35</f>
        <v>436.6979534151111</v>
      </c>
      <c r="V15" s="223">
        <f>Tariff!V$17*'Stratus Report'!U35</f>
        <v>421.95075555733325</v>
      </c>
    </row>
    <row r="16" spans="1:22">
      <c r="B16" s="214" t="s">
        <v>240</v>
      </c>
      <c r="C16" s="224">
        <f>'Stratus Report'!B50</f>
        <v>0</v>
      </c>
      <c r="D16" s="224">
        <f>'Stratus Report'!C50</f>
        <v>41.817346350000001</v>
      </c>
      <c r="E16" s="224">
        <f>'Stratus Report'!D50</f>
        <v>41.748309280000001</v>
      </c>
      <c r="F16" s="224">
        <f>'Stratus Report'!E50</f>
        <v>41.724420000000002</v>
      </c>
      <c r="G16" s="224">
        <f>'Stratus Report'!F50</f>
        <v>41.790971169999999</v>
      </c>
      <c r="H16" s="224">
        <f>'Stratus Report'!G50</f>
        <v>41.746887319999999</v>
      </c>
      <c r="I16" s="230">
        <f>'Stratus Report'!H50</f>
        <v>41.739237850000002</v>
      </c>
      <c r="J16" s="230">
        <f>'Stratus Report'!I50</f>
        <v>41.750481800000003</v>
      </c>
      <c r="K16" s="230">
        <f>'Stratus Report'!J50</f>
        <v>41.745338220000001</v>
      </c>
      <c r="L16" s="230">
        <f>'Stratus Report'!K50</f>
        <v>41.759888549999999</v>
      </c>
      <c r="M16" s="230">
        <f>'Stratus Report'!L50</f>
        <v>41.834905370000001</v>
      </c>
      <c r="N16" s="230">
        <f>'Stratus Report'!M50</f>
        <v>41.87551191</v>
      </c>
      <c r="O16" s="230">
        <f>'Stratus Report'!N50</f>
        <v>41.835226169999999</v>
      </c>
      <c r="P16" s="230">
        <f>'Stratus Report'!O50</f>
        <v>41.857962829999998</v>
      </c>
      <c r="Q16" s="230">
        <f>'Stratus Report'!P50</f>
        <v>41.819254440000002</v>
      </c>
      <c r="R16" s="230">
        <f>'Stratus Report'!Q50</f>
        <v>42.662712560000003</v>
      </c>
      <c r="S16" s="230">
        <f>'Stratus Report'!R50</f>
        <v>42.681394259999998</v>
      </c>
      <c r="T16" s="230">
        <f>'Stratus Report'!S50</f>
        <v>42.643273039999997</v>
      </c>
      <c r="U16" s="230">
        <f>'Stratus Report'!T50</f>
        <v>42.634758580000003</v>
      </c>
      <c r="V16" s="230">
        <f>'Stratus Report'!U50</f>
        <v>42.626866929999998</v>
      </c>
    </row>
    <row r="17" spans="1:22">
      <c r="B17" s="214" t="s">
        <v>241</v>
      </c>
      <c r="C17" s="225">
        <f t="shared" ref="C17:V17" si="2">C15*C16/1000</f>
        <v>0</v>
      </c>
      <c r="D17" s="225">
        <f t="shared" si="2"/>
        <v>19.32441545089053</v>
      </c>
      <c r="E17" s="225">
        <f t="shared" si="2"/>
        <v>38.681985947003291</v>
      </c>
      <c r="F17" s="225">
        <f t="shared" si="2"/>
        <v>36.300322617993274</v>
      </c>
      <c r="G17" s="225">
        <f t="shared" si="2"/>
        <v>31.840036225179926</v>
      </c>
      <c r="H17" s="225">
        <f t="shared" si="2"/>
        <v>31.806449272265247</v>
      </c>
      <c r="I17" s="226">
        <f t="shared" si="2"/>
        <v>31.419771171112981</v>
      </c>
      <c r="J17" s="226">
        <f t="shared" si="2"/>
        <v>30.139224477304008</v>
      </c>
      <c r="K17" s="226">
        <f t="shared" si="2"/>
        <v>29.763463956399605</v>
      </c>
      <c r="L17" s="226">
        <f t="shared" si="2"/>
        <v>29.215553983818754</v>
      </c>
      <c r="M17" s="226">
        <f t="shared" si="2"/>
        <v>28.819725515746207</v>
      </c>
      <c r="N17" s="226">
        <f t="shared" si="2"/>
        <v>28.083549743421703</v>
      </c>
      <c r="O17" s="226">
        <f t="shared" si="2"/>
        <v>28.05653236425098</v>
      </c>
      <c r="P17" s="226">
        <f t="shared" si="2"/>
        <v>26.21984488723238</v>
      </c>
      <c r="Q17" s="226">
        <f t="shared" si="2"/>
        <v>26.195597936042791</v>
      </c>
      <c r="R17" s="226">
        <f t="shared" si="2"/>
        <v>19.2010730538662</v>
      </c>
      <c r="S17" s="226">
        <f t="shared" si="2"/>
        <v>19.725714625341848</v>
      </c>
      <c r="T17" s="226">
        <f t="shared" si="2"/>
        <v>19.260185159920123</v>
      </c>
      <c r="U17" s="226">
        <f t="shared" si="2"/>
        <v>18.618511816233351</v>
      </c>
      <c r="V17" s="226">
        <f t="shared" si="2"/>
        <v>17.986438708155401</v>
      </c>
    </row>
    <row r="18" spans="1:22">
      <c r="C18" s="223"/>
      <c r="D18" s="223"/>
      <c r="E18" s="223"/>
      <c r="F18" s="223"/>
      <c r="G18" s="223"/>
      <c r="H18" s="223"/>
      <c r="I18" s="229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</row>
    <row r="19" spans="1:22">
      <c r="A19" s="214" t="s">
        <v>193</v>
      </c>
      <c r="B19" s="214" t="s">
        <v>239</v>
      </c>
      <c r="C19" s="223">
        <f>Tariff!C$17*'Stratus Report'!B36</f>
        <v>0</v>
      </c>
      <c r="D19" s="223">
        <f>Tariff!D$17*'Stratus Report'!C36</f>
        <v>5959.7515085297764</v>
      </c>
      <c r="E19" s="223">
        <f>Tariff!E$17*'Stratus Report'!D36</f>
        <v>12055.889461398223</v>
      </c>
      <c r="F19" s="223">
        <f>Tariff!F$17*'Stratus Report'!E36</f>
        <v>11199.258379655108</v>
      </c>
      <c r="G19" s="223">
        <f>Tariff!G$17*'Stratus Report'!F36</f>
        <v>9712.4023690555532</v>
      </c>
      <c r="H19" s="223">
        <f>Tariff!H$17*'Stratus Report'!G36</f>
        <v>9170.6666975435528</v>
      </c>
      <c r="I19" s="223">
        <f>Tariff!I$17*'Stratus Report'!H36</f>
        <v>8623.6274809191109</v>
      </c>
      <c r="J19" s="223">
        <f>Tariff!J$17*'Stratus Report'!I36</f>
        <v>8914.4406196688888</v>
      </c>
      <c r="K19" s="223">
        <f>Tariff!K$17*'Stratus Report'!J36</f>
        <v>9285.253340704443</v>
      </c>
      <c r="L19" s="223">
        <f>Tariff!L$17*'Stratus Report'!K36</f>
        <v>9156.874316647556</v>
      </c>
      <c r="M19" s="223">
        <f>Tariff!M$17*'Stratus Report'!L36</f>
        <v>9049.5044936551094</v>
      </c>
      <c r="N19" s="223">
        <f>Tariff!N$17*'Stratus Report'!M36</f>
        <v>8508.9366325319988</v>
      </c>
      <c r="O19" s="223">
        <f>Tariff!O$17*'Stratus Report'!N36</f>
        <v>8401.9893426435556</v>
      </c>
      <c r="P19" s="223">
        <f>Tariff!P$17*'Stratus Report'!O36</f>
        <v>8687.7101091417771</v>
      </c>
      <c r="Q19" s="223">
        <f>Tariff!Q$17*'Stratus Report'!P36</f>
        <v>8599.0118575013312</v>
      </c>
      <c r="R19" s="223">
        <f>Tariff!R$17*'Stratus Report'!Q36</f>
        <v>7389.9226365004442</v>
      </c>
      <c r="S19" s="223">
        <f>Tariff!S$17*'Stratus Report'!R36</f>
        <v>6991.6304467022219</v>
      </c>
      <c r="T19" s="223">
        <f>Tariff!T$17*'Stratus Report'!S36</f>
        <v>6578.0621451097768</v>
      </c>
      <c r="U19" s="223">
        <f>Tariff!U$17*'Stratus Report'!T36</f>
        <v>6815.6151663817773</v>
      </c>
      <c r="V19" s="223">
        <f>Tariff!V$17*'Stratus Report'!U36</f>
        <v>7063.139749375111</v>
      </c>
    </row>
    <row r="20" spans="1:22">
      <c r="B20" s="214" t="s">
        <v>240</v>
      </c>
      <c r="C20" s="224">
        <f>'Stratus Report'!B51</f>
        <v>0</v>
      </c>
      <c r="D20" s="224">
        <f>'Stratus Report'!C51</f>
        <v>45.644802769999998</v>
      </c>
      <c r="E20" s="224">
        <f>'Stratus Report'!D51</f>
        <v>45.906999220000003</v>
      </c>
      <c r="F20" s="224">
        <f>'Stratus Report'!E51</f>
        <v>45.99268799</v>
      </c>
      <c r="G20" s="224">
        <f>'Stratus Report'!F51</f>
        <v>46.152457849999998</v>
      </c>
      <c r="H20" s="224">
        <f>'Stratus Report'!G51</f>
        <v>46.158718229999998</v>
      </c>
      <c r="I20" s="230">
        <f>'Stratus Report'!H51</f>
        <v>46.17733114</v>
      </c>
      <c r="J20" s="230">
        <f>'Stratus Report'!I51</f>
        <v>46.215252710000001</v>
      </c>
      <c r="K20" s="230">
        <f>'Stratus Report'!J51</f>
        <v>46.195517700000003</v>
      </c>
      <c r="L20" s="230">
        <f>'Stratus Report'!K51</f>
        <v>46.225966669999998</v>
      </c>
      <c r="M20" s="230">
        <f>'Stratus Report'!L51</f>
        <v>46.245486280000001</v>
      </c>
      <c r="N20" s="230">
        <f>'Stratus Report'!M51</f>
        <v>46.286573279999999</v>
      </c>
      <c r="O20" s="230">
        <f>'Stratus Report'!N51</f>
        <v>46.314709980000003</v>
      </c>
      <c r="P20" s="230">
        <f>'Stratus Report'!O51</f>
        <v>46.347454259999999</v>
      </c>
      <c r="Q20" s="230">
        <f>'Stratus Report'!P51</f>
        <v>46.364830099999999</v>
      </c>
      <c r="R20" s="230">
        <f>'Stratus Report'!Q51</f>
        <v>47.220839869999999</v>
      </c>
      <c r="S20" s="230">
        <f>'Stratus Report'!R51</f>
        <v>47.235548139999999</v>
      </c>
      <c r="T20" s="230">
        <f>'Stratus Report'!S51</f>
        <v>47.271625739999998</v>
      </c>
      <c r="U20" s="230">
        <f>'Stratus Report'!T51</f>
        <v>47.3161731</v>
      </c>
      <c r="V20" s="230">
        <f>'Stratus Report'!U51</f>
        <v>47.346890139999999</v>
      </c>
    </row>
    <row r="21" spans="1:22">
      <c r="B21" s="214" t="s">
        <v>241</v>
      </c>
      <c r="C21" s="225">
        <f t="shared" ref="C21:V21" si="3">C19*C20/1000</f>
        <v>0</v>
      </c>
      <c r="D21" s="225">
        <f t="shared" si="3"/>
        <v>272.03168216505156</v>
      </c>
      <c r="E21" s="225">
        <f t="shared" si="3"/>
        <v>553.44970810081452</v>
      </c>
      <c r="F21" s="225">
        <f t="shared" si="3"/>
        <v>515.08399637487037</v>
      </c>
      <c r="G21" s="225">
        <f t="shared" si="3"/>
        <v>448.25124096007659</v>
      </c>
      <c r="H21" s="225">
        <f t="shared" si="3"/>
        <v>423.30622007315748</v>
      </c>
      <c r="I21" s="226">
        <f t="shared" si="3"/>
        <v>398.21610181440582</v>
      </c>
      <c r="J21" s="226">
        <f t="shared" si="3"/>
        <v>411.98312600628668</v>
      </c>
      <c r="K21" s="226">
        <f t="shared" si="3"/>
        <v>428.93708504949626</v>
      </c>
      <c r="L21" s="226">
        <f t="shared" si="3"/>
        <v>423.28536696272897</v>
      </c>
      <c r="M21" s="226">
        <f t="shared" si="3"/>
        <v>418.4987359021257</v>
      </c>
      <c r="N21" s="226">
        <f t="shared" si="3"/>
        <v>393.84951897656879</v>
      </c>
      <c r="O21" s="226">
        <f t="shared" si="3"/>
        <v>389.1356996595872</v>
      </c>
      <c r="P21" s="226">
        <f t="shared" si="3"/>
        <v>402.65324690758808</v>
      </c>
      <c r="Q21" s="226">
        <f t="shared" si="3"/>
        <v>398.6917238009346</v>
      </c>
      <c r="R21" s="226">
        <f t="shared" si="3"/>
        <v>348.9583534698757</v>
      </c>
      <c r="S21" s="226">
        <f t="shared" si="3"/>
        <v>330.25349654229245</v>
      </c>
      <c r="T21" s="226">
        <f t="shared" si="3"/>
        <v>310.95569181809094</v>
      </c>
      <c r="U21" s="226">
        <f t="shared" si="3"/>
        <v>322.48882699550546</v>
      </c>
      <c r="V21" s="226">
        <f t="shared" si="3"/>
        <v>334.41770175713049</v>
      </c>
    </row>
    <row r="22" spans="1:22">
      <c r="C22" s="223"/>
      <c r="D22" s="223"/>
      <c r="E22" s="223"/>
      <c r="F22" s="223"/>
      <c r="G22" s="223"/>
      <c r="H22" s="223"/>
      <c r="I22" s="229"/>
      <c r="J22" s="229"/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</row>
    <row r="23" spans="1:22">
      <c r="A23" s="214" t="s">
        <v>194</v>
      </c>
      <c r="B23" s="214" t="s">
        <v>239</v>
      </c>
      <c r="C23" s="223">
        <f>Tariff!C$17*'Stratus Report'!B37</f>
        <v>0</v>
      </c>
      <c r="D23" s="223">
        <f>Tariff!D$17*'Stratus Report'!C37</f>
        <v>13502.435285655552</v>
      </c>
      <c r="E23" s="223">
        <f>Tariff!E$17*'Stratus Report'!D37</f>
        <v>17367.414505152443</v>
      </c>
      <c r="F23" s="223">
        <f>Tariff!F$17*'Stratus Report'!E37</f>
        <v>18970.998914043554</v>
      </c>
      <c r="G23" s="223">
        <f>Tariff!G$17*'Stratus Report'!F37</f>
        <v>17254.389406809329</v>
      </c>
      <c r="H23" s="223">
        <f>Tariff!H$17*'Stratus Report'!G37</f>
        <v>15970.876490943105</v>
      </c>
      <c r="I23" s="223">
        <f>Tariff!I$17*'Stratus Report'!H37</f>
        <v>17152.251015374222</v>
      </c>
      <c r="J23" s="223">
        <f>Tariff!J$17*'Stratus Report'!I37</f>
        <v>17508.30590115911</v>
      </c>
      <c r="K23" s="223">
        <f>Tariff!K$17*'Stratus Report'!J37</f>
        <v>17783.534566012444</v>
      </c>
      <c r="L23" s="223">
        <f>Tariff!L$17*'Stratus Report'!K37</f>
        <v>16891.36970430311</v>
      </c>
      <c r="M23" s="223">
        <f>Tariff!M$17*'Stratus Report'!L37</f>
        <v>16716.802065064887</v>
      </c>
      <c r="N23" s="223">
        <f>Tariff!N$17*'Stratus Report'!M37</f>
        <v>16689.445243883998</v>
      </c>
      <c r="O23" s="223">
        <f>Tariff!O$17*'Stratus Report'!N37</f>
        <v>17184.95945211111</v>
      </c>
      <c r="P23" s="223">
        <f>Tariff!P$17*'Stratus Report'!O37</f>
        <v>16943.176548383559</v>
      </c>
      <c r="Q23" s="223">
        <f>Tariff!Q$17*'Stratus Report'!P37</f>
        <v>17483.117549896444</v>
      </c>
      <c r="R23" s="223">
        <f>Tariff!R$17*'Stratus Report'!Q37</f>
        <v>16992.538731998669</v>
      </c>
      <c r="S23" s="223">
        <f>Tariff!S$17*'Stratus Report'!R37</f>
        <v>17781.504892078661</v>
      </c>
      <c r="T23" s="223">
        <f>Tariff!T$17*'Stratus Report'!S37</f>
        <v>17594.758442943108</v>
      </c>
      <c r="U23" s="223">
        <f>Tariff!U$17*'Stratus Report'!T37</f>
        <v>17179.008032965328</v>
      </c>
      <c r="V23" s="223">
        <f>Tariff!V$17*'Stratus Report'!U37</f>
        <v>16567.654377571111</v>
      </c>
    </row>
    <row r="24" spans="1:22">
      <c r="B24" s="573" t="str">
        <f>B20</f>
        <v>Spot Prices</v>
      </c>
      <c r="C24" s="224">
        <f>'Stratus Report'!B52</f>
        <v>0</v>
      </c>
      <c r="D24" s="224">
        <f>'Stratus Report'!C52</f>
        <v>58.689083459999999</v>
      </c>
      <c r="E24" s="224">
        <f>'Stratus Report'!D52</f>
        <v>58.100821000000003</v>
      </c>
      <c r="F24" s="224">
        <f>'Stratus Report'!E52</f>
        <v>57.461687830000002</v>
      </c>
      <c r="G24" s="224">
        <f>'Stratus Report'!F52</f>
        <v>57.919345980000003</v>
      </c>
      <c r="H24" s="224">
        <f>'Stratus Report'!G52</f>
        <v>53.610625630000001</v>
      </c>
      <c r="I24" s="230">
        <f>'Stratus Report'!H52</f>
        <v>56.393782999999999</v>
      </c>
      <c r="J24" s="230">
        <f>'Stratus Report'!I52</f>
        <v>58.915942250000001</v>
      </c>
      <c r="K24" s="230">
        <f>'Stratus Report'!J52</f>
        <v>59.030088880000001</v>
      </c>
      <c r="L24" s="230">
        <f>'Stratus Report'!K52</f>
        <v>58.185289750000003</v>
      </c>
      <c r="M24" s="230">
        <f>'Stratus Report'!L52</f>
        <v>58.186107210000003</v>
      </c>
      <c r="N24" s="230">
        <f>'Stratus Report'!M52</f>
        <v>57.018796610000003</v>
      </c>
      <c r="O24" s="230">
        <f>'Stratus Report'!N52</f>
        <v>56.019390420000001</v>
      </c>
      <c r="P24" s="230">
        <f>'Stratus Report'!O52</f>
        <v>54.785273279999998</v>
      </c>
      <c r="Q24" s="230">
        <f>'Stratus Report'!P52</f>
        <v>56.348211910000003</v>
      </c>
      <c r="R24" s="230">
        <f>'Stratus Report'!Q52</f>
        <v>59.278648250000003</v>
      </c>
      <c r="S24" s="230">
        <f>'Stratus Report'!R52</f>
        <v>60.213965199999997</v>
      </c>
      <c r="T24" s="230">
        <f>'Stratus Report'!S52</f>
        <v>60.133431620000003</v>
      </c>
      <c r="U24" s="230">
        <f>'Stratus Report'!T52</f>
        <v>60.237749559999997</v>
      </c>
      <c r="V24" s="230">
        <f>'Stratus Report'!U52</f>
        <v>57.747255699999997</v>
      </c>
    </row>
    <row r="25" spans="1:22">
      <c r="B25" s="214" t="s">
        <v>241</v>
      </c>
      <c r="C25" s="225">
        <f t="shared" ref="C25:V25" si="4">C23*C24/1000</f>
        <v>0</v>
      </c>
      <c r="D25" s="225">
        <f t="shared" si="4"/>
        <v>792.44555139308761</v>
      </c>
      <c r="E25" s="225">
        <f t="shared" si="4"/>
        <v>1009.0610413966657</v>
      </c>
      <c r="F25" s="225">
        <f t="shared" si="4"/>
        <v>1090.1056174220396</v>
      </c>
      <c r="G25" s="225">
        <f t="shared" si="4"/>
        <v>999.36294972663654</v>
      </c>
      <c r="H25" s="225">
        <f t="shared" si="4"/>
        <v>856.20868053891888</v>
      </c>
      <c r="I25" s="226">
        <f t="shared" si="4"/>
        <v>967.28032172254359</v>
      </c>
      <c r="J25" s="226">
        <f t="shared" si="4"/>
        <v>1031.5183393680243</v>
      </c>
      <c r="K25" s="226">
        <f t="shared" si="4"/>
        <v>1049.7636260322668</v>
      </c>
      <c r="L25" s="226">
        <f t="shared" si="4"/>
        <v>982.82924051924829</v>
      </c>
      <c r="M25" s="226">
        <f t="shared" si="4"/>
        <v>972.68563716621497</v>
      </c>
      <c r="N25" s="226">
        <f t="shared" si="4"/>
        <v>951.6120838947536</v>
      </c>
      <c r="O25" s="226">
        <f t="shared" si="4"/>
        <v>962.69095289968163</v>
      </c>
      <c r="P25" s="226">
        <f t="shared" si="4"/>
        <v>928.23655743448046</v>
      </c>
      <c r="Q25" s="226">
        <f t="shared" si="4"/>
        <v>985.14241254900492</v>
      </c>
      <c r="R25" s="226">
        <f t="shared" si="4"/>
        <v>1007.2947263686502</v>
      </c>
      <c r="S25" s="226">
        <f t="shared" si="4"/>
        <v>1070.6949167752543</v>
      </c>
      <c r="T25" s="226">
        <f t="shared" si="4"/>
        <v>1058.0332036991372</v>
      </c>
      <c r="U25" s="226">
        <f t="shared" si="4"/>
        <v>1034.8247835789937</v>
      </c>
      <c r="V25" s="226">
        <f t="shared" si="4"/>
        <v>956.73657369082321</v>
      </c>
    </row>
    <row r="26" spans="1:22">
      <c r="A26" s="221"/>
      <c r="B26" s="222"/>
      <c r="C26" s="221"/>
      <c r="D26" s="221"/>
      <c r="E26" s="221"/>
      <c r="F26" s="221"/>
      <c r="G26" s="221"/>
      <c r="H26" s="22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</row>
    <row r="27" spans="1:22">
      <c r="A27" s="214" t="s">
        <v>195</v>
      </c>
      <c r="B27" s="214" t="s">
        <v>239</v>
      </c>
      <c r="C27" s="223">
        <f>Tariff!C$17*'Stratus Report'!B38</f>
        <v>12539.362295873016</v>
      </c>
      <c r="D27" s="223">
        <f>Tariff!D$17*'Stratus Report'!C38</f>
        <v>32661.244557753769</v>
      </c>
      <c r="E27" s="223">
        <f>Tariff!E$17*'Stratus Report'!D38</f>
        <v>29277.030026072887</v>
      </c>
      <c r="F27" s="223">
        <f>Tariff!F$17*'Stratus Report'!E38</f>
        <v>32361.99673668266</v>
      </c>
      <c r="G27" s="223">
        <f>Tariff!G$17*'Stratus Report'!F38</f>
        <v>33059.526153552884</v>
      </c>
      <c r="H27" s="223">
        <f>Tariff!H$17*'Stratus Report'!G38</f>
        <v>30292.162001615103</v>
      </c>
      <c r="I27" s="223">
        <f>Tariff!I$17*'Stratus Report'!H38</f>
        <v>32157.369513552887</v>
      </c>
      <c r="J27" s="223">
        <f>Tariff!J$17*'Stratus Report'!I38</f>
        <v>32163.931047241771</v>
      </c>
      <c r="K27" s="223">
        <f>Tariff!K$17*'Stratus Report'!J38</f>
        <v>32058.439299061774</v>
      </c>
      <c r="L27" s="223">
        <f>Tariff!L$17*'Stratus Report'!K38</f>
        <v>32784.36806177556</v>
      </c>
      <c r="M27" s="223">
        <f>Tariff!M$17*'Stratus Report'!L38</f>
        <v>32682.876341182662</v>
      </c>
      <c r="N27" s="223">
        <f>Tariff!N$17*'Stratus Report'!M38</f>
        <v>31891.233976370222</v>
      </c>
      <c r="O27" s="223">
        <f>Tariff!O$17*'Stratus Report'!N38</f>
        <v>31246.805776853333</v>
      </c>
      <c r="P27" s="223">
        <f>Tariff!P$17*'Stratus Report'!O38</f>
        <v>28830.05282636889</v>
      </c>
      <c r="Q27" s="223">
        <f>Tariff!Q$17*'Stratus Report'!P38</f>
        <v>31276.94676155466</v>
      </c>
      <c r="R27" s="223">
        <f>Tariff!R$17*'Stratus Report'!Q38</f>
        <v>33305.365392239109</v>
      </c>
      <c r="S27" s="223">
        <f>Tariff!S$17*'Stratus Report'!R38</f>
        <v>34009.045863302214</v>
      </c>
      <c r="T27" s="223">
        <f>Tariff!T$17*'Stratus Report'!S38</f>
        <v>33747.421158630663</v>
      </c>
      <c r="U27" s="223">
        <f>Tariff!U$17*'Stratus Report'!T38</f>
        <v>32295.255862834219</v>
      </c>
      <c r="V27" s="223">
        <f>Tariff!V$17*'Stratus Report'!U38</f>
        <v>29151.958772611109</v>
      </c>
    </row>
    <row r="28" spans="1:22">
      <c r="B28" s="214" t="s">
        <v>240</v>
      </c>
      <c r="C28" s="224">
        <f>'Stratus Report'!B53</f>
        <v>119.6982624</v>
      </c>
      <c r="D28" s="224">
        <f>'Stratus Report'!C53</f>
        <v>109.2786763</v>
      </c>
      <c r="E28" s="224">
        <f>'Stratus Report'!D53</f>
        <v>107.4110546</v>
      </c>
      <c r="F28" s="224">
        <f>'Stratus Report'!E53</f>
        <v>105.2136455</v>
      </c>
      <c r="G28" s="224">
        <f>'Stratus Report'!F53</f>
        <v>106.4071165</v>
      </c>
      <c r="H28" s="224">
        <f>'Stratus Report'!G53</f>
        <v>94.655896670000004</v>
      </c>
      <c r="I28" s="230">
        <f>'Stratus Report'!H53</f>
        <v>102.64554800000001</v>
      </c>
      <c r="J28" s="230">
        <f>'Stratus Report'!I53</f>
        <v>109.4849347</v>
      </c>
      <c r="K28" s="230">
        <f>'Stratus Report'!J53</f>
        <v>109.5895077</v>
      </c>
      <c r="L28" s="230">
        <f>'Stratus Report'!K53</f>
        <v>107.21891189999999</v>
      </c>
      <c r="M28" s="230">
        <f>'Stratus Report'!L53</f>
        <v>107.1349637</v>
      </c>
      <c r="N28" s="230">
        <f>'Stratus Report'!M53</f>
        <v>104.3683817</v>
      </c>
      <c r="O28" s="230">
        <f>'Stratus Report'!N53</f>
        <v>101.02728279999999</v>
      </c>
      <c r="P28" s="230">
        <f>'Stratus Report'!O53</f>
        <v>97.5558604</v>
      </c>
      <c r="Q28" s="230">
        <f>'Stratus Report'!P53</f>
        <v>102.08996550000001</v>
      </c>
      <c r="R28" s="230">
        <f>'Stratus Report'!Q53</f>
        <v>107.58108249999999</v>
      </c>
      <c r="S28" s="230">
        <f>'Stratus Report'!R53</f>
        <v>110.5573703</v>
      </c>
      <c r="T28" s="230">
        <f>'Stratus Report'!S53</f>
        <v>110.1751727</v>
      </c>
      <c r="U28" s="230">
        <f>'Stratus Report'!T53</f>
        <v>110.4394211</v>
      </c>
      <c r="V28" s="230">
        <f>'Stratus Report'!U53</f>
        <v>104.0923138</v>
      </c>
    </row>
    <row r="29" spans="1:22">
      <c r="B29" s="214" t="s">
        <v>241</v>
      </c>
      <c r="C29" s="225">
        <f t="shared" ref="C29:V29" si="5">C27*C28/1000</f>
        <v>1500.9398784200746</v>
      </c>
      <c r="D29" s="225">
        <f t="shared" si="5"/>
        <v>3569.1775715819108</v>
      </c>
      <c r="E29" s="225">
        <f t="shared" si="5"/>
        <v>3144.676670656354</v>
      </c>
      <c r="F29" s="225">
        <f t="shared" si="5"/>
        <v>3404.9236523254863</v>
      </c>
      <c r="G29" s="225">
        <f t="shared" si="5"/>
        <v>3517.7688508558986</v>
      </c>
      <c r="H29" s="225">
        <f t="shared" si="5"/>
        <v>2867.3317563357796</v>
      </c>
      <c r="I29" s="226">
        <f t="shared" si="5"/>
        <v>3300.8108159571293</v>
      </c>
      <c r="J29" s="226">
        <f t="shared" si="5"/>
        <v>3521.4658904025678</v>
      </c>
      <c r="K29" s="226">
        <f t="shared" si="5"/>
        <v>3513.2685804145126</v>
      </c>
      <c r="L29" s="226">
        <f t="shared" si="5"/>
        <v>3515.1042709126873</v>
      </c>
      <c r="M29" s="226">
        <f t="shared" si="5"/>
        <v>3501.478770424193</v>
      </c>
      <c r="N29" s="226">
        <f t="shared" si="5"/>
        <v>3328.4364805298164</v>
      </c>
      <c r="O29" s="226">
        <f t="shared" si="5"/>
        <v>3156.7798838148351</v>
      </c>
      <c r="P29" s="226">
        <f t="shared" si="5"/>
        <v>2812.5406088538689</v>
      </c>
      <c r="Q29" s="226">
        <f t="shared" si="5"/>
        <v>3193.0624158324522</v>
      </c>
      <c r="R29" s="226">
        <f t="shared" si="5"/>
        <v>3583.0272619551201</v>
      </c>
      <c r="S29" s="226">
        <f t="shared" si="5"/>
        <v>3759.9506770587864</v>
      </c>
      <c r="T29" s="226">
        <f t="shared" si="5"/>
        <v>3718.1279543317678</v>
      </c>
      <c r="U29" s="226">
        <f t="shared" si="5"/>
        <v>3566.669361767792</v>
      </c>
      <c r="V29" s="226">
        <f t="shared" si="5"/>
        <v>3034.494840443298</v>
      </c>
    </row>
    <row r="30" spans="1:22">
      <c r="C30" s="223"/>
      <c r="D30" s="223"/>
      <c r="E30" s="223"/>
      <c r="F30" s="223"/>
      <c r="G30" s="223"/>
      <c r="H30" s="223"/>
      <c r="I30" s="229"/>
      <c r="J30" s="229"/>
      <c r="K30" s="229"/>
      <c r="L30" s="229"/>
      <c r="M30" s="229"/>
      <c r="N30" s="229"/>
      <c r="O30" s="229"/>
      <c r="P30" s="229"/>
      <c r="Q30" s="229"/>
      <c r="R30" s="229"/>
      <c r="S30" s="229"/>
      <c r="T30" s="229"/>
      <c r="U30" s="229"/>
      <c r="V30" s="229"/>
    </row>
    <row r="31" spans="1:22">
      <c r="A31" s="214" t="s">
        <v>196</v>
      </c>
      <c r="B31" s="214" t="s">
        <v>239</v>
      </c>
      <c r="C31" s="223">
        <f>Tariff!C$17*'Stratus Report'!B39</f>
        <v>19621.499977539683</v>
      </c>
      <c r="D31" s="223">
        <f>Tariff!D$17*'Stratus Report'!C39</f>
        <v>55489.701674826203</v>
      </c>
      <c r="E31" s="223">
        <f>Tariff!E$17*'Stratus Report'!D39</f>
        <v>52644.217323145771</v>
      </c>
      <c r="F31" s="223">
        <f>Tariff!F$17*'Stratus Report'!E39</f>
        <v>53980.536934905773</v>
      </c>
      <c r="G31" s="223">
        <f>Tariff!G$17*'Stratus Report'!F39</f>
        <v>52080.594725612435</v>
      </c>
      <c r="H31" s="223">
        <f>Tariff!H$17*'Stratus Report'!G39</f>
        <v>50413.408785450651</v>
      </c>
      <c r="I31" s="223">
        <f>Tariff!I$17*'Stratus Report'!H39</f>
        <v>51574.485499506663</v>
      </c>
      <c r="J31" s="223">
        <f>Tariff!J$17*'Stratus Report'!I39</f>
        <v>53637.922491685771</v>
      </c>
      <c r="K31" s="223">
        <f>Tariff!K$17*'Stratus Report'!J39</f>
        <v>52294.40630098222</v>
      </c>
      <c r="L31" s="223">
        <f>Tariff!L$17*'Stratus Report'!K39</f>
        <v>51579.897963987554</v>
      </c>
      <c r="M31" s="223">
        <f>Tariff!M$17*'Stratus Report'!L39</f>
        <v>51393.150848165766</v>
      </c>
      <c r="N31" s="223">
        <f>Tariff!N$17*'Stratus Report'!M39</f>
        <v>50841.031400671549</v>
      </c>
      <c r="O31" s="223">
        <f>Tariff!O$17*'Stratus Report'!N39</f>
        <v>53690.513874557771</v>
      </c>
      <c r="P31" s="223">
        <f>Tariff!P$17*'Stratus Report'!O39</f>
        <v>52835.208145299999</v>
      </c>
      <c r="Q31" s="223">
        <f>Tariff!Q$17*'Stratus Report'!P39</f>
        <v>52286.286001649765</v>
      </c>
      <c r="R31" s="223">
        <f>Tariff!R$17*'Stratus Report'!Q39</f>
        <v>51772.057010744</v>
      </c>
      <c r="S31" s="223">
        <f>Tariff!S$17*'Stratus Report'!R39</f>
        <v>52207.799391751098</v>
      </c>
      <c r="T31" s="223">
        <f>Tariff!T$17*'Stratus Report'!S39</f>
        <v>51980.455053554215</v>
      </c>
      <c r="U31" s="223">
        <f>Tariff!U$17*'Stratus Report'!T39</f>
        <v>53178.437641077777</v>
      </c>
      <c r="V31" s="223">
        <f>Tariff!V$17*'Stratus Report'!U39</f>
        <v>51855.341118367105</v>
      </c>
    </row>
    <row r="32" spans="1:22">
      <c r="B32" s="214" t="s">
        <v>240</v>
      </c>
      <c r="C32" s="224">
        <f>'Stratus Report'!B54</f>
        <v>200.74960490000001</v>
      </c>
      <c r="D32" s="224">
        <f>'Stratus Report'!C54</f>
        <v>177.48117289999999</v>
      </c>
      <c r="E32" s="224">
        <f>'Stratus Report'!D54</f>
        <v>170.2370583</v>
      </c>
      <c r="F32" s="224">
        <f>'Stratus Report'!E54</f>
        <v>165.2013354</v>
      </c>
      <c r="G32" s="224">
        <f>'Stratus Report'!F54</f>
        <v>168.53742829999999</v>
      </c>
      <c r="H32" s="224">
        <f>'Stratus Report'!G54</f>
        <v>139.3279043</v>
      </c>
      <c r="I32" s="230">
        <f>'Stratus Report'!H54</f>
        <v>159.35017020000001</v>
      </c>
      <c r="J32" s="230">
        <f>'Stratus Report'!I54</f>
        <v>178.5405433</v>
      </c>
      <c r="K32" s="230">
        <f>'Stratus Report'!J54</f>
        <v>178.80340810000001</v>
      </c>
      <c r="L32" s="230">
        <f>'Stratus Report'!K54</f>
        <v>170.34071489999999</v>
      </c>
      <c r="M32" s="230">
        <f>'Stratus Report'!L54</f>
        <v>170.04549890000001</v>
      </c>
      <c r="N32" s="230">
        <f>'Stratus Report'!M54</f>
        <v>163.52485100000001</v>
      </c>
      <c r="O32" s="230">
        <f>'Stratus Report'!N54</f>
        <v>155.51577209999999</v>
      </c>
      <c r="P32" s="230">
        <f>'Stratus Report'!O54</f>
        <v>145.99592559999999</v>
      </c>
      <c r="Q32" s="230">
        <f>'Stratus Report'!P54</f>
        <v>158.10978119999999</v>
      </c>
      <c r="R32" s="230">
        <f>'Stratus Report'!Q54</f>
        <v>171.14359540000001</v>
      </c>
      <c r="S32" s="230">
        <f>'Stratus Report'!R54</f>
        <v>180.9578376</v>
      </c>
      <c r="T32" s="230">
        <f>'Stratus Report'!S54</f>
        <v>180.10846520000001</v>
      </c>
      <c r="U32" s="230">
        <f>'Stratus Report'!T54</f>
        <v>180.73672049999999</v>
      </c>
      <c r="V32" s="230">
        <f>'Stratus Report'!U54</f>
        <v>162.35939680000001</v>
      </c>
    </row>
    <row r="33" spans="1:22">
      <c r="B33" s="214" t="s">
        <v>241</v>
      </c>
      <c r="C33" s="225">
        <f t="shared" ref="C33:V33" si="6">C31*C32/1000</f>
        <v>3939.0083680364505</v>
      </c>
      <c r="D33" s="225">
        <f t="shared" si="6"/>
        <v>9848.3773371192474</v>
      </c>
      <c r="E33" s="225">
        <f t="shared" si="6"/>
        <v>8961.9966935982375</v>
      </c>
      <c r="F33" s="225">
        <f t="shared" si="6"/>
        <v>8917.6567872554569</v>
      </c>
      <c r="G33" s="225">
        <f t="shared" si="6"/>
        <v>8777.5294993892621</v>
      </c>
      <c r="H33" s="225">
        <f t="shared" si="6"/>
        <v>7023.9945946960479</v>
      </c>
      <c r="I33" s="226">
        <f t="shared" si="6"/>
        <v>8218.40304232382</v>
      </c>
      <c r="J33" s="226">
        <f t="shared" si="6"/>
        <v>9576.5438231488679</v>
      </c>
      <c r="K33" s="226">
        <f t="shared" si="6"/>
        <v>9350.4180711817371</v>
      </c>
      <c r="L33" s="226">
        <f t="shared" si="6"/>
        <v>8786.1566936546933</v>
      </c>
      <c r="M33" s="226">
        <f t="shared" si="6"/>
        <v>8739.1739760193068</v>
      </c>
      <c r="N33" s="226">
        <f t="shared" si="6"/>
        <v>8313.7720844811374</v>
      </c>
      <c r="O33" s="226">
        <f t="shared" si="6"/>
        <v>8349.721719647614</v>
      </c>
      <c r="P33" s="226">
        <f t="shared" si="6"/>
        <v>7713.7251174417324</v>
      </c>
      <c r="Q33" s="226">
        <f t="shared" si="6"/>
        <v>8266.9732394814673</v>
      </c>
      <c r="R33" s="226">
        <f t="shared" si="6"/>
        <v>8860.4559780725049</v>
      </c>
      <c r="S33" s="226">
        <f t="shared" si="6"/>
        <v>9447.410483785874</v>
      </c>
      <c r="T33" s="226">
        <f t="shared" si="6"/>
        <v>9362.1199800932336</v>
      </c>
      <c r="U33" s="226">
        <f t="shared" si="6"/>
        <v>9611.2964205621538</v>
      </c>
      <c r="V33" s="226">
        <f t="shared" si="6"/>
        <v>8419.2019048363218</v>
      </c>
    </row>
    <row r="34" spans="1:22">
      <c r="C34" s="223"/>
      <c r="D34" s="223"/>
      <c r="E34" s="223"/>
      <c r="F34" s="223"/>
      <c r="G34" s="223"/>
      <c r="H34" s="223"/>
      <c r="I34" s="229"/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</row>
    <row r="35" spans="1:22">
      <c r="A35" s="214" t="s">
        <v>197</v>
      </c>
      <c r="B35" s="214" t="s">
        <v>239</v>
      </c>
      <c r="C35" s="223">
        <f>Tariff!C$17*'Stratus Report'!B40</f>
        <v>13080.999985361907</v>
      </c>
      <c r="D35" s="223">
        <f>Tariff!D$17*'Stratus Report'!C40</f>
        <v>36993.134449226658</v>
      </c>
      <c r="E35" s="223">
        <f>Tariff!E$17*'Stratus Report'!D40</f>
        <v>35096.144881768436</v>
      </c>
      <c r="F35" s="223">
        <f>Tariff!F$17*'Stratus Report'!E40</f>
        <v>35987.024623927988</v>
      </c>
      <c r="G35" s="223">
        <f>Tariff!G$17*'Stratus Report'!F40</f>
        <v>34720.396483412878</v>
      </c>
      <c r="H35" s="223">
        <f>Tariff!H$17*'Stratus Report'!G40</f>
        <v>33608.939190300436</v>
      </c>
      <c r="I35" s="223">
        <f>Tariff!I$17*'Stratus Report'!H40</f>
        <v>34382.99033300444</v>
      </c>
      <c r="J35" s="223">
        <f>Tariff!J$17*'Stratus Report'!I40</f>
        <v>35758.614995114665</v>
      </c>
      <c r="K35" s="223">
        <f>Tariff!K$17*'Stratus Report'!J40</f>
        <v>34862.93753333066</v>
      </c>
      <c r="L35" s="223">
        <f>Tariff!L$17*'Stratus Report'!K40</f>
        <v>34386.598642987112</v>
      </c>
      <c r="M35" s="223">
        <f>Tariff!M$17*'Stratus Report'!L40</f>
        <v>34262.100565115106</v>
      </c>
      <c r="N35" s="223">
        <f>Tariff!N$17*'Stratus Report'!M40</f>
        <v>33894.020934109772</v>
      </c>
      <c r="O35" s="223">
        <f>Tariff!O$17*'Stratus Report'!N40</f>
        <v>35793.67591702933</v>
      </c>
      <c r="P35" s="223">
        <f>Tariff!P$17*'Stratus Report'!O40</f>
        <v>35223.472096866666</v>
      </c>
      <c r="Q35" s="223">
        <f>Tariff!Q$17*'Stratus Report'!P40</f>
        <v>34857.524001757331</v>
      </c>
      <c r="R35" s="223">
        <f>Tariff!R$17*'Stratus Report'!Q40</f>
        <v>34514.704673829336</v>
      </c>
      <c r="S35" s="223">
        <f>Tariff!S$17*'Stratus Report'!R40</f>
        <v>34805.199594171994</v>
      </c>
      <c r="T35" s="223">
        <f>Tariff!T$17*'Stratus Report'!S40</f>
        <v>34653.636701711999</v>
      </c>
      <c r="U35" s="223">
        <f>Tariff!U$17*'Stratus Report'!T40</f>
        <v>35452.291761376</v>
      </c>
      <c r="V35" s="223">
        <f>Tariff!V$17*'Stratus Report'!U40</f>
        <v>34570.227411915999</v>
      </c>
    </row>
    <row r="36" spans="1:22">
      <c r="B36" s="214" t="s">
        <v>240</v>
      </c>
      <c r="C36" s="224">
        <f>'Stratus Report'!B55</f>
        <v>200.74960490000001</v>
      </c>
      <c r="D36" s="224">
        <f>'Stratus Report'!C55</f>
        <v>177.48117289999999</v>
      </c>
      <c r="E36" s="224">
        <f>'Stratus Report'!D55</f>
        <v>170.2370583</v>
      </c>
      <c r="F36" s="224">
        <f>'Stratus Report'!E55</f>
        <v>165.2013354</v>
      </c>
      <c r="G36" s="224">
        <f>'Stratus Report'!F55</f>
        <v>168.53742829999999</v>
      </c>
      <c r="H36" s="224">
        <f>'Stratus Report'!G55</f>
        <v>139.3279043</v>
      </c>
      <c r="I36" s="230">
        <f>'Stratus Report'!H55</f>
        <v>159.35017020000001</v>
      </c>
      <c r="J36" s="230">
        <f>'Stratus Report'!I55</f>
        <v>178.5405433</v>
      </c>
      <c r="K36" s="230">
        <f>'Stratus Report'!J55</f>
        <v>178.80340810000001</v>
      </c>
      <c r="L36" s="230">
        <f>'Stratus Report'!K55</f>
        <v>170.34071489999999</v>
      </c>
      <c r="M36" s="230">
        <f>'Stratus Report'!L55</f>
        <v>170.04549890000001</v>
      </c>
      <c r="N36" s="230">
        <f>'Stratus Report'!M55</f>
        <v>163.52485100000001</v>
      </c>
      <c r="O36" s="230">
        <f>'Stratus Report'!N55</f>
        <v>155.51577209999999</v>
      </c>
      <c r="P36" s="230">
        <f>'Stratus Report'!O55</f>
        <v>145.99592559999999</v>
      </c>
      <c r="Q36" s="230">
        <f>'Stratus Report'!P55</f>
        <v>158.10978119999999</v>
      </c>
      <c r="R36" s="230">
        <f>'Stratus Report'!Q55</f>
        <v>171.14359540000001</v>
      </c>
      <c r="S36" s="230">
        <f>'Stratus Report'!R55</f>
        <v>180.9578376</v>
      </c>
      <c r="T36" s="230">
        <f>'Stratus Report'!S55</f>
        <v>180.10846520000001</v>
      </c>
      <c r="U36" s="230">
        <f>'Stratus Report'!T55</f>
        <v>180.73672049999999</v>
      </c>
      <c r="V36" s="230">
        <f>'Stratus Report'!U55</f>
        <v>162.35939680000001</v>
      </c>
    </row>
    <row r="37" spans="1:22">
      <c r="B37" s="214" t="s">
        <v>241</v>
      </c>
      <c r="C37" s="225">
        <f t="shared" ref="C37:V37" si="7">C35*C36/1000</f>
        <v>2626.0055787583087</v>
      </c>
      <c r="D37" s="225">
        <f t="shared" si="7"/>
        <v>6565.5848912961428</v>
      </c>
      <c r="E37" s="225">
        <f t="shared" si="7"/>
        <v>5974.6644623428601</v>
      </c>
      <c r="F37" s="225">
        <f t="shared" si="7"/>
        <v>5945.1045249455865</v>
      </c>
      <c r="G37" s="225">
        <f t="shared" si="7"/>
        <v>5851.6863328707695</v>
      </c>
      <c r="H37" s="225">
        <f t="shared" si="7"/>
        <v>4682.6630631306989</v>
      </c>
      <c r="I37" s="226">
        <f t="shared" si="7"/>
        <v>5478.9353615492128</v>
      </c>
      <c r="J37" s="226">
        <f t="shared" si="7"/>
        <v>6384.3625488832995</v>
      </c>
      <c r="K37" s="226">
        <f t="shared" si="7"/>
        <v>6233.6120473369292</v>
      </c>
      <c r="L37" s="226">
        <f t="shared" si="7"/>
        <v>5857.4377958257946</v>
      </c>
      <c r="M37" s="226">
        <f t="shared" si="7"/>
        <v>5826.11598395697</v>
      </c>
      <c r="N37" s="226">
        <f t="shared" si="7"/>
        <v>5542.5147230411812</v>
      </c>
      <c r="O37" s="226">
        <f t="shared" si="7"/>
        <v>5566.4811465339908</v>
      </c>
      <c r="P37" s="226">
        <f t="shared" si="7"/>
        <v>5142.4834116278216</v>
      </c>
      <c r="Q37" s="226">
        <f t="shared" si="7"/>
        <v>5511.3154930915989</v>
      </c>
      <c r="R37" s="226">
        <f t="shared" si="7"/>
        <v>5906.9706520483369</v>
      </c>
      <c r="S37" s="226">
        <f t="shared" si="7"/>
        <v>6298.2736557977614</v>
      </c>
      <c r="T37" s="226">
        <f t="shared" si="7"/>
        <v>6241.4133199437392</v>
      </c>
      <c r="U37" s="226">
        <f t="shared" si="7"/>
        <v>6407.5309471602659</v>
      </c>
      <c r="V37" s="226">
        <f t="shared" si="7"/>
        <v>5612.8012698375069</v>
      </c>
    </row>
    <row r="38" spans="1:22">
      <c r="C38" s="223"/>
      <c r="D38" s="223"/>
      <c r="E38" s="223"/>
      <c r="F38" s="223"/>
      <c r="G38" s="223"/>
      <c r="H38" s="223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</row>
    <row r="39" spans="1:22">
      <c r="A39" s="214" t="s">
        <v>198</v>
      </c>
      <c r="B39" s="214" t="s">
        <v>239</v>
      </c>
      <c r="C39" s="223">
        <f>Tariff!C$17*'Stratus Report'!B41</f>
        <v>6674.2400329238098</v>
      </c>
      <c r="D39" s="223">
        <f>Tariff!D$17*'Stratus Report'!C41</f>
        <v>16502.976459697773</v>
      </c>
      <c r="E39" s="223">
        <f>Tariff!E$17*'Stratus Report'!D41</f>
        <v>21226.839951289778</v>
      </c>
      <c r="F39" s="223">
        <f>Tariff!F$17*'Stratus Report'!E41</f>
        <v>23186.776450935995</v>
      </c>
      <c r="G39" s="223">
        <f>Tariff!G$17*'Stratus Report'!F41</f>
        <v>21088.698163549328</v>
      </c>
      <c r="H39" s="223">
        <f>Tariff!H$17*'Stratus Report'!G41</f>
        <v>19519.960156473771</v>
      </c>
      <c r="I39" s="223">
        <f>Tariff!I$17*'Stratus Report'!H41</f>
        <v>20963.862352891112</v>
      </c>
      <c r="J39" s="223">
        <f>Tariff!J$17*'Stratus Report'!I41</f>
        <v>21399.040545751555</v>
      </c>
      <c r="K39" s="223">
        <f>Tariff!K$17*'Stratus Report'!J41</f>
        <v>21735.431136785333</v>
      </c>
      <c r="L39" s="223">
        <f>Tariff!L$17*'Stratus Report'!K41</f>
        <v>20645.007416260887</v>
      </c>
      <c r="M39" s="223">
        <f>Tariff!M$17*'Stratus Report'!L41</f>
        <v>20431.646968522222</v>
      </c>
      <c r="N39" s="223">
        <f>Tariff!N$17*'Stratus Report'!M41</f>
        <v>20398.210853635999</v>
      </c>
      <c r="O39" s="223">
        <f>Tariff!O$17*'Stratus Report'!N41</f>
        <v>21003.83933024844</v>
      </c>
      <c r="P39" s="223">
        <f>Tariff!P$17*'Stratus Report'!O41</f>
        <v>20708.326892907109</v>
      </c>
      <c r="Q39" s="223">
        <f>Tariff!Q$17*'Stratus Report'!P41</f>
        <v>21368.254783754663</v>
      </c>
      <c r="R39" s="223">
        <f>Tariff!R$17*'Stratus Report'!Q41</f>
        <v>20768.65844956311</v>
      </c>
      <c r="S39" s="223">
        <f>Tariff!S$17*'Stratus Report'!R41</f>
        <v>21732.950422994218</v>
      </c>
      <c r="T39" s="223">
        <f>Tariff!T$17*'Stratus Report'!S41</f>
        <v>21504.704764473772</v>
      </c>
      <c r="U39" s="223">
        <f>Tariff!U$17*'Stratus Report'!T41</f>
        <v>20996.565374281774</v>
      </c>
      <c r="V39" s="223">
        <f>Tariff!V$17*'Stratus Report'!U41</f>
        <v>20249.355351241335</v>
      </c>
    </row>
    <row r="40" spans="1:22">
      <c r="B40" s="214" t="s">
        <v>240</v>
      </c>
      <c r="C40" s="224">
        <f>'Stratus Report'!B56</f>
        <v>65.474885459999996</v>
      </c>
      <c r="D40" s="224">
        <f>'Stratus Report'!C56</f>
        <v>58.689083459999999</v>
      </c>
      <c r="E40" s="224">
        <f>'Stratus Report'!D56</f>
        <v>58.100821000000003</v>
      </c>
      <c r="F40" s="224">
        <f>'Stratus Report'!E56</f>
        <v>57.461687830000002</v>
      </c>
      <c r="G40" s="224">
        <f>'Stratus Report'!F56</f>
        <v>57.919345980000003</v>
      </c>
      <c r="H40" s="224">
        <f>'Stratus Report'!G56</f>
        <v>53.610625630000001</v>
      </c>
      <c r="I40" s="230">
        <f>'Stratus Report'!H56</f>
        <v>56.393782999999999</v>
      </c>
      <c r="J40" s="230">
        <f>'Stratus Report'!I56</f>
        <v>58.915942250000001</v>
      </c>
      <c r="K40" s="230">
        <f>'Stratus Report'!J56</f>
        <v>59.030088880000001</v>
      </c>
      <c r="L40" s="230">
        <f>'Stratus Report'!K56</f>
        <v>58.185289750000003</v>
      </c>
      <c r="M40" s="230">
        <f>'Stratus Report'!L56</f>
        <v>58.186107210000003</v>
      </c>
      <c r="N40" s="230">
        <f>'Stratus Report'!M56</f>
        <v>57.018796610000003</v>
      </c>
      <c r="O40" s="230">
        <f>'Stratus Report'!N56</f>
        <v>56.019390420000001</v>
      </c>
      <c r="P40" s="230">
        <f>'Stratus Report'!O56</f>
        <v>54.785273279999998</v>
      </c>
      <c r="Q40" s="230">
        <f>'Stratus Report'!P56</f>
        <v>56.348211910000003</v>
      </c>
      <c r="R40" s="230">
        <f>'Stratus Report'!Q56</f>
        <v>59.278648250000003</v>
      </c>
      <c r="S40" s="230">
        <f>'Stratus Report'!R56</f>
        <v>60.213965199999997</v>
      </c>
      <c r="T40" s="230">
        <f>'Stratus Report'!S56</f>
        <v>60.133431620000003</v>
      </c>
      <c r="U40" s="230">
        <f>'Stratus Report'!T56</f>
        <v>60.237749559999997</v>
      </c>
      <c r="V40" s="230">
        <f>'Stratus Report'!U56</f>
        <v>57.747255699999997</v>
      </c>
    </row>
    <row r="41" spans="1:22">
      <c r="B41" s="214" t="s">
        <v>241</v>
      </c>
      <c r="C41" s="225">
        <f t="shared" ref="C41:V41" si="8">C39*C40/1000</f>
        <v>436.99510168823304</v>
      </c>
      <c r="D41" s="225">
        <f t="shared" si="8"/>
        <v>968.54456278161786</v>
      </c>
      <c r="E41" s="225">
        <f t="shared" si="8"/>
        <v>1233.2968284055362</v>
      </c>
      <c r="F41" s="225">
        <f t="shared" si="8"/>
        <v>1332.3513102076795</v>
      </c>
      <c r="G41" s="225">
        <f t="shared" si="8"/>
        <v>1221.4436052024043</v>
      </c>
      <c r="H41" s="225">
        <f t="shared" si="8"/>
        <v>1046.4772762612317</v>
      </c>
      <c r="I41" s="226">
        <f t="shared" si="8"/>
        <v>1182.2315043708106</v>
      </c>
      <c r="J41" s="226">
        <f t="shared" si="8"/>
        <v>1260.7446369989073</v>
      </c>
      <c r="K41" s="226">
        <f t="shared" si="8"/>
        <v>1283.0444318495577</v>
      </c>
      <c r="L41" s="226">
        <f t="shared" si="8"/>
        <v>1201.2357384060385</v>
      </c>
      <c r="M41" s="226">
        <f t="shared" si="8"/>
        <v>1188.8380009873056</v>
      </c>
      <c r="N41" s="226">
        <f t="shared" si="8"/>
        <v>1163.0814358713656</v>
      </c>
      <c r="O41" s="226">
        <f t="shared" si="8"/>
        <v>1176.6222757601386</v>
      </c>
      <c r="P41" s="226">
        <f t="shared" si="8"/>
        <v>1134.5113479994891</v>
      </c>
      <c r="Q41" s="226">
        <f t="shared" si="8"/>
        <v>1204.0629487018791</v>
      </c>
      <c r="R41" s="226">
        <f t="shared" si="8"/>
        <v>1231.137998856042</v>
      </c>
      <c r="S41" s="226">
        <f t="shared" si="8"/>
        <v>1308.6271204634991</v>
      </c>
      <c r="T41" s="226">
        <f t="shared" si="8"/>
        <v>1293.1516934627718</v>
      </c>
      <c r="U41" s="226">
        <f t="shared" si="8"/>
        <v>1264.7858466361531</v>
      </c>
      <c r="V41" s="226">
        <f t="shared" si="8"/>
        <v>1169.3447012282966</v>
      </c>
    </row>
    <row r="42" spans="1:22">
      <c r="C42" s="223"/>
      <c r="D42" s="223"/>
      <c r="E42" s="223"/>
      <c r="F42" s="223"/>
      <c r="G42" s="223"/>
      <c r="H42" s="223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/>
    </row>
    <row r="43" spans="1:22">
      <c r="A43" s="214" t="s">
        <v>199</v>
      </c>
      <c r="B43" s="214" t="s">
        <v>239</v>
      </c>
      <c r="C43" s="223">
        <f>Tariff!C$17*'Stratus Report'!B42</f>
        <v>1294.1987357079365</v>
      </c>
      <c r="D43" s="223">
        <f>Tariff!D$17*'Stratus Report'!C42</f>
        <v>6583.7917599191105</v>
      </c>
      <c r="E43" s="223">
        <f>Tariff!E$17*'Stratus Report'!D42</f>
        <v>5314.8629059617779</v>
      </c>
      <c r="F43" s="223">
        <f>Tariff!F$17*'Stratus Report'!E42</f>
        <v>4817.0515031333325</v>
      </c>
      <c r="G43" s="223">
        <f>Tariff!G$17*'Stratus Report'!F42</f>
        <v>3729.7611841839989</v>
      </c>
      <c r="H43" s="223">
        <f>Tariff!H$17*'Stratus Report'!G42</f>
        <v>3662.9201713035541</v>
      </c>
      <c r="I43" s="223">
        <f>Tariff!I$17*'Stratus Report'!H42</f>
        <v>3790.6623295395557</v>
      </c>
      <c r="J43" s="223">
        <f>Tariff!J$17*'Stratus Report'!I42</f>
        <v>3914.1586886795549</v>
      </c>
      <c r="K43" s="223">
        <f>Tariff!K$17*'Stratus Report'!J42</f>
        <v>3845.8319359662219</v>
      </c>
      <c r="L43" s="223">
        <f>Tariff!L$17*'Stratus Report'!K42</f>
        <v>3645.9429178946666</v>
      </c>
      <c r="M43" s="223">
        <f>Tariff!M$17*'Stratus Report'!L42</f>
        <v>3440.115039231111</v>
      </c>
      <c r="N43" s="223">
        <f>Tariff!N$17*'Stratus Report'!M42</f>
        <v>3391.096890362222</v>
      </c>
      <c r="O43" s="223">
        <f>Tariff!O$17*'Stratus Report'!N42</f>
        <v>3704.2983593871108</v>
      </c>
      <c r="P43" s="223">
        <f>Tariff!P$17*'Stratus Report'!O42</f>
        <v>3679.8951228697779</v>
      </c>
      <c r="Q43" s="223">
        <f>Tariff!Q$17*'Stratus Report'!P42</f>
        <v>3645.732708572888</v>
      </c>
      <c r="R43" s="223">
        <f>Tariff!R$17*'Stratus Report'!Q42</f>
        <v>3006.3872695857776</v>
      </c>
      <c r="S43" s="223">
        <f>Tariff!S$17*'Stratus Report'!R42</f>
        <v>2847.4520869137777</v>
      </c>
      <c r="T43" s="223">
        <f>Tariff!T$17*'Stratus Report'!S42</f>
        <v>2945.6982172364442</v>
      </c>
      <c r="U43" s="223">
        <f>Tariff!U$17*'Stratus Report'!T42</f>
        <v>3064.9533809657773</v>
      </c>
      <c r="V43" s="223">
        <f>Tariff!V$17*'Stratus Report'!U42</f>
        <v>3045.4302136284446</v>
      </c>
    </row>
    <row r="44" spans="1:22">
      <c r="B44" s="214" t="s">
        <v>240</v>
      </c>
      <c r="C44" s="224">
        <f>'Stratus Report'!B57</f>
        <v>52.66540105</v>
      </c>
      <c r="D44" s="224">
        <f>'Stratus Report'!C57</f>
        <v>45.789530360000001</v>
      </c>
      <c r="E44" s="224">
        <f>'Stratus Report'!D57</f>
        <v>46.577470480000002</v>
      </c>
      <c r="F44" s="224">
        <f>'Stratus Report'!E57</f>
        <v>47.031459339999998</v>
      </c>
      <c r="G44" s="224">
        <f>'Stratus Report'!F57</f>
        <v>47.742775229999999</v>
      </c>
      <c r="H44" s="224">
        <f>'Stratus Report'!G57</f>
        <v>47.844415580000003</v>
      </c>
      <c r="I44" s="230">
        <f>'Stratus Report'!H57</f>
        <v>47.893237370000001</v>
      </c>
      <c r="J44" s="230">
        <f>'Stratus Report'!I57</f>
        <v>47.945772689999998</v>
      </c>
      <c r="K44" s="230">
        <f>'Stratus Report'!J57</f>
        <v>48.051463550000001</v>
      </c>
      <c r="L44" s="230">
        <f>'Stratus Report'!K57</f>
        <v>48.074641470000003</v>
      </c>
      <c r="M44" s="230">
        <f>'Stratus Report'!L57</f>
        <v>48.125682779999998</v>
      </c>
      <c r="N44" s="230">
        <f>'Stratus Report'!M57</f>
        <v>48.206387999999997</v>
      </c>
      <c r="O44" s="230">
        <f>'Stratus Report'!N57</f>
        <v>48.172355099999997</v>
      </c>
      <c r="P44" s="230">
        <f>'Stratus Report'!O57</f>
        <v>48.179096860000001</v>
      </c>
      <c r="Q44" s="230">
        <f>'Stratus Report'!P57</f>
        <v>48.214159109999997</v>
      </c>
      <c r="R44" s="230">
        <f>'Stratus Report'!Q57</f>
        <v>49.610740900000003</v>
      </c>
      <c r="S44" s="230">
        <f>'Stratus Report'!R57</f>
        <v>49.635343859999999</v>
      </c>
      <c r="T44" s="230">
        <f>'Stratus Report'!S57</f>
        <v>49.71153984</v>
      </c>
      <c r="U44" s="230">
        <f>'Stratus Report'!T57</f>
        <v>49.706975929999999</v>
      </c>
      <c r="V44" s="230">
        <f>'Stratus Report'!U57</f>
        <v>49.720502250000003</v>
      </c>
    </row>
    <row r="45" spans="1:22">
      <c r="B45" s="214" t="s">
        <v>241</v>
      </c>
      <c r="C45" s="225">
        <f t="shared" ref="C45:V45" si="9">C43*C44/1000</f>
        <v>68.159495454461435</v>
      </c>
      <c r="D45" s="225">
        <f t="shared" si="9"/>
        <v>301.46873267473399</v>
      </c>
      <c r="E45" s="225">
        <f t="shared" si="9"/>
        <v>247.55287010768171</v>
      </c>
      <c r="F45" s="225">
        <f t="shared" si="9"/>
        <v>226.5529619083012</v>
      </c>
      <c r="G45" s="225">
        <f t="shared" si="9"/>
        <v>178.06914987807528</v>
      </c>
      <c r="H45" s="225">
        <f t="shared" si="9"/>
        <v>175.25027491221203</v>
      </c>
      <c r="I45" s="226">
        <f t="shared" si="9"/>
        <v>181.54709073815513</v>
      </c>
      <c r="J45" s="226">
        <f t="shared" si="9"/>
        <v>187.66736276001842</v>
      </c>
      <c r="K45" s="226">
        <f t="shared" si="9"/>
        <v>184.79785309050686</v>
      </c>
      <c r="L45" s="226">
        <f t="shared" si="9"/>
        <v>175.27739859787178</v>
      </c>
      <c r="M45" s="226">
        <f t="shared" si="9"/>
        <v>165.55788510474372</v>
      </c>
      <c r="N45" s="226">
        <f t="shared" si="9"/>
        <v>163.47253244239474</v>
      </c>
      <c r="O45" s="226">
        <f t="shared" si="9"/>
        <v>178.44477596474331</v>
      </c>
      <c r="P45" s="226">
        <f t="shared" si="9"/>
        <v>177.29402355938464</v>
      </c>
      <c r="Q45" s="226">
        <f t="shared" si="9"/>
        <v>175.77593688366449</v>
      </c>
      <c r="R45" s="226">
        <f t="shared" si="9"/>
        <v>149.14909987647846</v>
      </c>
      <c r="S45" s="226">
        <f t="shared" si="9"/>
        <v>141.33426345883996</v>
      </c>
      <c r="T45" s="226">
        <f t="shared" si="9"/>
        <v>146.43519428276647</v>
      </c>
      <c r="U45" s="226">
        <f t="shared" si="9"/>
        <v>152.34956393423801</v>
      </c>
      <c r="V45" s="226">
        <f t="shared" si="9"/>
        <v>151.42031978893107</v>
      </c>
    </row>
    <row r="46" spans="1:22">
      <c r="C46" s="223"/>
      <c r="D46" s="223"/>
      <c r="E46" s="223"/>
      <c r="F46" s="223"/>
      <c r="G46" s="223"/>
      <c r="H46" s="223"/>
      <c r="I46" s="229"/>
      <c r="J46" s="229"/>
      <c r="K46" s="229"/>
      <c r="L46" s="229"/>
      <c r="M46" s="229"/>
      <c r="N46" s="229"/>
      <c r="O46" s="229"/>
      <c r="P46" s="229"/>
      <c r="Q46" s="229"/>
      <c r="R46" s="229"/>
      <c r="S46" s="229"/>
      <c r="T46" s="229"/>
      <c r="U46" s="229"/>
      <c r="V46" s="229"/>
    </row>
    <row r="47" spans="1:22">
      <c r="A47" s="214" t="s">
        <v>200</v>
      </c>
      <c r="B47" s="214" t="s">
        <v>239</v>
      </c>
      <c r="C47" s="223">
        <f>Tariff!C$17*'Stratus Report'!B43</f>
        <v>2668.217281431746</v>
      </c>
      <c r="D47" s="223">
        <f>Tariff!D$17*'Stratus Report'!C43</f>
        <v>8734.3407333435534</v>
      </c>
      <c r="E47" s="223">
        <f>Tariff!E$17*'Stratus Report'!D43</f>
        <v>8487.9816993315544</v>
      </c>
      <c r="F47" s="223">
        <f>Tariff!F$17*'Stratus Report'!E43</f>
        <v>8337.4300071439993</v>
      </c>
      <c r="G47" s="223">
        <f>Tariff!G$17*'Stratus Report'!F43</f>
        <v>8546.1761982333319</v>
      </c>
      <c r="H47" s="223">
        <f>Tariff!H$17*'Stratus Report'!G43</f>
        <v>8335.2542727128857</v>
      </c>
      <c r="I47" s="223">
        <f>Tariff!I$17*'Stratus Report'!H43</f>
        <v>8111.6004431622232</v>
      </c>
      <c r="J47" s="223">
        <f>Tariff!J$17*'Stratus Report'!I43</f>
        <v>8091.0709731319994</v>
      </c>
      <c r="K47" s="223">
        <f>Tariff!K$17*'Stratus Report'!J43</f>
        <v>8056.8533905502209</v>
      </c>
      <c r="L47" s="223">
        <f>Tariff!L$17*'Stratus Report'!K43</f>
        <v>8230.2170141955557</v>
      </c>
      <c r="M47" s="223">
        <f>Tariff!M$17*'Stratus Report'!L43</f>
        <v>8417.2674012404441</v>
      </c>
      <c r="N47" s="223">
        <f>Tariff!N$17*'Stratus Report'!M43</f>
        <v>8202.2082764564439</v>
      </c>
      <c r="O47" s="223">
        <f>Tariff!O$17*'Stratus Report'!N43</f>
        <v>8015.7944514759993</v>
      </c>
      <c r="P47" s="223">
        <f>Tariff!P$17*'Stratus Report'!O43</f>
        <v>7995.2636322937778</v>
      </c>
      <c r="Q47" s="223">
        <f>Tariff!Q$17*'Stratus Report'!P43</f>
        <v>7981.5768698804441</v>
      </c>
      <c r="R47" s="223">
        <f>Tariff!R$17*'Stratus Report'!Q43</f>
        <v>7520.6351461640015</v>
      </c>
      <c r="S47" s="223">
        <f>Tariff!S$17*'Stratus Report'!R43</f>
        <v>7520.6351461639979</v>
      </c>
      <c r="T47" s="223">
        <f>Tariff!T$17*'Stratus Report'!S43</f>
        <v>7349.7116207199988</v>
      </c>
      <c r="U47" s="223">
        <f>Tariff!U$17*'Stratus Report'!T43</f>
        <v>7342.8675639511112</v>
      </c>
      <c r="V47" s="223">
        <f>Tariff!V$17*'Stratus Report'!U43</f>
        <v>7342.8675639511112</v>
      </c>
    </row>
    <row r="48" spans="1:22">
      <c r="B48" s="214" t="s">
        <v>240</v>
      </c>
      <c r="C48" s="224">
        <f>'Stratus Report'!B58</f>
        <v>53.728532940000001</v>
      </c>
      <c r="D48" s="224">
        <f>'Stratus Report'!C58</f>
        <v>49.629084890000001</v>
      </c>
      <c r="E48" s="224">
        <f>'Stratus Report'!D58</f>
        <v>49.842813739999997</v>
      </c>
      <c r="F48" s="224">
        <f>'Stratus Report'!E58</f>
        <v>50.00419986</v>
      </c>
      <c r="G48" s="224">
        <f>'Stratus Report'!F58</f>
        <v>50.15598731</v>
      </c>
      <c r="H48" s="224">
        <f>'Stratus Report'!G58</f>
        <v>50.177827559999997</v>
      </c>
      <c r="I48" s="230">
        <f>'Stratus Report'!H58</f>
        <v>50.220165530000003</v>
      </c>
      <c r="J48" s="230">
        <f>'Stratus Report'!I58</f>
        <v>50.242813720000001</v>
      </c>
      <c r="K48" s="230">
        <f>'Stratus Report'!J58</f>
        <v>50.286237190000001</v>
      </c>
      <c r="L48" s="230">
        <f>'Stratus Report'!K58</f>
        <v>50.299502140000001</v>
      </c>
      <c r="M48" s="230">
        <f>'Stratus Report'!L58</f>
        <v>50.292528799999999</v>
      </c>
      <c r="N48" s="230">
        <f>'Stratus Report'!M58</f>
        <v>50.32686254</v>
      </c>
      <c r="O48" s="230">
        <f>'Stratus Report'!N58</f>
        <v>50.320336650000002</v>
      </c>
      <c r="P48" s="230">
        <f>'Stratus Report'!O58</f>
        <v>50.344943149999999</v>
      </c>
      <c r="Q48" s="230">
        <f>'Stratus Report'!P58</f>
        <v>50.359455420000003</v>
      </c>
      <c r="R48" s="230">
        <f>'Stratus Report'!Q58</f>
        <v>51.339711940000001</v>
      </c>
      <c r="S48" s="230">
        <f>'Stratus Report'!R58</f>
        <v>51.334918649999999</v>
      </c>
      <c r="T48" s="230">
        <f>'Stratus Report'!S58</f>
        <v>51.330231499999996</v>
      </c>
      <c r="U48" s="230">
        <f>'Stratus Report'!T58</f>
        <v>51.336928190000002</v>
      </c>
      <c r="V48" s="230">
        <f>'Stratus Report'!U58</f>
        <v>51.332499489999996</v>
      </c>
    </row>
    <row r="49" spans="1:23">
      <c r="B49" s="214" t="s">
        <v>241</v>
      </c>
      <c r="C49" s="225">
        <f t="shared" ref="C49:V49" si="10">C47*C48/1000</f>
        <v>143.35940009648283</v>
      </c>
      <c r="D49" s="225">
        <f t="shared" si="10"/>
        <v>433.47733771329212</v>
      </c>
      <c r="E49" s="225">
        <f t="shared" si="10"/>
        <v>423.06489086831135</v>
      </c>
      <c r="F49" s="225">
        <f t="shared" si="10"/>
        <v>416.90651639598974</v>
      </c>
      <c r="G49" s="225">
        <f t="shared" si="10"/>
        <v>428.64190494761505</v>
      </c>
      <c r="H49" s="225">
        <f t="shared" si="10"/>
        <v>418.24495156494038</v>
      </c>
      <c r="I49" s="226">
        <f t="shared" si="10"/>
        <v>407.36591696882823</v>
      </c>
      <c r="J49" s="226">
        <f t="shared" si="10"/>
        <v>406.51817169837017</v>
      </c>
      <c r="K49" s="226">
        <f t="shared" si="10"/>
        <v>405.1488406022641</v>
      </c>
      <c r="L49" s="226">
        <f t="shared" si="10"/>
        <v>413.97581831819377</v>
      </c>
      <c r="M49" s="226">
        <f t="shared" si="10"/>
        <v>423.32566319418618</v>
      </c>
      <c r="N49" s="226">
        <f t="shared" si="10"/>
        <v>412.79140845367374</v>
      </c>
      <c r="O49" s="226">
        <f t="shared" si="10"/>
        <v>403.3574753154744</v>
      </c>
      <c r="P49" s="226">
        <f t="shared" si="10"/>
        <v>402.52109303709278</v>
      </c>
      <c r="Q49" s="226">
        <f t="shared" si="10"/>
        <v>401.94786456004738</v>
      </c>
      <c r="R49" s="226">
        <f t="shared" si="10"/>
        <v>386.10724200989966</v>
      </c>
      <c r="S49" s="226">
        <f t="shared" si="10"/>
        <v>386.07119342465967</v>
      </c>
      <c r="T49" s="226">
        <f t="shared" si="10"/>
        <v>377.26239894979773</v>
      </c>
      <c r="U49" s="226">
        <f t="shared" si="10"/>
        <v>376.96026483923845</v>
      </c>
      <c r="V49" s="226">
        <f t="shared" si="10"/>
        <v>376.92774548165789</v>
      </c>
    </row>
    <row r="50" spans="1:23">
      <c r="C50" s="223"/>
      <c r="D50" s="223"/>
      <c r="E50" s="223"/>
      <c r="F50" s="223"/>
      <c r="G50" s="223"/>
      <c r="H50" s="223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</row>
    <row r="51" spans="1:23">
      <c r="A51" s="214" t="s">
        <v>201</v>
      </c>
      <c r="B51" s="214" t="s">
        <v>239</v>
      </c>
      <c r="C51" s="223">
        <f>Tariff!C$17*'Stratus Report'!B44</f>
        <v>2668.217281431746</v>
      </c>
      <c r="D51" s="223">
        <f>Tariff!D$17*'Stratus Report'!C44</f>
        <v>8734.3407333435534</v>
      </c>
      <c r="E51" s="223">
        <f>Tariff!E$17*'Stratus Report'!D44</f>
        <v>8487.9816993315544</v>
      </c>
      <c r="F51" s="223">
        <f>Tariff!F$17*'Stratus Report'!E44</f>
        <v>8337.4300071439993</v>
      </c>
      <c r="G51" s="223">
        <f>Tariff!G$17*'Stratus Report'!F44</f>
        <v>8546.1761982333319</v>
      </c>
      <c r="H51" s="223">
        <f>Tariff!H$17*'Stratus Report'!G44</f>
        <v>8335.2542727128857</v>
      </c>
      <c r="I51" s="223">
        <f>Tariff!I$17*'Stratus Report'!H44</f>
        <v>8111.6004431622232</v>
      </c>
      <c r="J51" s="223">
        <f>Tariff!J$17*'Stratus Report'!I44</f>
        <v>8091.0709731319994</v>
      </c>
      <c r="K51" s="223">
        <f>Tariff!K$17*'Stratus Report'!J44</f>
        <v>8056.8533905502209</v>
      </c>
      <c r="L51" s="223">
        <f>Tariff!L$17*'Stratus Report'!K44</f>
        <v>8230.2170141955557</v>
      </c>
      <c r="M51" s="223">
        <f>Tariff!M$17*'Stratus Report'!L44</f>
        <v>8417.2674012404441</v>
      </c>
      <c r="N51" s="223">
        <f>Tariff!N$17*'Stratus Report'!M44</f>
        <v>8202.2082764564439</v>
      </c>
      <c r="O51" s="223">
        <f>Tariff!O$17*'Stratus Report'!N44</f>
        <v>8015.7944514759993</v>
      </c>
      <c r="P51" s="223">
        <f>Tariff!P$17*'Stratus Report'!O44</f>
        <v>7995.2636322937778</v>
      </c>
      <c r="Q51" s="223">
        <f>Tariff!Q$17*'Stratus Report'!P44</f>
        <v>7981.5768698804441</v>
      </c>
      <c r="R51" s="223">
        <f>Tariff!R$17*'Stratus Report'!Q44</f>
        <v>7520.6351461640015</v>
      </c>
      <c r="S51" s="223">
        <f>Tariff!S$17*'Stratus Report'!R44</f>
        <v>7520.6351461639979</v>
      </c>
      <c r="T51" s="223">
        <f>Tariff!T$17*'Stratus Report'!S44</f>
        <v>7349.7116207199988</v>
      </c>
      <c r="U51" s="223">
        <f>Tariff!U$17*'Stratus Report'!T44</f>
        <v>7342.8675639511112</v>
      </c>
      <c r="V51" s="223">
        <f>Tariff!V$17*'Stratus Report'!U44</f>
        <v>7342.8675639511112</v>
      </c>
    </row>
    <row r="52" spans="1:23">
      <c r="B52" s="214" t="s">
        <v>240</v>
      </c>
      <c r="C52" s="224">
        <f>'Stratus Report'!B59</f>
        <v>53.728532940000001</v>
      </c>
      <c r="D52" s="224">
        <f>'Stratus Report'!C59</f>
        <v>49.629084890000001</v>
      </c>
      <c r="E52" s="224">
        <f>'Stratus Report'!D59</f>
        <v>49.842813739999997</v>
      </c>
      <c r="F52" s="224">
        <f>'Stratus Report'!E59</f>
        <v>50.00419986</v>
      </c>
      <c r="G52" s="224">
        <f>'Stratus Report'!F59</f>
        <v>50.15598731</v>
      </c>
      <c r="H52" s="224">
        <f>'Stratus Report'!G59</f>
        <v>50.177827559999997</v>
      </c>
      <c r="I52" s="230">
        <f>'Stratus Report'!H59</f>
        <v>50.220165530000003</v>
      </c>
      <c r="J52" s="230">
        <f>'Stratus Report'!I59</f>
        <v>50.242813720000001</v>
      </c>
      <c r="K52" s="230">
        <f>'Stratus Report'!J59</f>
        <v>50.286237190000001</v>
      </c>
      <c r="L52" s="230">
        <f>'Stratus Report'!K59</f>
        <v>50.299502140000001</v>
      </c>
      <c r="M52" s="230">
        <f>'Stratus Report'!L59</f>
        <v>50.292528799999999</v>
      </c>
      <c r="N52" s="230">
        <f>'Stratus Report'!M59</f>
        <v>50.32686254</v>
      </c>
      <c r="O52" s="230">
        <f>'Stratus Report'!N59</f>
        <v>50.320336650000002</v>
      </c>
      <c r="P52" s="230">
        <f>'Stratus Report'!O59</f>
        <v>50.344943149999999</v>
      </c>
      <c r="Q52" s="230">
        <f>'Stratus Report'!P59</f>
        <v>50.359455420000003</v>
      </c>
      <c r="R52" s="230">
        <f>'Stratus Report'!Q59</f>
        <v>51.339711940000001</v>
      </c>
      <c r="S52" s="230">
        <f>'Stratus Report'!R59</f>
        <v>51.334918649999999</v>
      </c>
      <c r="T52" s="230">
        <f>'Stratus Report'!S59</f>
        <v>51.330231499999996</v>
      </c>
      <c r="U52" s="230">
        <f>'Stratus Report'!T59</f>
        <v>51.336928190000002</v>
      </c>
      <c r="V52" s="230">
        <f>'Stratus Report'!U59</f>
        <v>51.332499489999996</v>
      </c>
    </row>
    <row r="53" spans="1:23">
      <c r="B53" s="214" t="s">
        <v>241</v>
      </c>
      <c r="C53" s="225">
        <f t="shared" ref="C53:V53" si="11">C51*C52/1000</f>
        <v>143.35940009648283</v>
      </c>
      <c r="D53" s="225">
        <f t="shared" si="11"/>
        <v>433.47733771329212</v>
      </c>
      <c r="E53" s="225">
        <f t="shared" si="11"/>
        <v>423.06489086831135</v>
      </c>
      <c r="F53" s="225">
        <f t="shared" si="11"/>
        <v>416.90651639598974</v>
      </c>
      <c r="G53" s="225">
        <f t="shared" si="11"/>
        <v>428.64190494761505</v>
      </c>
      <c r="H53" s="225">
        <f t="shared" si="11"/>
        <v>418.24495156494038</v>
      </c>
      <c r="I53" s="226">
        <f t="shared" si="11"/>
        <v>407.36591696882823</v>
      </c>
      <c r="J53" s="226">
        <f t="shared" si="11"/>
        <v>406.51817169837017</v>
      </c>
      <c r="K53" s="226">
        <f t="shared" si="11"/>
        <v>405.1488406022641</v>
      </c>
      <c r="L53" s="226">
        <f t="shared" si="11"/>
        <v>413.97581831819377</v>
      </c>
      <c r="M53" s="226">
        <f t="shared" si="11"/>
        <v>423.32566319418618</v>
      </c>
      <c r="N53" s="226">
        <f t="shared" si="11"/>
        <v>412.79140845367374</v>
      </c>
      <c r="O53" s="226">
        <f t="shared" si="11"/>
        <v>403.3574753154744</v>
      </c>
      <c r="P53" s="226">
        <f t="shared" si="11"/>
        <v>402.52109303709278</v>
      </c>
      <c r="Q53" s="226">
        <f t="shared" si="11"/>
        <v>401.94786456004738</v>
      </c>
      <c r="R53" s="226">
        <f t="shared" si="11"/>
        <v>386.10724200989966</v>
      </c>
      <c r="S53" s="226">
        <f t="shared" si="11"/>
        <v>386.07119342465967</v>
      </c>
      <c r="T53" s="226">
        <f t="shared" si="11"/>
        <v>377.26239894979773</v>
      </c>
      <c r="U53" s="226">
        <f t="shared" si="11"/>
        <v>376.96026483923845</v>
      </c>
      <c r="V53" s="226">
        <f t="shared" si="11"/>
        <v>376.92774548165789</v>
      </c>
    </row>
    <row r="54" spans="1:23">
      <c r="C54" s="232"/>
      <c r="D54" s="232"/>
      <c r="E54" s="232"/>
      <c r="F54" s="232"/>
      <c r="G54" s="232"/>
      <c r="H54" s="232"/>
      <c r="I54" s="232"/>
      <c r="J54" s="232"/>
      <c r="K54" s="232"/>
      <c r="L54" s="232"/>
      <c r="M54" s="232"/>
      <c r="N54" s="232"/>
      <c r="O54" s="232"/>
      <c r="P54" s="232"/>
      <c r="Q54" s="232"/>
      <c r="R54" s="232"/>
      <c r="S54" s="232"/>
      <c r="T54" s="232"/>
      <c r="U54" s="232"/>
      <c r="V54" s="232"/>
    </row>
    <row r="55" spans="1:23">
      <c r="A55" s="233" t="s">
        <v>242</v>
      </c>
      <c r="C55" s="223">
        <f t="shared" ref="C55:V55" si="12">C51+C47+C43+C39+C35+C31+C27+C23+C19+C15+C11+C7</f>
        <v>58546.735590269847</v>
      </c>
      <c r="D55" s="223">
        <f t="shared" si="12"/>
        <v>195045.624273055</v>
      </c>
      <c r="E55" s="223">
        <f t="shared" si="12"/>
        <v>211860.55133175329</v>
      </c>
      <c r="F55" s="223">
        <f t="shared" si="12"/>
        <v>218538.10717731059</v>
      </c>
      <c r="G55" s="223">
        <f t="shared" si="12"/>
        <v>207842.72356965908</v>
      </c>
      <c r="H55" s="223">
        <f t="shared" si="12"/>
        <v>197476.77585594618</v>
      </c>
      <c r="I55" s="223">
        <f t="shared" si="12"/>
        <v>203721.38725759645</v>
      </c>
      <c r="J55" s="223">
        <f t="shared" si="12"/>
        <v>208936.2521268182</v>
      </c>
      <c r="K55" s="223">
        <f t="shared" si="12"/>
        <v>207321.80210335378</v>
      </c>
      <c r="L55" s="223">
        <f t="shared" si="12"/>
        <v>203956.33359589911</v>
      </c>
      <c r="M55" s="223">
        <f t="shared" si="12"/>
        <v>202341.90010447777</v>
      </c>
      <c r="N55" s="223">
        <f t="shared" si="12"/>
        <v>199486.32917586798</v>
      </c>
      <c r="O55" s="223">
        <f t="shared" si="12"/>
        <v>205237.52400577068</v>
      </c>
      <c r="P55" s="223">
        <f t="shared" si="12"/>
        <v>201589.18792694886</v>
      </c>
      <c r="Q55" s="223">
        <f t="shared" si="12"/>
        <v>204034.19185600572</v>
      </c>
      <c r="R55" s="223">
        <f t="shared" si="12"/>
        <v>198321.49614354313</v>
      </c>
      <c r="S55" s="223">
        <f t="shared" si="12"/>
        <v>200177.38677075371</v>
      </c>
      <c r="T55" s="223">
        <f t="shared" si="12"/>
        <v>198976.51005100086</v>
      </c>
      <c r="U55" s="223">
        <f t="shared" si="12"/>
        <v>199387.73211118844</v>
      </c>
      <c r="V55" s="223">
        <f t="shared" si="12"/>
        <v>192757.20515595289</v>
      </c>
    </row>
    <row r="56" spans="1:23">
      <c r="A56" s="214" t="s">
        <v>243</v>
      </c>
      <c r="C56" s="223">
        <f t="shared" ref="C56:V56" si="13">C53+C49+C45+C41+C37+C33+C29+C25+C21+C17+C13+C9</f>
        <v>8857.8272225504934</v>
      </c>
      <c r="D56" s="223">
        <f t="shared" si="13"/>
        <v>23673.692122073109</v>
      </c>
      <c r="E56" s="223">
        <f t="shared" si="13"/>
        <v>23036.452804122822</v>
      </c>
      <c r="F56" s="223">
        <f t="shared" si="13"/>
        <v>23297.034440203392</v>
      </c>
      <c r="G56" s="223">
        <f t="shared" si="13"/>
        <v>22760.964631142804</v>
      </c>
      <c r="H56" s="223">
        <f t="shared" si="13"/>
        <v>18775.284264783382</v>
      </c>
      <c r="I56" s="223">
        <f t="shared" si="13"/>
        <v>21437.414395376851</v>
      </c>
      <c r="J56" s="223">
        <f t="shared" si="13"/>
        <v>24110.889191546579</v>
      </c>
      <c r="K56" s="223">
        <f t="shared" si="13"/>
        <v>23770.985517520643</v>
      </c>
      <c r="L56" s="223">
        <f t="shared" si="13"/>
        <v>22640.639426126294</v>
      </c>
      <c r="M56" s="223">
        <f t="shared" si="13"/>
        <v>22487.603038272824</v>
      </c>
      <c r="N56" s="223">
        <f t="shared" si="13"/>
        <v>21506.55355032127</v>
      </c>
      <c r="O56" s="223">
        <f t="shared" si="13"/>
        <v>21443.260582709507</v>
      </c>
      <c r="P56" s="223">
        <f t="shared" si="13"/>
        <v>19997.477282300028</v>
      </c>
      <c r="Q56" s="223">
        <f t="shared" si="13"/>
        <v>21412.649562590261</v>
      </c>
      <c r="R56" s="223">
        <f t="shared" si="13"/>
        <v>22604.431655375378</v>
      </c>
      <c r="S56" s="223">
        <f t="shared" si="13"/>
        <v>23836.12521399877</v>
      </c>
      <c r="T56" s="223">
        <f t="shared" si="13"/>
        <v>23616.463375573752</v>
      </c>
      <c r="U56" s="223">
        <f t="shared" si="13"/>
        <v>23867.170011264032</v>
      </c>
      <c r="V56" s="223">
        <f t="shared" si="13"/>
        <v>21177.864267988971</v>
      </c>
    </row>
    <row r="57" spans="1:23">
      <c r="A57" s="233" t="s">
        <v>244</v>
      </c>
      <c r="C57" s="225">
        <f>C56*(1+'ASSUM 1'!D27)^(C4-('ASSUM 1'!B27))</f>
        <v>9096.9885575593562</v>
      </c>
      <c r="D57" s="225">
        <f>D56*(1+'ASSUM 1'!D27)^(D4-('ASSUM 1'!B27))</f>
        <v>24969.329618222044</v>
      </c>
      <c r="E57" s="225">
        <f>E56*(1+'ASSUM 1'!D27)^(E4-('ASSUM 1'!B27))</f>
        <v>24953.239630039927</v>
      </c>
      <c r="F57" s="225">
        <f>F56*(1+'ASSUM 1'!D27)^(F4-('ASSUM 1'!B27))</f>
        <v>25916.861991501624</v>
      </c>
      <c r="G57" s="225">
        <f>G56*(1+'ASSUM 1'!D27)^(G4-('ASSUM 1'!B27))</f>
        <v>26004.163136320436</v>
      </c>
      <c r="H57" s="225">
        <f>H56*(1+'ASSUM 1'!D27)^(H4-('ASSUM 1'!B27))</f>
        <v>22029.730420557811</v>
      </c>
      <c r="I57" s="225">
        <f>I56*(1+'ASSUM 1'!D27)^(I4-('ASSUM 1'!B27))</f>
        <v>25832.444698313033</v>
      </c>
      <c r="J57" s="225">
        <f>J56*(1+'ASSUM 1'!D27)^(J4-('ASSUM 1'!B27))</f>
        <v>29838.48549015119</v>
      </c>
      <c r="K57" s="225">
        <f>K56*(1+'ASSUM 1'!D27)^(K4-('ASSUM 1'!B27))</f>
        <v>30212.118526126778</v>
      </c>
      <c r="L57" s="225">
        <f>L56*(1+'ASSUM 1'!D27)^(L4-('ASSUM 1'!B27))</f>
        <v>29552.425024262608</v>
      </c>
      <c r="M57" s="225">
        <f>M56*(1+'ASSUM 1'!D27)^(M4-('ASSUM 1'!B27))</f>
        <v>30145.191414116238</v>
      </c>
      <c r="N57" s="225">
        <f>N56*(1+'ASSUM 1'!D27)^(N4-('ASSUM 1'!B27))</f>
        <v>29608.482059286162</v>
      </c>
      <c r="O57" s="225">
        <f>O56*(1+'ASSUM 1'!D27)^(O4-('ASSUM 1'!B27))</f>
        <v>30318.421751258113</v>
      </c>
      <c r="P57" s="225">
        <f>P56*(1+'ASSUM 1'!D27)^(P4-('ASSUM 1'!B27))</f>
        <v>29037.647071435193</v>
      </c>
      <c r="Q57" s="225">
        <f>Q56*(1+'ASSUM 1'!D27)^(Q4-('ASSUM 1'!B27))</f>
        <v>31932.069320129191</v>
      </c>
      <c r="R57" s="225">
        <f>R56*(1+'ASSUM 1'!D27)^(R4-('ASSUM 1'!B27))</f>
        <v>34619.491899677727</v>
      </c>
      <c r="S57" s="225">
        <f>S56*(1+'ASSUM 1'!D27)^(S4-('ASSUM 1'!B27))</f>
        <v>37491.533048382487</v>
      </c>
      <c r="T57" s="225">
        <f>T56*(1+'ASSUM 1'!D27)^(T4-('ASSUM 1'!B27))</f>
        <v>38148.972588033845</v>
      </c>
      <c r="U57" s="225">
        <f>U56*(1+'ASSUM 1'!D27)^(U4-('ASSUM 1'!B27))</f>
        <v>39594.909535552164</v>
      </c>
      <c r="V57" s="225">
        <f>V56*(1+'ASSUM 1'!D27)^(V4-('ASSUM 1'!B27))</f>
        <v>36082.035749385941</v>
      </c>
    </row>
    <row r="58" spans="1:23">
      <c r="A58" s="233" t="s">
        <v>245</v>
      </c>
      <c r="C58" s="234">
        <f t="shared" ref="C58:V58" si="14">C57/C55*1000</f>
        <v>155.37994502756234</v>
      </c>
      <c r="D58" s="234">
        <f t="shared" si="14"/>
        <v>128.01789176908741</v>
      </c>
      <c r="E58" s="234">
        <f t="shared" si="14"/>
        <v>117.78143440666096</v>
      </c>
      <c r="F58" s="234">
        <f t="shared" si="14"/>
        <v>118.59195783403585</v>
      </c>
      <c r="G58" s="234">
        <f t="shared" si="14"/>
        <v>125.11461883150827</v>
      </c>
      <c r="H58" s="234">
        <f t="shared" si="14"/>
        <v>111.55605678223088</v>
      </c>
      <c r="I58" s="234">
        <f t="shared" si="14"/>
        <v>126.80281165398249</v>
      </c>
      <c r="J58" s="234">
        <f t="shared" si="14"/>
        <v>142.81143260883277</v>
      </c>
      <c r="K58" s="234">
        <f t="shared" si="14"/>
        <v>145.72571827764392</v>
      </c>
      <c r="L58" s="234">
        <f t="shared" si="14"/>
        <v>144.89584365060782</v>
      </c>
      <c r="M58" s="234">
        <f t="shared" si="14"/>
        <v>148.9814586032403</v>
      </c>
      <c r="N58" s="234">
        <f t="shared" si="14"/>
        <v>148.42361469884585</v>
      </c>
      <c r="O58" s="234">
        <f t="shared" si="14"/>
        <v>147.72357977971731</v>
      </c>
      <c r="P58" s="234">
        <f t="shared" si="14"/>
        <v>144.04367302654023</v>
      </c>
      <c r="Q58" s="234">
        <f t="shared" si="14"/>
        <v>156.50352046222136</v>
      </c>
      <c r="R58" s="234">
        <f t="shared" si="14"/>
        <v>174.56247846486838</v>
      </c>
      <c r="S58" s="234">
        <f t="shared" si="14"/>
        <v>187.29155002566989</v>
      </c>
      <c r="T58" s="234">
        <f t="shared" si="14"/>
        <v>191.72601116712548</v>
      </c>
      <c r="U58" s="234">
        <f t="shared" si="14"/>
        <v>198.58247604457475</v>
      </c>
      <c r="V58" s="234">
        <f t="shared" si="14"/>
        <v>187.18903773372969</v>
      </c>
    </row>
    <row r="59" spans="1:23">
      <c r="A59" s="235" t="s">
        <v>246</v>
      </c>
      <c r="C59" s="236">
        <f t="shared" ref="C59:V59" si="15">C56/C55*1000</f>
        <v>151.29498055264105</v>
      </c>
      <c r="D59" s="236">
        <f t="shared" si="15"/>
        <v>121.37515112326241</v>
      </c>
      <c r="E59" s="236">
        <f t="shared" si="15"/>
        <v>108.73403594636147</v>
      </c>
      <c r="F59" s="236">
        <f t="shared" si="15"/>
        <v>106.60399113506267</v>
      </c>
      <c r="G59" s="236">
        <f t="shared" si="15"/>
        <v>109.51051949391147</v>
      </c>
      <c r="H59" s="236">
        <f t="shared" si="15"/>
        <v>95.075910488225858</v>
      </c>
      <c r="I59" s="236">
        <f t="shared" si="15"/>
        <v>105.2290811679493</v>
      </c>
      <c r="J59" s="236">
        <f t="shared" si="15"/>
        <v>115.39830424885756</v>
      </c>
      <c r="K59" s="236">
        <f t="shared" si="15"/>
        <v>114.65743243766694</v>
      </c>
      <c r="L59" s="236">
        <f t="shared" si="15"/>
        <v>111.0072878196783</v>
      </c>
      <c r="M59" s="236">
        <f t="shared" si="15"/>
        <v>111.13666040825709</v>
      </c>
      <c r="N59" s="236">
        <f t="shared" si="15"/>
        <v>107.80966113903976</v>
      </c>
      <c r="O59" s="236">
        <f t="shared" si="15"/>
        <v>104.48021474916344</v>
      </c>
      <c r="P59" s="236">
        <f t="shared" si="15"/>
        <v>99.199155906846741</v>
      </c>
      <c r="Q59" s="236">
        <f t="shared" si="15"/>
        <v>104.9463786819708</v>
      </c>
      <c r="R59" s="236">
        <f t="shared" si="15"/>
        <v>113.97872694049521</v>
      </c>
      <c r="S59" s="236">
        <f t="shared" si="15"/>
        <v>119.07501440857691</v>
      </c>
      <c r="T59" s="236">
        <f t="shared" si="15"/>
        <v>118.68970548091569</v>
      </c>
      <c r="U59" s="236">
        <f t="shared" si="15"/>
        <v>119.70229942710075</v>
      </c>
      <c r="V59" s="236">
        <f t="shared" si="15"/>
        <v>109.86808120015397</v>
      </c>
      <c r="W59" s="236"/>
    </row>
    <row r="103" spans="1:1">
      <c r="A103" s="23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V181"/>
  <sheetViews>
    <sheetView showOutlineSymbols="0" view="pageBreakPreview" zoomScale="60" zoomScaleNormal="75" workbookViewId="0">
      <selection activeCell="F27" sqref="F27"/>
    </sheetView>
  </sheetViews>
  <sheetFormatPr defaultColWidth="9.81640625" defaultRowHeight="15"/>
  <cols>
    <col min="1" max="1" width="22.81640625" style="238" customWidth="1"/>
    <col min="2" max="2" width="4.81640625" style="238" customWidth="1"/>
    <col min="3" max="3" width="11.36328125" style="238" customWidth="1"/>
    <col min="4" max="4" width="11.81640625" style="238" customWidth="1"/>
    <col min="5" max="11" width="11.453125" style="238" customWidth="1"/>
    <col min="12" max="12" width="10.81640625" style="238" customWidth="1"/>
    <col min="13" max="22" width="11.1796875" style="238" customWidth="1"/>
    <col min="23" max="16384" width="9.81640625" style="238"/>
  </cols>
  <sheetData>
    <row r="1" spans="1:256" ht="22.2">
      <c r="A1" s="237" t="str">
        <f ca="1">FUEL!A1</f>
        <v>Delmarva, VA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6">
      <c r="A2" s="239" t="s">
        <v>247</v>
      </c>
      <c r="B2" s="240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8.2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15.6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.6">
      <c r="A5" s="241" t="s">
        <v>209</v>
      </c>
      <c r="B5" s="7"/>
      <c r="C5" s="241">
        <f ca="1">FUEL!C5</f>
        <v>2000</v>
      </c>
      <c r="D5" s="241">
        <f ca="1">FUEL!D5</f>
        <v>2001</v>
      </c>
      <c r="E5" s="241">
        <f ca="1">FUEL!E5</f>
        <v>2002</v>
      </c>
      <c r="F5" s="241">
        <f ca="1">FUEL!F5</f>
        <v>2003</v>
      </c>
      <c r="G5" s="241">
        <f ca="1">FUEL!G5</f>
        <v>2004</v>
      </c>
      <c r="H5" s="241">
        <f ca="1">FUEL!H5</f>
        <v>2005</v>
      </c>
      <c r="I5" s="241">
        <f ca="1">FUEL!I5</f>
        <v>2006</v>
      </c>
      <c r="J5" s="241">
        <f ca="1">FUEL!J5</f>
        <v>2007</v>
      </c>
      <c r="K5" s="241">
        <f ca="1">FUEL!K5</f>
        <v>2008</v>
      </c>
      <c r="L5" s="241">
        <f ca="1">FUEL!L5</f>
        <v>2009</v>
      </c>
      <c r="M5" s="241">
        <f ca="1">FUEL!M5</f>
        <v>2010</v>
      </c>
      <c r="N5" s="241">
        <f ca="1">FUEL!N5</f>
        <v>2011</v>
      </c>
      <c r="O5" s="241">
        <f ca="1">FUEL!O5</f>
        <v>2012</v>
      </c>
      <c r="P5" s="241">
        <f ca="1">FUEL!P5</f>
        <v>2013</v>
      </c>
      <c r="Q5" s="241">
        <f ca="1">FUEL!Q5</f>
        <v>2014</v>
      </c>
      <c r="R5" s="241">
        <f ca="1">FUEL!R5</f>
        <v>2015</v>
      </c>
      <c r="S5" s="241">
        <f ca="1">FUEL!S5</f>
        <v>2016</v>
      </c>
      <c r="T5" s="241">
        <f ca="1">FUEL!T5</f>
        <v>2017</v>
      </c>
      <c r="U5" s="241">
        <f ca="1">FUEL!U5</f>
        <v>2018</v>
      </c>
      <c r="V5" s="241">
        <f ca="1">FUEL!V5</f>
        <v>2019</v>
      </c>
      <c r="W5" s="241"/>
      <c r="X5" s="241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.6">
      <c r="A6" s="7" t="s">
        <v>50</v>
      </c>
      <c r="B6" s="7"/>
      <c r="C6" s="7">
        <f ca="1">FUEL!C6</f>
        <v>1</v>
      </c>
      <c r="D6" s="7">
        <f ca="1">FUEL!D6</f>
        <v>2</v>
      </c>
      <c r="E6" s="7">
        <f ca="1">FUEL!E6</f>
        <v>3</v>
      </c>
      <c r="F6" s="7">
        <f ca="1">FUEL!F6</f>
        <v>4</v>
      </c>
      <c r="G6" s="7">
        <f ca="1">FUEL!G6</f>
        <v>5</v>
      </c>
      <c r="H6" s="7">
        <f ca="1">FUEL!H6</f>
        <v>6</v>
      </c>
      <c r="I6" s="7">
        <f ca="1">FUEL!I6</f>
        <v>7</v>
      </c>
      <c r="J6" s="7">
        <f ca="1">FUEL!J6</f>
        <v>8</v>
      </c>
      <c r="K6" s="7">
        <f ca="1">FUEL!K6</f>
        <v>9</v>
      </c>
      <c r="L6" s="7">
        <f ca="1">FUEL!L6</f>
        <v>10</v>
      </c>
      <c r="M6" s="92">
        <f ca="1">FUEL!M6</f>
        <v>11</v>
      </c>
      <c r="N6" s="7">
        <f ca="1">FUEL!N6</f>
        <v>12</v>
      </c>
      <c r="O6" s="7">
        <f ca="1">FUEL!O6</f>
        <v>13</v>
      </c>
      <c r="P6" s="7">
        <f ca="1">FUEL!P6</f>
        <v>14</v>
      </c>
      <c r="Q6" s="7">
        <f ca="1">FUEL!Q6</f>
        <v>15</v>
      </c>
      <c r="R6" s="7">
        <f ca="1">FUEL!R6</f>
        <v>16</v>
      </c>
      <c r="S6" s="7">
        <f ca="1">FUEL!S6</f>
        <v>17</v>
      </c>
      <c r="T6" s="7">
        <f ca="1">FUEL!T6</f>
        <v>18</v>
      </c>
      <c r="U6" s="7">
        <f ca="1">FUEL!U6</f>
        <v>19</v>
      </c>
      <c r="V6" s="7">
        <f ca="1">FUEL!V6</f>
        <v>20</v>
      </c>
      <c r="W6" s="7"/>
      <c r="X6" s="7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.6">
      <c r="A7" s="7" t="s">
        <v>210</v>
      </c>
      <c r="B7" s="7"/>
      <c r="C7" s="7">
        <f ca="1">FUEL!C7</f>
        <v>7</v>
      </c>
      <c r="D7" s="7">
        <f ca="1">FUEL!D7</f>
        <v>12</v>
      </c>
      <c r="E7" s="7">
        <f ca="1">FUEL!E7</f>
        <v>12</v>
      </c>
      <c r="F7" s="7">
        <f ca="1">FUEL!F7</f>
        <v>12</v>
      </c>
      <c r="G7" s="7">
        <f ca="1">FUEL!G7</f>
        <v>12</v>
      </c>
      <c r="H7" s="7">
        <f ca="1">FUEL!H7</f>
        <v>12</v>
      </c>
      <c r="I7" s="7">
        <f ca="1">FUEL!I7</f>
        <v>12</v>
      </c>
      <c r="J7" s="7">
        <f ca="1">FUEL!J7</f>
        <v>12</v>
      </c>
      <c r="K7" s="7">
        <f ca="1">FUEL!K7</f>
        <v>12</v>
      </c>
      <c r="L7" s="7">
        <f ca="1">FUEL!L7</f>
        <v>12</v>
      </c>
      <c r="M7" s="92">
        <f ca="1">FUEL!M7</f>
        <v>12</v>
      </c>
      <c r="N7" s="7">
        <f ca="1">FUEL!N7</f>
        <v>12</v>
      </c>
      <c r="O7" s="7">
        <f ca="1">FUEL!O7</f>
        <v>12</v>
      </c>
      <c r="P7" s="7">
        <f ca="1">FUEL!P7</f>
        <v>12</v>
      </c>
      <c r="Q7" s="7">
        <f ca="1">FUEL!Q7</f>
        <v>12</v>
      </c>
      <c r="R7" s="7">
        <f ca="1">FUEL!R7</f>
        <v>12</v>
      </c>
      <c r="S7" s="7">
        <f ca="1">FUEL!S7</f>
        <v>12</v>
      </c>
      <c r="T7" s="7">
        <f ca="1">FUEL!T7</f>
        <v>12</v>
      </c>
      <c r="U7" s="7">
        <f ca="1">FUEL!U7</f>
        <v>12</v>
      </c>
      <c r="V7" s="7">
        <f ca="1">FUEL!V7</f>
        <v>12</v>
      </c>
      <c r="W7" s="7"/>
      <c r="X7" s="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.6">
      <c r="A8" s="7" t="s">
        <v>248</v>
      </c>
      <c r="B8" s="7"/>
      <c r="C8" s="113">
        <f ca="1">'ASSUM 1'!D33*(1+'ASSUM 1'!C33)^(C5-$C$5)</f>
        <v>9579</v>
      </c>
      <c r="D8" s="113">
        <f ca="1">'ASSUM 1'!D33*(1+'ASSUM 1'!C33)^(D5-$C$5)</f>
        <v>9579</v>
      </c>
      <c r="E8" s="113">
        <f ca="1">'ASSUM 1'!D33*(1+'ASSUM 1'!C33)^(E5-$C$5)</f>
        <v>9579</v>
      </c>
      <c r="F8" s="113">
        <f ca="1">'ASSUM 1'!D33*(1+'ASSUM 1'!C33)^(F5-$C$5)</f>
        <v>9579</v>
      </c>
      <c r="G8" s="113">
        <f ca="1">'ASSUM 1'!D33*(1+'ASSUM 1'!C33)^(G5-$C$5)</f>
        <v>9579</v>
      </c>
      <c r="H8" s="113">
        <f ca="1">'ASSUM 1'!D33*(1+'ASSUM 1'!C33)^(H5-$C$5)</f>
        <v>9579</v>
      </c>
      <c r="I8" s="113">
        <f ca="1">'ASSUM 1'!D33*(1+'ASSUM 1'!C33)^(I5-$C$5)</f>
        <v>9579</v>
      </c>
      <c r="J8" s="113">
        <f ca="1">'ASSUM 1'!D33*(1+'ASSUM 1'!C33)^(J5-$C$5)</f>
        <v>9579</v>
      </c>
      <c r="K8" s="113">
        <f ca="1">'ASSUM 1'!D33*(1+'ASSUM 1'!C33)^(K5-$C$5)</f>
        <v>9579</v>
      </c>
      <c r="L8" s="113">
        <f ca="1">'ASSUM 1'!D33*(1+'ASSUM 1'!C33)^(L5-$C$5)</f>
        <v>9579</v>
      </c>
      <c r="M8" s="113">
        <f ca="1">'ASSUM 1'!D33*(1+'ASSUM 1'!C33)^(M5-$C$5)</f>
        <v>9579</v>
      </c>
      <c r="N8" s="113">
        <f ca="1">'ASSUM 1'!D33*(1+'ASSUM 1'!C33)^(N5-$C$5)</f>
        <v>9579</v>
      </c>
      <c r="O8" s="113">
        <f ca="1">'ASSUM 1'!D33*(1+'ASSUM 1'!C33)^(O5-$C$5)</f>
        <v>9579</v>
      </c>
      <c r="P8" s="113">
        <f ca="1">'ASSUM 1'!D33*(1+'ASSUM 1'!C33)^(P5-$C$5)</f>
        <v>9579</v>
      </c>
      <c r="Q8" s="113">
        <f ca="1">'ASSUM 1'!D33*(1+'ASSUM 1'!C33)^(Q5-$C$5)</f>
        <v>9579</v>
      </c>
      <c r="R8" s="113">
        <f ca="1">'ASSUM 1'!D33*(1+'ASSUM 1'!C33)^(R5-$C$5)</f>
        <v>9579</v>
      </c>
      <c r="S8" s="113">
        <f ca="1">'ASSUM 1'!D33*(1+'ASSUM 1'!C33)^(S5-$C$5)</f>
        <v>9579</v>
      </c>
      <c r="T8" s="113">
        <f ca="1">'ASSUM 1'!D33*(1+'ASSUM 1'!C33)^(T5-$C$5)</f>
        <v>9579</v>
      </c>
      <c r="U8" s="113">
        <f ca="1">'ASSUM 1'!D33*(1+'ASSUM 1'!C33)^(U5-$C$5)</f>
        <v>9579</v>
      </c>
      <c r="V8" s="113">
        <f ca="1">'ASSUM 1'!D33*(1+'ASSUM 1'!C33)^(V5-$C$5)</f>
        <v>9579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.6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.6">
      <c r="A10" s="7" t="s">
        <v>190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.6">
      <c r="A11" s="7" t="str">
        <f>Spot!B7</f>
        <v>Generation</v>
      </c>
      <c r="B11"/>
      <c r="C11" s="113">
        <f>Spot!C7</f>
        <v>0</v>
      </c>
      <c r="D11" s="113">
        <f>Spot!D7</f>
        <v>8959.6774722186638</v>
      </c>
      <c r="E11" s="113">
        <f>Spot!E7</f>
        <v>20049.084567533777</v>
      </c>
      <c r="F11" s="113">
        <f>Spot!F7</f>
        <v>19619.599918404885</v>
      </c>
      <c r="G11" s="113">
        <f>Spot!G7</f>
        <v>17580.826841000882</v>
      </c>
      <c r="H11" s="113">
        <f>Spot!H7</f>
        <v>16643.557970875103</v>
      </c>
      <c r="I11" s="113">
        <f>Spot!I7</f>
        <v>17347.411018992443</v>
      </c>
      <c r="J11" s="113">
        <f>Spot!J7</f>
        <v>18013.917368088445</v>
      </c>
      <c r="K11" s="113">
        <f>Spot!K7</f>
        <v>17916.30730770533</v>
      </c>
      <c r="L11" s="113">
        <f>Spot!L7</f>
        <v>17006.62445384622</v>
      </c>
      <c r="M11" s="113">
        <f>Spot!M7</f>
        <v>16153.385273371108</v>
      </c>
      <c r="N11" s="113">
        <f>Spot!N7</f>
        <v>16126.649219905776</v>
      </c>
      <c r="O11" s="113">
        <f>Spot!O7</f>
        <v>16838.565578504444</v>
      </c>
      <c r="P11" s="113">
        <f>Spot!P7</f>
        <v>17438.018109661331</v>
      </c>
      <c r="Q11" s="113">
        <f>Spot!Q7</f>
        <v>17301.363640695556</v>
      </c>
      <c r="R11" s="113">
        <f>Spot!R7</f>
        <v>14630.45796802489</v>
      </c>
      <c r="S11" s="113">
        <f>Spot!S7</f>
        <v>13836.209963666219</v>
      </c>
      <c r="T11" s="113">
        <f>Spot!T7</f>
        <v>14369.033868843107</v>
      </c>
      <c r="U11" s="113">
        <f>Spot!U7</f>
        <v>14846.473856573333</v>
      </c>
      <c r="V11" s="113">
        <f>Spot!V7</f>
        <v>14724.461522225774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5.6">
      <c r="A12" s="7" t="s">
        <v>249</v>
      </c>
      <c r="B12"/>
      <c r="C12" s="113">
        <f ca="1">C11*C8</f>
        <v>0</v>
      </c>
      <c r="D12" s="113">
        <f ca="1">D11*D$8</f>
        <v>85824750.506382585</v>
      </c>
      <c r="E12" s="113">
        <f t="shared" ref="E12:V12" ca="1" si="0">E11*E8</f>
        <v>192050181.07240605</v>
      </c>
      <c r="F12" s="113">
        <f t="shared" ca="1" si="0"/>
        <v>187936147.61840039</v>
      </c>
      <c r="G12" s="113">
        <f t="shared" ca="1" si="0"/>
        <v>168406740.30994746</v>
      </c>
      <c r="H12" s="113">
        <f t="shared" ca="1" si="0"/>
        <v>159428641.80301261</v>
      </c>
      <c r="I12" s="113">
        <f t="shared" ca="1" si="0"/>
        <v>166170850.15092862</v>
      </c>
      <c r="J12" s="113">
        <f t="shared" ca="1" si="0"/>
        <v>172555314.46891922</v>
      </c>
      <c r="K12" s="113">
        <f t="shared" ca="1" si="0"/>
        <v>171620307.70050937</v>
      </c>
      <c r="L12" s="113">
        <f t="shared" ca="1" si="0"/>
        <v>162906455.64339295</v>
      </c>
      <c r="M12" s="113">
        <f t="shared" ca="1" si="0"/>
        <v>154733277.53362185</v>
      </c>
      <c r="N12" s="113">
        <f t="shared" ca="1" si="0"/>
        <v>154477172.87747744</v>
      </c>
      <c r="O12" s="113">
        <f t="shared" ca="1" si="0"/>
        <v>161296619.67649406</v>
      </c>
      <c r="P12" s="113">
        <f t="shared" ca="1" si="0"/>
        <v>167038775.47244588</v>
      </c>
      <c r="Q12" s="113">
        <f t="shared" ca="1" si="0"/>
        <v>165729762.31422272</v>
      </c>
      <c r="R12" s="113">
        <f t="shared" ca="1" si="0"/>
        <v>140145156.87571043</v>
      </c>
      <c r="S12" s="113">
        <f t="shared" ca="1" si="0"/>
        <v>132537055.24195871</v>
      </c>
      <c r="T12" s="113">
        <f t="shared" ca="1" si="0"/>
        <v>137640975.42964813</v>
      </c>
      <c r="U12" s="113">
        <f t="shared" ca="1" si="0"/>
        <v>142214373.07211596</v>
      </c>
      <c r="V12" s="113">
        <f t="shared" ca="1" si="0"/>
        <v>141045616.9214007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5.6">
      <c r="A13" s="7" t="s">
        <v>250</v>
      </c>
      <c r="B13"/>
      <c r="C13" s="242">
        <f>'Stratus Report'!B62</f>
        <v>0</v>
      </c>
      <c r="D13" s="242">
        <f>'Stratus Report'!C62</f>
        <v>3.8354166699999999</v>
      </c>
      <c r="E13" s="242">
        <f>'Stratus Report'!D62</f>
        <v>3.8354166699999999</v>
      </c>
      <c r="F13" s="242">
        <f>'Stratus Report'!E62</f>
        <v>3.8354166699999999</v>
      </c>
      <c r="G13" s="242">
        <f>'Stratus Report'!F62</f>
        <v>3.8354166699999999</v>
      </c>
      <c r="H13" s="242">
        <f>'Stratus Report'!G62</f>
        <v>3.8354166699999999</v>
      </c>
      <c r="I13" s="242">
        <f>'Stratus Report'!H62</f>
        <v>3.8354166699999999</v>
      </c>
      <c r="J13" s="242">
        <f>'Stratus Report'!I62</f>
        <v>3.8354166699999999</v>
      </c>
      <c r="K13" s="242">
        <f>'Stratus Report'!J62</f>
        <v>3.8354166699999999</v>
      </c>
      <c r="L13" s="242">
        <f>'Stratus Report'!K62</f>
        <v>3.8354166699999999</v>
      </c>
      <c r="M13" s="242">
        <f>'Stratus Report'!L62</f>
        <v>3.8354166699999999</v>
      </c>
      <c r="N13" s="242">
        <f>'Stratus Report'!M62</f>
        <v>3.8354166699999999</v>
      </c>
      <c r="O13" s="242">
        <f>'Stratus Report'!N62</f>
        <v>3.8354166699999999</v>
      </c>
      <c r="P13" s="242">
        <f>'Stratus Report'!O62</f>
        <v>3.8354166699999999</v>
      </c>
      <c r="Q13" s="242">
        <f>'Stratus Report'!P62</f>
        <v>3.8354166699999999</v>
      </c>
      <c r="R13" s="242">
        <f>'Stratus Report'!Q62</f>
        <v>3.9375</v>
      </c>
      <c r="S13" s="242">
        <f>'Stratus Report'!R62</f>
        <v>3.9375</v>
      </c>
      <c r="T13" s="242">
        <f>'Stratus Report'!S62</f>
        <v>3.9375</v>
      </c>
      <c r="U13" s="242">
        <f>'Stratus Report'!T62</f>
        <v>3.9375</v>
      </c>
      <c r="V13" s="242">
        <f>'Stratus Report'!U62</f>
        <v>3.9375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5.6">
      <c r="A14" s="7" t="s">
        <v>27</v>
      </c>
      <c r="B14"/>
      <c r="C14" s="243">
        <f t="shared" ref="C14:V14" ca="1" si="1">C12*C13/10^6</f>
        <v>0</v>
      </c>
      <c r="D14" s="243">
        <f t="shared" ca="1" si="1"/>
        <v>329.17367879077074</v>
      </c>
      <c r="E14" s="243">
        <f t="shared" ca="1" si="1"/>
        <v>736.59246596162461</v>
      </c>
      <c r="F14" s="243">
        <f t="shared" ca="1" si="1"/>
        <v>720.81343347119366</v>
      </c>
      <c r="G14" s="243">
        <f t="shared" ca="1" si="1"/>
        <v>645.91001912513343</v>
      </c>
      <c r="H14" s="243">
        <f t="shared" ca="1" si="1"/>
        <v>611.47527044673336</v>
      </c>
      <c r="I14" s="243">
        <f t="shared" ca="1" si="1"/>
        <v>637.33444873694361</v>
      </c>
      <c r="J14" s="243">
        <f t="shared" ca="1" si="1"/>
        <v>661.82152961118493</v>
      </c>
      <c r="K14" s="243">
        <f t="shared" ca="1" si="1"/>
        <v>658.23538906506303</v>
      </c>
      <c r="L14" s="243">
        <f t="shared" ca="1" si="1"/>
        <v>624.81413562528496</v>
      </c>
      <c r="M14" s="243">
        <f t="shared" ca="1" si="1"/>
        <v>593.46659205618971</v>
      </c>
      <c r="N14" s="243">
        <f t="shared" ca="1" si="1"/>
        <v>592.48432398874877</v>
      </c>
      <c r="O14" s="243">
        <f t="shared" ca="1" si="1"/>
        <v>618.63974392187538</v>
      </c>
      <c r="P14" s="243">
        <f t="shared" ca="1" si="1"/>
        <v>640.66330398340608</v>
      </c>
      <c r="Q14" s="243">
        <f t="shared" ca="1" si="1"/>
        <v>635.64269309510757</v>
      </c>
      <c r="R14" s="243">
        <f t="shared" ca="1" si="1"/>
        <v>551.82155519810988</v>
      </c>
      <c r="S14" s="243">
        <f t="shared" ca="1" si="1"/>
        <v>521.86465501521241</v>
      </c>
      <c r="T14" s="243">
        <f t="shared" ca="1" si="1"/>
        <v>541.96134075423959</v>
      </c>
      <c r="U14" s="243">
        <f t="shared" ca="1" si="1"/>
        <v>559.96909397145657</v>
      </c>
      <c r="V14" s="243">
        <f t="shared" ca="1" si="1"/>
        <v>555.36711662801531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5.6">
      <c r="A15" s="7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5.6">
      <c r="A16" s="7" t="s">
        <v>191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5.6">
      <c r="A17" s="7" t="str">
        <f>A11</f>
        <v>Generation</v>
      </c>
      <c r="B17"/>
      <c r="C17" s="113">
        <f>Spot!C11</f>
        <v>0</v>
      </c>
      <c r="D17" s="113">
        <f>Spot!D11</f>
        <v>462.11481927022209</v>
      </c>
      <c r="E17" s="113">
        <f>Spot!E11</f>
        <v>926.55215538355537</v>
      </c>
      <c r="F17" s="113">
        <f>Spot!F11</f>
        <v>870.00185066666643</v>
      </c>
      <c r="G17" s="113">
        <f>Spot!G11</f>
        <v>761.8879230075554</v>
      </c>
      <c r="H17" s="113">
        <f>Spot!H11</f>
        <v>761.88792300755529</v>
      </c>
      <c r="I17" s="113">
        <f>Spot!I11</f>
        <v>752.76341374577783</v>
      </c>
      <c r="J17" s="113">
        <f>Spot!J11</f>
        <v>721.88926158222216</v>
      </c>
      <c r="K17" s="113">
        <f>Spot!K11</f>
        <v>712.97695085244436</v>
      </c>
      <c r="L17" s="113">
        <f>Spot!L11</f>
        <v>699.60804490266662</v>
      </c>
      <c r="M17" s="113">
        <f>Spot!M11</f>
        <v>688.89185384444443</v>
      </c>
      <c r="N17" s="113">
        <f>Spot!N11</f>
        <v>670.64373574177762</v>
      </c>
      <c r="O17" s="113">
        <f>Spot!O11</f>
        <v>670.64373574177762</v>
      </c>
      <c r="P17" s="113">
        <f>Spot!P11</f>
        <v>626.40040543111115</v>
      </c>
      <c r="Q17" s="113">
        <f>Spot!Q11</f>
        <v>626.40040543111104</v>
      </c>
      <c r="R17" s="113">
        <f>Spot!R11</f>
        <v>450.0668593648889</v>
      </c>
      <c r="S17" s="113">
        <f>Spot!S11</f>
        <v>462.16190842266661</v>
      </c>
      <c r="T17" s="113">
        <f>Spot!T11</f>
        <v>451.6582285288888</v>
      </c>
      <c r="U17" s="113">
        <f>Spot!U11</f>
        <v>436.6979534151111</v>
      </c>
      <c r="V17" s="113">
        <f>Spot!V11</f>
        <v>421.95075555733325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5.6">
      <c r="A18" s="7" t="str">
        <f>A12</f>
        <v>Consumption</v>
      </c>
      <c r="B18"/>
      <c r="C18" s="113">
        <f t="shared" ref="C18:V18" ca="1" si="2">C17*C$8</f>
        <v>0</v>
      </c>
      <c r="D18" s="113">
        <f t="shared" ca="1" si="2"/>
        <v>4426597.8537894571</v>
      </c>
      <c r="E18" s="113">
        <f t="shared" ca="1" si="2"/>
        <v>8875443.0964190774</v>
      </c>
      <c r="F18" s="113">
        <f t="shared" ca="1" si="2"/>
        <v>8333747.7275359975</v>
      </c>
      <c r="G18" s="113">
        <f t="shared" ca="1" si="2"/>
        <v>7298124.4144893736</v>
      </c>
      <c r="H18" s="113">
        <f t="shared" ca="1" si="2"/>
        <v>7298124.4144893717</v>
      </c>
      <c r="I18" s="113">
        <f t="shared" ca="1" si="2"/>
        <v>7210720.7402708055</v>
      </c>
      <c r="J18" s="113">
        <f t="shared" ca="1" si="2"/>
        <v>6914977.2366961064</v>
      </c>
      <c r="K18" s="113">
        <f t="shared" ca="1" si="2"/>
        <v>6829606.2122155642</v>
      </c>
      <c r="L18" s="113">
        <f t="shared" ca="1" si="2"/>
        <v>6701545.4621226434</v>
      </c>
      <c r="M18" s="113">
        <f t="shared" ca="1" si="2"/>
        <v>6598895.0679759327</v>
      </c>
      <c r="N18" s="113">
        <f t="shared" ca="1" si="2"/>
        <v>6424096.3446704876</v>
      </c>
      <c r="O18" s="113">
        <f t="shared" ca="1" si="2"/>
        <v>6424096.3446704876</v>
      </c>
      <c r="P18" s="113">
        <f t="shared" ca="1" si="2"/>
        <v>6000289.4836246138</v>
      </c>
      <c r="Q18" s="113">
        <f t="shared" ca="1" si="2"/>
        <v>6000289.4836246129</v>
      </c>
      <c r="R18" s="113">
        <f t="shared" ca="1" si="2"/>
        <v>4311190.4458562704</v>
      </c>
      <c r="S18" s="113">
        <f t="shared" ca="1" si="2"/>
        <v>4427048.9207807239</v>
      </c>
      <c r="T18" s="113">
        <f t="shared" ca="1" si="2"/>
        <v>4326434.1710782256</v>
      </c>
      <c r="U18" s="113">
        <f t="shared" ca="1" si="2"/>
        <v>4183129.6957633491</v>
      </c>
      <c r="V18" s="113">
        <f t="shared" ca="1" si="2"/>
        <v>4041866.2874836954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5.6">
      <c r="A19" s="7" t="str">
        <f>A13</f>
        <v>$/MMBtu</v>
      </c>
      <c r="B19"/>
      <c r="C19" s="242">
        <f>'Stratus Report'!B63</f>
        <v>0</v>
      </c>
      <c r="D19" s="242">
        <f>'Stratus Report'!C63</f>
        <v>3.8354166699999999</v>
      </c>
      <c r="E19" s="242">
        <f>'Stratus Report'!D63</f>
        <v>3.8354166699999999</v>
      </c>
      <c r="F19" s="242">
        <f>'Stratus Report'!E63</f>
        <v>3.8354166699999999</v>
      </c>
      <c r="G19" s="242">
        <f>'Stratus Report'!F63</f>
        <v>3.8354166699999999</v>
      </c>
      <c r="H19" s="242">
        <f>'Stratus Report'!G63</f>
        <v>3.8354166699999999</v>
      </c>
      <c r="I19" s="242">
        <f>'Stratus Report'!H63</f>
        <v>3.8354166699999999</v>
      </c>
      <c r="J19" s="242">
        <f>'Stratus Report'!I63</f>
        <v>3.8354166699999999</v>
      </c>
      <c r="K19" s="242">
        <f>'Stratus Report'!J63</f>
        <v>3.8354166699999999</v>
      </c>
      <c r="L19" s="242">
        <f>'Stratus Report'!K63</f>
        <v>3.8354166699999999</v>
      </c>
      <c r="M19" s="242">
        <f>'Stratus Report'!L63</f>
        <v>3.8354166699999999</v>
      </c>
      <c r="N19" s="242">
        <f>'Stratus Report'!M63</f>
        <v>3.8354166699999999</v>
      </c>
      <c r="O19" s="242">
        <f>'Stratus Report'!N63</f>
        <v>3.8354166699999999</v>
      </c>
      <c r="P19" s="242">
        <f>'Stratus Report'!O63</f>
        <v>3.8354166699999999</v>
      </c>
      <c r="Q19" s="242">
        <f>'Stratus Report'!P63</f>
        <v>3.8354166699999999</v>
      </c>
      <c r="R19" s="242">
        <f>'Stratus Report'!Q63</f>
        <v>3.9375</v>
      </c>
      <c r="S19" s="242">
        <f>'Stratus Report'!R63</f>
        <v>3.9375</v>
      </c>
      <c r="T19" s="242">
        <f>'Stratus Report'!S63</f>
        <v>3.9375</v>
      </c>
      <c r="U19" s="242">
        <f>'Stratus Report'!T63</f>
        <v>3.9375</v>
      </c>
      <c r="V19" s="242">
        <f>'Stratus Report'!U63</f>
        <v>3.9375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5.6">
      <c r="A20" s="7" t="str">
        <f>A14</f>
        <v>Total</v>
      </c>
      <c r="B20"/>
      <c r="C20" s="243">
        <f t="shared" ref="C20:V20" ca="1" si="3">C18*C19/10^6</f>
        <v>0</v>
      </c>
      <c r="D20" s="243">
        <f t="shared" ca="1" si="3"/>
        <v>16.977847199810306</v>
      </c>
      <c r="E20" s="243">
        <f t="shared" ca="1" si="3"/>
        <v>34.041022405642146</v>
      </c>
      <c r="F20" s="243">
        <f t="shared" ca="1" si="3"/>
        <v>31.963394957766184</v>
      </c>
      <c r="G20" s="243">
        <f t="shared" ca="1" si="3"/>
        <v>27.99134803906653</v>
      </c>
      <c r="H20" s="243">
        <f t="shared" ca="1" si="3"/>
        <v>27.991348039066523</v>
      </c>
      <c r="I20" s="243">
        <f t="shared" ca="1" si="3"/>
        <v>27.656118529949385</v>
      </c>
      <c r="J20" s="243">
        <f t="shared" ca="1" si="3"/>
        <v>26.521818966294781</v>
      </c>
      <c r="K20" s="243">
        <f t="shared" ca="1" si="3"/>
        <v>26.194385515867133</v>
      </c>
      <c r="L20" s="243">
        <f t="shared" ca="1" si="3"/>
        <v>25.703219180188036</v>
      </c>
      <c r="M20" s="243">
        <f t="shared" ca="1" si="3"/>
        <v>25.309512147295678</v>
      </c>
      <c r="N20" s="243">
        <f t="shared" ca="1" si="3"/>
        <v>24.639086210035252</v>
      </c>
      <c r="O20" s="243">
        <f t="shared" ca="1" si="3"/>
        <v>24.639086210035252</v>
      </c>
      <c r="P20" s="243">
        <f t="shared" ca="1" si="3"/>
        <v>23.013610310319535</v>
      </c>
      <c r="Q20" s="243">
        <f t="shared" ca="1" si="3"/>
        <v>23.013610310319532</v>
      </c>
      <c r="R20" s="243">
        <f t="shared" ca="1" si="3"/>
        <v>16.975312380559064</v>
      </c>
      <c r="S20" s="243">
        <f t="shared" ca="1" si="3"/>
        <v>17.431505125574102</v>
      </c>
      <c r="T20" s="243">
        <f t="shared" ca="1" si="3"/>
        <v>17.035334548620515</v>
      </c>
      <c r="U20" s="243">
        <f t="shared" ca="1" si="3"/>
        <v>16.471073177068188</v>
      </c>
      <c r="V20" s="243">
        <f t="shared" ca="1" si="3"/>
        <v>15.914848506967051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5.6">
      <c r="A21" s="7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5.6">
      <c r="A22" s="7" t="s">
        <v>192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5.6">
      <c r="A23" s="7" t="str">
        <f>A17</f>
        <v>Generation</v>
      </c>
      <c r="B23"/>
      <c r="C23" s="113">
        <f>Spot!C15</f>
        <v>0</v>
      </c>
      <c r="D23" s="113">
        <f>Spot!D15</f>
        <v>462.11481927022209</v>
      </c>
      <c r="E23" s="113">
        <f>Spot!E15</f>
        <v>926.55215538355537</v>
      </c>
      <c r="F23" s="113">
        <f>Spot!F15</f>
        <v>870.00185066666643</v>
      </c>
      <c r="G23" s="113">
        <f>Spot!G15</f>
        <v>761.8879230075554</v>
      </c>
      <c r="H23" s="113">
        <f>Spot!H15</f>
        <v>761.88792300755529</v>
      </c>
      <c r="I23" s="113">
        <f>Spot!I15</f>
        <v>752.76341374577783</v>
      </c>
      <c r="J23" s="113">
        <f>Spot!J15</f>
        <v>721.88926158222216</v>
      </c>
      <c r="K23" s="113">
        <f>Spot!K15</f>
        <v>712.97695085244436</v>
      </c>
      <c r="L23" s="113">
        <f>Spot!L15</f>
        <v>699.60804490266662</v>
      </c>
      <c r="M23" s="113">
        <f>Spot!M15</f>
        <v>688.89185384444443</v>
      </c>
      <c r="N23" s="113">
        <f>Spot!N15</f>
        <v>670.64373574177762</v>
      </c>
      <c r="O23" s="113">
        <f>Spot!O15</f>
        <v>670.64373574177762</v>
      </c>
      <c r="P23" s="113">
        <f>Spot!P15</f>
        <v>626.40040543111115</v>
      </c>
      <c r="Q23" s="113">
        <f>Spot!Q15</f>
        <v>626.40040543111104</v>
      </c>
      <c r="R23" s="113">
        <f>Spot!R15</f>
        <v>450.0668593648889</v>
      </c>
      <c r="S23" s="113">
        <f>Spot!S15</f>
        <v>462.16190842266661</v>
      </c>
      <c r="T23" s="113">
        <f>Spot!T15</f>
        <v>451.6582285288888</v>
      </c>
      <c r="U23" s="113">
        <f>Spot!U15</f>
        <v>436.6979534151111</v>
      </c>
      <c r="V23" s="113">
        <f>Spot!V15</f>
        <v>421.95075555733325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5.6">
      <c r="A24" s="7" t="str">
        <f>A18</f>
        <v>Consumption</v>
      </c>
      <c r="B24"/>
      <c r="C24" s="113">
        <f t="shared" ref="C24:V24" ca="1" si="4">C23*C$8</f>
        <v>0</v>
      </c>
      <c r="D24" s="113">
        <f t="shared" ca="1" si="4"/>
        <v>4426597.8537894571</v>
      </c>
      <c r="E24" s="113">
        <f t="shared" ca="1" si="4"/>
        <v>8875443.0964190774</v>
      </c>
      <c r="F24" s="113">
        <f t="shared" ca="1" si="4"/>
        <v>8333747.7275359975</v>
      </c>
      <c r="G24" s="113">
        <f t="shared" ca="1" si="4"/>
        <v>7298124.4144893736</v>
      </c>
      <c r="H24" s="113">
        <f t="shared" ca="1" si="4"/>
        <v>7298124.4144893717</v>
      </c>
      <c r="I24" s="113">
        <f t="shared" ca="1" si="4"/>
        <v>7210720.7402708055</v>
      </c>
      <c r="J24" s="113">
        <f t="shared" ca="1" si="4"/>
        <v>6914977.2366961064</v>
      </c>
      <c r="K24" s="113">
        <f t="shared" ca="1" si="4"/>
        <v>6829606.2122155642</v>
      </c>
      <c r="L24" s="113">
        <f t="shared" ca="1" si="4"/>
        <v>6701545.4621226434</v>
      </c>
      <c r="M24" s="113">
        <f t="shared" ca="1" si="4"/>
        <v>6598895.0679759327</v>
      </c>
      <c r="N24" s="113">
        <f t="shared" ca="1" si="4"/>
        <v>6424096.3446704876</v>
      </c>
      <c r="O24" s="113">
        <f t="shared" ca="1" si="4"/>
        <v>6424096.3446704876</v>
      </c>
      <c r="P24" s="113">
        <f t="shared" ca="1" si="4"/>
        <v>6000289.4836246138</v>
      </c>
      <c r="Q24" s="113">
        <f t="shared" ca="1" si="4"/>
        <v>6000289.4836246129</v>
      </c>
      <c r="R24" s="113">
        <f t="shared" ca="1" si="4"/>
        <v>4311190.4458562704</v>
      </c>
      <c r="S24" s="113">
        <f t="shared" ca="1" si="4"/>
        <v>4427048.9207807239</v>
      </c>
      <c r="T24" s="113">
        <f t="shared" ca="1" si="4"/>
        <v>4326434.1710782256</v>
      </c>
      <c r="U24" s="113">
        <f t="shared" ca="1" si="4"/>
        <v>4183129.6957633491</v>
      </c>
      <c r="V24" s="113">
        <f t="shared" ca="1" si="4"/>
        <v>4041866.2874836954</v>
      </c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5.6">
      <c r="A25" s="7" t="str">
        <f>A19</f>
        <v>$/MMBtu</v>
      </c>
      <c r="B25"/>
      <c r="C25" s="242">
        <f>'Stratus Report'!B64</f>
        <v>0</v>
      </c>
      <c r="D25" s="242">
        <f>'Stratus Report'!C64</f>
        <v>3.8354166699999999</v>
      </c>
      <c r="E25" s="242">
        <f>'Stratus Report'!D64</f>
        <v>3.8354166699999999</v>
      </c>
      <c r="F25" s="242">
        <f>'Stratus Report'!E64</f>
        <v>3.8354166699999999</v>
      </c>
      <c r="G25" s="242">
        <f>'Stratus Report'!F64</f>
        <v>3.8354166699999999</v>
      </c>
      <c r="H25" s="242">
        <f>'Stratus Report'!G64</f>
        <v>3.8354166699999999</v>
      </c>
      <c r="I25" s="242">
        <f>'Stratus Report'!H64</f>
        <v>3.8354166699999999</v>
      </c>
      <c r="J25" s="242">
        <f>'Stratus Report'!I64</f>
        <v>3.8354166699999999</v>
      </c>
      <c r="K25" s="242">
        <f>'Stratus Report'!J64</f>
        <v>3.8354166699999999</v>
      </c>
      <c r="L25" s="242">
        <f>'Stratus Report'!K64</f>
        <v>3.8354166699999999</v>
      </c>
      <c r="M25" s="242">
        <f>'Stratus Report'!L64</f>
        <v>3.8354166699999999</v>
      </c>
      <c r="N25" s="242">
        <f>'Stratus Report'!M64</f>
        <v>3.8354166699999999</v>
      </c>
      <c r="O25" s="242">
        <f>'Stratus Report'!N64</f>
        <v>3.8354166699999999</v>
      </c>
      <c r="P25" s="242">
        <f>'Stratus Report'!O64</f>
        <v>3.8354166699999999</v>
      </c>
      <c r="Q25" s="242">
        <f>'Stratus Report'!P64</f>
        <v>3.8354166699999999</v>
      </c>
      <c r="R25" s="242">
        <f>'Stratus Report'!Q64</f>
        <v>3.9375</v>
      </c>
      <c r="S25" s="242">
        <f>'Stratus Report'!R64</f>
        <v>3.9375</v>
      </c>
      <c r="T25" s="242">
        <f>'Stratus Report'!S64</f>
        <v>3.9375</v>
      </c>
      <c r="U25" s="242">
        <f>'Stratus Report'!T64</f>
        <v>3.9375</v>
      </c>
      <c r="V25" s="242">
        <f>'Stratus Report'!U64</f>
        <v>3.9375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5.6">
      <c r="A26" s="7" t="str">
        <f>A20</f>
        <v>Total</v>
      </c>
      <c r="B26"/>
      <c r="C26" s="243">
        <f t="shared" ref="C26:V26" ca="1" si="5">C24*C25/10^6</f>
        <v>0</v>
      </c>
      <c r="D26" s="243">
        <f t="shared" ca="1" si="5"/>
        <v>16.977847199810306</v>
      </c>
      <c r="E26" s="243">
        <f t="shared" ca="1" si="5"/>
        <v>34.041022405642146</v>
      </c>
      <c r="F26" s="243">
        <f t="shared" ca="1" si="5"/>
        <v>31.963394957766184</v>
      </c>
      <c r="G26" s="243">
        <f t="shared" ca="1" si="5"/>
        <v>27.99134803906653</v>
      </c>
      <c r="H26" s="243">
        <f t="shared" ca="1" si="5"/>
        <v>27.991348039066523</v>
      </c>
      <c r="I26" s="243">
        <f t="shared" ca="1" si="5"/>
        <v>27.656118529949385</v>
      </c>
      <c r="J26" s="243">
        <f t="shared" ca="1" si="5"/>
        <v>26.521818966294781</v>
      </c>
      <c r="K26" s="243">
        <f t="shared" ca="1" si="5"/>
        <v>26.194385515867133</v>
      </c>
      <c r="L26" s="243">
        <f t="shared" ca="1" si="5"/>
        <v>25.703219180188036</v>
      </c>
      <c r="M26" s="243">
        <f t="shared" ca="1" si="5"/>
        <v>25.309512147295678</v>
      </c>
      <c r="N26" s="243">
        <f t="shared" ca="1" si="5"/>
        <v>24.639086210035252</v>
      </c>
      <c r="O26" s="243">
        <f t="shared" ca="1" si="5"/>
        <v>24.639086210035252</v>
      </c>
      <c r="P26" s="243">
        <f t="shared" ca="1" si="5"/>
        <v>23.013610310319535</v>
      </c>
      <c r="Q26" s="243">
        <f t="shared" ca="1" si="5"/>
        <v>23.013610310319532</v>
      </c>
      <c r="R26" s="243">
        <f t="shared" ca="1" si="5"/>
        <v>16.975312380559064</v>
      </c>
      <c r="S26" s="243">
        <f t="shared" ca="1" si="5"/>
        <v>17.431505125574102</v>
      </c>
      <c r="T26" s="243">
        <f t="shared" ca="1" si="5"/>
        <v>17.035334548620515</v>
      </c>
      <c r="U26" s="243">
        <f t="shared" ca="1" si="5"/>
        <v>16.471073177068188</v>
      </c>
      <c r="V26" s="243">
        <f t="shared" ca="1" si="5"/>
        <v>15.914848506967051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5.6">
      <c r="A27" s="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5.6">
      <c r="A28" s="7" t="s">
        <v>193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5.6">
      <c r="A29" s="7" t="str">
        <f>A23</f>
        <v>Generation</v>
      </c>
      <c r="B29"/>
      <c r="C29" s="113">
        <f>Spot!C19</f>
        <v>0</v>
      </c>
      <c r="D29" s="113">
        <f>Spot!D19</f>
        <v>5959.7515085297764</v>
      </c>
      <c r="E29" s="113">
        <f>Spot!E19</f>
        <v>12055.889461398223</v>
      </c>
      <c r="F29" s="113">
        <f>Spot!F19</f>
        <v>11199.258379655108</v>
      </c>
      <c r="G29" s="113">
        <f>Spot!G19</f>
        <v>9712.4023690555532</v>
      </c>
      <c r="H29" s="113">
        <f>Spot!H19</f>
        <v>9170.6666975435528</v>
      </c>
      <c r="I29" s="113">
        <f>Spot!I19</f>
        <v>8623.6274809191109</v>
      </c>
      <c r="J29" s="113">
        <f>Spot!J19</f>
        <v>8914.4406196688888</v>
      </c>
      <c r="K29" s="113">
        <f>Spot!K19</f>
        <v>9285.253340704443</v>
      </c>
      <c r="L29" s="113">
        <f>Spot!L19</f>
        <v>9156.874316647556</v>
      </c>
      <c r="M29" s="113">
        <f>Spot!M19</f>
        <v>9049.5044936551094</v>
      </c>
      <c r="N29" s="113">
        <f>Spot!N19</f>
        <v>8508.9366325319988</v>
      </c>
      <c r="O29" s="113">
        <f>Spot!O19</f>
        <v>8401.9893426435556</v>
      </c>
      <c r="P29" s="113">
        <f>Spot!P19</f>
        <v>8687.7101091417771</v>
      </c>
      <c r="Q29" s="113">
        <f>Spot!Q19</f>
        <v>8599.0118575013312</v>
      </c>
      <c r="R29" s="113">
        <f>Spot!R19</f>
        <v>7389.9226365004442</v>
      </c>
      <c r="S29" s="113">
        <f>Spot!S19</f>
        <v>6991.6304467022219</v>
      </c>
      <c r="T29" s="113">
        <f>Spot!T19</f>
        <v>6578.0621451097768</v>
      </c>
      <c r="U29" s="113">
        <f>Spot!U19</f>
        <v>6815.6151663817773</v>
      </c>
      <c r="V29" s="113">
        <f>Spot!V19</f>
        <v>7063.139749375111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ht="15.6">
      <c r="A30" s="7" t="str">
        <f>A18</f>
        <v>Consumption</v>
      </c>
      <c r="B30"/>
      <c r="C30" s="113">
        <f t="shared" ref="C30:V30" ca="1" si="6">C29*C$8</f>
        <v>0</v>
      </c>
      <c r="D30" s="113">
        <f t="shared" ca="1" si="6"/>
        <v>57088459.700206727</v>
      </c>
      <c r="E30" s="113">
        <f t="shared" ca="1" si="6"/>
        <v>115483365.15073358</v>
      </c>
      <c r="F30" s="113">
        <f t="shared" ca="1" si="6"/>
        <v>107277696.01871628</v>
      </c>
      <c r="G30" s="113">
        <f t="shared" ca="1" si="6"/>
        <v>93035102.293183148</v>
      </c>
      <c r="H30" s="113">
        <f t="shared" ca="1" si="6"/>
        <v>87845816.295769691</v>
      </c>
      <c r="I30" s="113">
        <f t="shared" ca="1" si="6"/>
        <v>82605727.639724165</v>
      </c>
      <c r="J30" s="113">
        <f t="shared" ca="1" si="6"/>
        <v>85391426.695808291</v>
      </c>
      <c r="K30" s="113">
        <f t="shared" ca="1" si="6"/>
        <v>88943441.750607863</v>
      </c>
      <c r="L30" s="113">
        <f t="shared" ca="1" si="6"/>
        <v>87713699.079166934</v>
      </c>
      <c r="M30" s="113">
        <f t="shared" ca="1" si="6"/>
        <v>86685203.544722289</v>
      </c>
      <c r="N30" s="113">
        <f t="shared" ca="1" si="6"/>
        <v>81507104.003024012</v>
      </c>
      <c r="O30" s="113">
        <f t="shared" ca="1" si="6"/>
        <v>80482655.913182616</v>
      </c>
      <c r="P30" s="113">
        <f t="shared" ca="1" si="6"/>
        <v>83219575.135469079</v>
      </c>
      <c r="Q30" s="113">
        <f t="shared" ca="1" si="6"/>
        <v>82369934.58300525</v>
      </c>
      <c r="R30" s="113">
        <f t="shared" ca="1" si="6"/>
        <v>70788068.935037762</v>
      </c>
      <c r="S30" s="113">
        <f t="shared" ca="1" si="6"/>
        <v>66972828.048960581</v>
      </c>
      <c r="T30" s="113">
        <f t="shared" ca="1" si="6"/>
        <v>63011257.288006552</v>
      </c>
      <c r="U30" s="113">
        <f t="shared" ca="1" si="6"/>
        <v>65286777.678771041</v>
      </c>
      <c r="V30" s="113">
        <f t="shared" ca="1" si="6"/>
        <v>67657815.659264192</v>
      </c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ht="15.6">
      <c r="A31" s="7" t="str">
        <f>A25</f>
        <v>$/MMBtu</v>
      </c>
      <c r="B31"/>
      <c r="C31" s="242">
        <f>'Stratus Report'!B65</f>
        <v>0</v>
      </c>
      <c r="D31" s="242">
        <f>'Stratus Report'!C65</f>
        <v>3.98020833</v>
      </c>
      <c r="E31" s="242">
        <f>'Stratus Report'!D65</f>
        <v>3.98020833</v>
      </c>
      <c r="F31" s="242">
        <f>'Stratus Report'!E65</f>
        <v>3.98020833</v>
      </c>
      <c r="G31" s="242">
        <f>'Stratus Report'!F65</f>
        <v>3.98020833</v>
      </c>
      <c r="H31" s="242">
        <f>'Stratus Report'!G65</f>
        <v>3.98020833</v>
      </c>
      <c r="I31" s="242">
        <f>'Stratus Report'!H65</f>
        <v>3.98020833</v>
      </c>
      <c r="J31" s="242">
        <f>'Stratus Report'!I65</f>
        <v>3.98020833</v>
      </c>
      <c r="K31" s="242">
        <f>'Stratus Report'!J65</f>
        <v>3.98020833</v>
      </c>
      <c r="L31" s="242">
        <f>'Stratus Report'!K65</f>
        <v>3.98020833</v>
      </c>
      <c r="M31" s="242">
        <f>'Stratus Report'!L65</f>
        <v>3.98020833</v>
      </c>
      <c r="N31" s="242">
        <f>'Stratus Report'!M65</f>
        <v>3.98020833</v>
      </c>
      <c r="O31" s="242">
        <f>'Stratus Report'!N65</f>
        <v>3.98020833</v>
      </c>
      <c r="P31" s="242">
        <f>'Stratus Report'!O65</f>
        <v>3.98020833</v>
      </c>
      <c r="Q31" s="242">
        <f>'Stratus Report'!P65</f>
        <v>3.98020833</v>
      </c>
      <c r="R31" s="242">
        <f>'Stratus Report'!Q65</f>
        <v>4.08229167</v>
      </c>
      <c r="S31" s="242">
        <f>'Stratus Report'!R65</f>
        <v>4.08229167</v>
      </c>
      <c r="T31" s="242">
        <f>'Stratus Report'!S65</f>
        <v>4.08229167</v>
      </c>
      <c r="U31" s="242">
        <f>'Stratus Report'!T65</f>
        <v>4.08229167</v>
      </c>
      <c r="V31" s="242">
        <f>'Stratus Report'!U65</f>
        <v>4.08229167</v>
      </c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15.6">
      <c r="A32" s="7" t="str">
        <f>A26</f>
        <v>Total</v>
      </c>
      <c r="B32"/>
      <c r="C32" s="243">
        <f t="shared" ref="C32:V32" ca="1" si="7">C30*C31/10^6</f>
        <v>0</v>
      </c>
      <c r="D32" s="243">
        <f t="shared" ca="1" si="7"/>
        <v>227.22396284563212</v>
      </c>
      <c r="E32" s="243">
        <f t="shared" ca="1" si="7"/>
        <v>459.64785194938145</v>
      </c>
      <c r="F32" s="243">
        <f t="shared" ca="1" si="7"/>
        <v>426.98757931690233</v>
      </c>
      <c r="G32" s="243">
        <f t="shared" ca="1" si="7"/>
        <v>370.29908912972968</v>
      </c>
      <c r="H32" s="243">
        <f t="shared" ca="1" si="7"/>
        <v>349.64464977607224</v>
      </c>
      <c r="I32" s="243">
        <f t="shared" ca="1" si="7"/>
        <v>328.78800525734141</v>
      </c>
      <c r="J32" s="243">
        <f t="shared" ca="1" si="7"/>
        <v>339.87566784524051</v>
      </c>
      <c r="K32" s="243">
        <f t="shared" ca="1" si="7"/>
        <v>354.01342775463922</v>
      </c>
      <c r="L32" s="243">
        <f t="shared" ca="1" si="7"/>
        <v>349.11879573001357</v>
      </c>
      <c r="M32" s="243">
        <f t="shared" ca="1" si="7"/>
        <v>345.02516923644919</v>
      </c>
      <c r="N32" s="243">
        <f t="shared" ca="1" si="7"/>
        <v>324.4152543070125</v>
      </c>
      <c r="O32" s="243">
        <f t="shared" ca="1" si="7"/>
        <v>320.33773748617324</v>
      </c>
      <c r="P32" s="243">
        <f t="shared" ca="1" si="7"/>
        <v>331.23124617325493</v>
      </c>
      <c r="Q32" s="243">
        <f t="shared" ca="1" si="7"/>
        <v>327.84949976883257</v>
      </c>
      <c r="R32" s="243">
        <f t="shared" ca="1" si="7"/>
        <v>288.97754414889044</v>
      </c>
      <c r="S32" s="243">
        <f t="shared" ca="1" si="7"/>
        <v>273.40261806061409</v>
      </c>
      <c r="T32" s="243">
        <f t="shared" ca="1" si="7"/>
        <v>257.23033074305596</v>
      </c>
      <c r="U32" s="243">
        <f t="shared" ca="1" si="7"/>
        <v>266.51966867918895</v>
      </c>
      <c r="V32" s="243">
        <f t="shared" ca="1" si="7"/>
        <v>276.19893727620979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15.6">
      <c r="A33" s="7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15.6">
      <c r="A34" s="7" t="s">
        <v>194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ht="15.6">
      <c r="A35" s="7" t="str">
        <f>A29</f>
        <v>Generation</v>
      </c>
      <c r="B35"/>
      <c r="C35" s="113">
        <f>Spot!C23</f>
        <v>0</v>
      </c>
      <c r="D35" s="113">
        <f>Spot!D23</f>
        <v>13502.435285655552</v>
      </c>
      <c r="E35" s="113">
        <f>Spot!E23</f>
        <v>17367.414505152443</v>
      </c>
      <c r="F35" s="113">
        <f>Spot!F23</f>
        <v>18970.998914043554</v>
      </c>
      <c r="G35" s="113">
        <f>Spot!G23</f>
        <v>17254.389406809329</v>
      </c>
      <c r="H35" s="113">
        <f>Spot!H23</f>
        <v>15970.876490943105</v>
      </c>
      <c r="I35" s="113">
        <f>Spot!I23</f>
        <v>17152.251015374222</v>
      </c>
      <c r="J35" s="113">
        <f>Spot!J23</f>
        <v>17508.30590115911</v>
      </c>
      <c r="K35" s="113">
        <f>Spot!K23</f>
        <v>17783.534566012444</v>
      </c>
      <c r="L35" s="113">
        <f>Spot!L23</f>
        <v>16891.36970430311</v>
      </c>
      <c r="M35" s="113">
        <f>Spot!M23</f>
        <v>16716.802065064887</v>
      </c>
      <c r="N35" s="113">
        <f>Spot!N23</f>
        <v>16689.445243883998</v>
      </c>
      <c r="O35" s="113">
        <f>Spot!O23</f>
        <v>17184.95945211111</v>
      </c>
      <c r="P35" s="113">
        <f>Spot!P23</f>
        <v>16943.176548383559</v>
      </c>
      <c r="Q35" s="113">
        <f>Spot!Q23</f>
        <v>17483.117549896444</v>
      </c>
      <c r="R35" s="113">
        <f>Spot!R23</f>
        <v>16992.538731998669</v>
      </c>
      <c r="S35" s="113">
        <f>Spot!S23</f>
        <v>17781.504892078661</v>
      </c>
      <c r="T35" s="113">
        <f>Spot!T23</f>
        <v>17594.758442943108</v>
      </c>
      <c r="U35" s="113">
        <f>Spot!U23</f>
        <v>17179.008032965328</v>
      </c>
      <c r="V35" s="113">
        <f>Spot!V23</f>
        <v>16567.654377571111</v>
      </c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 ht="15.6">
      <c r="A36" s="7" t="str">
        <f>A30</f>
        <v>Consumption</v>
      </c>
      <c r="B36"/>
      <c r="C36" s="113">
        <f t="shared" ref="C36:V36" ca="1" si="8">C35*C$8</f>
        <v>0</v>
      </c>
      <c r="D36" s="113">
        <f t="shared" ca="1" si="8"/>
        <v>129339827.60129453</v>
      </c>
      <c r="E36" s="113">
        <f t="shared" ca="1" si="8"/>
        <v>166362463.54485524</v>
      </c>
      <c r="F36" s="113">
        <f t="shared" ca="1" si="8"/>
        <v>181723198.5976232</v>
      </c>
      <c r="G36" s="113">
        <f t="shared" ca="1" si="8"/>
        <v>165279796.12782657</v>
      </c>
      <c r="H36" s="113">
        <f t="shared" ca="1" si="8"/>
        <v>152985025.906744</v>
      </c>
      <c r="I36" s="113">
        <f t="shared" ca="1" si="8"/>
        <v>164301412.47626966</v>
      </c>
      <c r="J36" s="113">
        <f t="shared" ca="1" si="8"/>
        <v>167712062.22720313</v>
      </c>
      <c r="K36" s="113">
        <f t="shared" ca="1" si="8"/>
        <v>170348477.60783321</v>
      </c>
      <c r="L36" s="113">
        <f t="shared" ca="1" si="8"/>
        <v>161802430.3975195</v>
      </c>
      <c r="M36" s="113">
        <f t="shared" ca="1" si="8"/>
        <v>160130246.98125654</v>
      </c>
      <c r="N36" s="113">
        <f t="shared" ca="1" si="8"/>
        <v>159868195.9911648</v>
      </c>
      <c r="O36" s="113">
        <f t="shared" ca="1" si="8"/>
        <v>164614726.59177232</v>
      </c>
      <c r="P36" s="113">
        <f t="shared" ca="1" si="8"/>
        <v>162298688.15696612</v>
      </c>
      <c r="Q36" s="113">
        <f t="shared" ca="1" si="8"/>
        <v>167470783.01045802</v>
      </c>
      <c r="R36" s="113">
        <f t="shared" ca="1" si="8"/>
        <v>162771528.51381525</v>
      </c>
      <c r="S36" s="113">
        <f t="shared" ca="1" si="8"/>
        <v>170329035.36122149</v>
      </c>
      <c r="T36" s="113">
        <f t="shared" ca="1" si="8"/>
        <v>168540191.12495202</v>
      </c>
      <c r="U36" s="113">
        <f t="shared" ca="1" si="8"/>
        <v>164557717.94777489</v>
      </c>
      <c r="V36" s="113">
        <f t="shared" ca="1" si="8"/>
        <v>158701561.28275368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ht="15.6">
      <c r="A37" s="7" t="str">
        <f>A31</f>
        <v>$/MMBtu</v>
      </c>
      <c r="B37"/>
      <c r="C37" s="242">
        <f>'Stratus Report'!B66</f>
        <v>0</v>
      </c>
      <c r="D37" s="242">
        <f>'Stratus Report'!C66</f>
        <v>3.8177083299999999</v>
      </c>
      <c r="E37" s="242">
        <f>'Stratus Report'!D66</f>
        <v>3.8177083299999999</v>
      </c>
      <c r="F37" s="242">
        <f>'Stratus Report'!E66</f>
        <v>3.8177083299999999</v>
      </c>
      <c r="G37" s="242">
        <f>'Stratus Report'!F66</f>
        <v>3.8177083299999999</v>
      </c>
      <c r="H37" s="242">
        <f>'Stratus Report'!G66</f>
        <v>3.8177083299999999</v>
      </c>
      <c r="I37" s="242">
        <f>'Stratus Report'!H66</f>
        <v>3.8177083299999999</v>
      </c>
      <c r="J37" s="242">
        <f>'Stratus Report'!I66</f>
        <v>3.8177083299999999</v>
      </c>
      <c r="K37" s="242">
        <f>'Stratus Report'!J66</f>
        <v>3.8177083299999999</v>
      </c>
      <c r="L37" s="242">
        <f>'Stratus Report'!K66</f>
        <v>3.8177083299999999</v>
      </c>
      <c r="M37" s="242">
        <f>'Stratus Report'!L66</f>
        <v>3.8177083299999999</v>
      </c>
      <c r="N37" s="242">
        <f>'Stratus Report'!M66</f>
        <v>3.8177083299999999</v>
      </c>
      <c r="O37" s="242">
        <f>'Stratus Report'!N66</f>
        <v>3.8177083299999999</v>
      </c>
      <c r="P37" s="242">
        <f>'Stratus Report'!O66</f>
        <v>3.8177083299999999</v>
      </c>
      <c r="Q37" s="242">
        <f>'Stratus Report'!P66</f>
        <v>3.8177083299999999</v>
      </c>
      <c r="R37" s="242">
        <f>'Stratus Report'!Q66</f>
        <v>3.91979167</v>
      </c>
      <c r="S37" s="242">
        <f>'Stratus Report'!R66</f>
        <v>3.91979167</v>
      </c>
      <c r="T37" s="242">
        <f>'Stratus Report'!S66</f>
        <v>3.91979167</v>
      </c>
      <c r="U37" s="242">
        <f>'Stratus Report'!T66</f>
        <v>3.91979167</v>
      </c>
      <c r="V37" s="242">
        <f>'Stratus Report'!U66</f>
        <v>3.91979167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ht="15.6">
      <c r="A38" s="7" t="str">
        <f>A32</f>
        <v>Total</v>
      </c>
      <c r="B38"/>
      <c r="C38" s="243">
        <f t="shared" ref="C38:V38" ca="1" si="9">C36*C37/10^6</f>
        <v>0</v>
      </c>
      <c r="D38" s="243">
        <f t="shared" ca="1" si="9"/>
        <v>493.78173723422606</v>
      </c>
      <c r="E38" s="243">
        <f t="shared" ca="1" si="9"/>
        <v>635.12336287451512</v>
      </c>
      <c r="F38" s="243">
        <f t="shared" ca="1" si="9"/>
        <v>693.76616904039042</v>
      </c>
      <c r="G38" s="243">
        <f t="shared" ca="1" si="9"/>
        <v>630.99005445790522</v>
      </c>
      <c r="H38" s="243">
        <f t="shared" ca="1" si="9"/>
        <v>584.05220776944236</v>
      </c>
      <c r="I38" s="243">
        <f t="shared" ca="1" si="9"/>
        <v>627.25487104142053</v>
      </c>
      <c r="J38" s="243">
        <f t="shared" ca="1" si="9"/>
        <v>640.2757370062717</v>
      </c>
      <c r="K38" s="243">
        <f t="shared" ca="1" si="9"/>
        <v>650.34080196624325</v>
      </c>
      <c r="L38" s="243">
        <f t="shared" ca="1" si="9"/>
        <v>617.71448634285537</v>
      </c>
      <c r="M38" s="243">
        <f t="shared" ca="1" si="9"/>
        <v>611.33057778530053</v>
      </c>
      <c r="N38" s="243">
        <f t="shared" ca="1" si="9"/>
        <v>610.33014353754243</v>
      </c>
      <c r="O38" s="243">
        <f t="shared" ca="1" si="9"/>
        <v>628.45101295008169</v>
      </c>
      <c r="P38" s="243">
        <f t="shared" ca="1" si="9"/>
        <v>619.60905372492198</v>
      </c>
      <c r="Q38" s="243">
        <f t="shared" ca="1" si="9"/>
        <v>639.35460333064805</v>
      </c>
      <c r="R38" s="243">
        <f t="shared" ca="1" si="9"/>
        <v>638.03048158162051</v>
      </c>
      <c r="S38" s="243">
        <f t="shared" ca="1" si="9"/>
        <v>667.65433396805145</v>
      </c>
      <c r="T38" s="243">
        <f t="shared" ca="1" si="9"/>
        <v>660.64243723179482</v>
      </c>
      <c r="U38" s="243">
        <f t="shared" ca="1" si="9"/>
        <v>645.03197204589753</v>
      </c>
      <c r="V38" s="243">
        <f t="shared" ca="1" si="9"/>
        <v>622.07705793213233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ht="15.6">
      <c r="A39" s="7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6" ht="15.6">
      <c r="A40" s="7" t="s">
        <v>195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6" ht="15.6">
      <c r="A41" s="7" t="str">
        <f>A35</f>
        <v>Generation</v>
      </c>
      <c r="B41"/>
      <c r="C41" s="113">
        <f>Spot!C27</f>
        <v>12539.362295873016</v>
      </c>
      <c r="D41" s="113">
        <f>Spot!D27</f>
        <v>32661.244557753769</v>
      </c>
      <c r="E41" s="113">
        <f>Spot!E27</f>
        <v>29277.030026072887</v>
      </c>
      <c r="F41" s="113">
        <f>Spot!F27</f>
        <v>32361.99673668266</v>
      </c>
      <c r="G41" s="113">
        <f>Spot!G27</f>
        <v>33059.526153552884</v>
      </c>
      <c r="H41" s="113">
        <f>Spot!H27</f>
        <v>30292.162001615103</v>
      </c>
      <c r="I41" s="113">
        <f>Spot!I27</f>
        <v>32157.369513552887</v>
      </c>
      <c r="J41" s="113">
        <f>Spot!J27</f>
        <v>32163.931047241771</v>
      </c>
      <c r="K41" s="113">
        <f>Spot!K27</f>
        <v>32058.439299061774</v>
      </c>
      <c r="L41" s="113">
        <f>Spot!L27</f>
        <v>32784.36806177556</v>
      </c>
      <c r="M41" s="113">
        <f>Spot!M27</f>
        <v>32682.876341182662</v>
      </c>
      <c r="N41" s="113">
        <f>Spot!N27</f>
        <v>31891.233976370222</v>
      </c>
      <c r="O41" s="113">
        <f>Spot!O27</f>
        <v>31246.805776853333</v>
      </c>
      <c r="P41" s="113">
        <f>Spot!P27</f>
        <v>28830.05282636889</v>
      </c>
      <c r="Q41" s="113">
        <f>Spot!Q27</f>
        <v>31276.94676155466</v>
      </c>
      <c r="R41" s="113">
        <f>Spot!R27</f>
        <v>33305.365392239109</v>
      </c>
      <c r="S41" s="113">
        <f>Spot!S27</f>
        <v>34009.045863302214</v>
      </c>
      <c r="T41" s="113">
        <f>Spot!T27</f>
        <v>33747.421158630663</v>
      </c>
      <c r="U41" s="113">
        <f>Spot!U27</f>
        <v>32295.255862834219</v>
      </c>
      <c r="V41" s="113">
        <f>Spot!V27</f>
        <v>29151.958772611109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1:256" ht="15.6">
      <c r="A42" s="7" t="str">
        <f>A36</f>
        <v>Consumption</v>
      </c>
      <c r="B42"/>
      <c r="C42" s="113">
        <f t="shared" ref="C42:V42" ca="1" si="10">C41*C$8</f>
        <v>120114551.43216762</v>
      </c>
      <c r="D42" s="113">
        <f t="shared" ca="1" si="10"/>
        <v>312862061.61872333</v>
      </c>
      <c r="E42" s="113">
        <f t="shared" ca="1" si="10"/>
        <v>280444670.61975217</v>
      </c>
      <c r="F42" s="113">
        <f t="shared" ca="1" si="10"/>
        <v>309995566.7406832</v>
      </c>
      <c r="G42" s="113">
        <f t="shared" ca="1" si="10"/>
        <v>316677201.02488309</v>
      </c>
      <c r="H42" s="113">
        <f t="shared" ca="1" si="10"/>
        <v>290168619.81347108</v>
      </c>
      <c r="I42" s="113">
        <f t="shared" ca="1" si="10"/>
        <v>308035442.57032311</v>
      </c>
      <c r="J42" s="113">
        <f t="shared" ca="1" si="10"/>
        <v>308098295.50152892</v>
      </c>
      <c r="K42" s="113">
        <f t="shared" ca="1" si="10"/>
        <v>307087790.04571271</v>
      </c>
      <c r="L42" s="113">
        <f t="shared" ca="1" si="10"/>
        <v>314041461.66374809</v>
      </c>
      <c r="M42" s="113">
        <f t="shared" ca="1" si="10"/>
        <v>313069272.47218871</v>
      </c>
      <c r="N42" s="113">
        <f t="shared" ca="1" si="10"/>
        <v>305486130.25965035</v>
      </c>
      <c r="O42" s="113">
        <f t="shared" ca="1" si="10"/>
        <v>299313152.5364781</v>
      </c>
      <c r="P42" s="113">
        <f t="shared" ca="1" si="10"/>
        <v>276163076.02378762</v>
      </c>
      <c r="Q42" s="113">
        <f t="shared" ca="1" si="10"/>
        <v>299601873.02893209</v>
      </c>
      <c r="R42" s="113">
        <f t="shared" ca="1" si="10"/>
        <v>319032095.09225845</v>
      </c>
      <c r="S42" s="113">
        <f t="shared" ca="1" si="10"/>
        <v>325772650.32457191</v>
      </c>
      <c r="T42" s="113">
        <f t="shared" ca="1" si="10"/>
        <v>323266547.27852315</v>
      </c>
      <c r="U42" s="113">
        <f t="shared" ca="1" si="10"/>
        <v>309356255.91008902</v>
      </c>
      <c r="V42" s="113">
        <f t="shared" ca="1" si="10"/>
        <v>279246613.08284181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spans="1:256" ht="15.6">
      <c r="A43" s="7" t="str">
        <f>A37</f>
        <v>$/MMBtu</v>
      </c>
      <c r="B43"/>
      <c r="C43" s="242">
        <f>'Stratus Report'!B67</f>
        <v>4.2322916700000004</v>
      </c>
      <c r="D43" s="242">
        <f>'Stratus Report'!C67</f>
        <v>3.8093750000000002</v>
      </c>
      <c r="E43" s="242">
        <f>'Stratus Report'!D67</f>
        <v>3.8093750000000002</v>
      </c>
      <c r="F43" s="242">
        <f>'Stratus Report'!E67</f>
        <v>3.8093750000000002</v>
      </c>
      <c r="G43" s="242">
        <f>'Stratus Report'!F67</f>
        <v>3.8093750000000002</v>
      </c>
      <c r="H43" s="242">
        <f>'Stratus Report'!G67</f>
        <v>3.8093750000000002</v>
      </c>
      <c r="I43" s="242">
        <f>'Stratus Report'!H67</f>
        <v>3.8093750000000002</v>
      </c>
      <c r="J43" s="242">
        <f>'Stratus Report'!I67</f>
        <v>3.8093750000000002</v>
      </c>
      <c r="K43" s="242">
        <f>'Stratus Report'!J67</f>
        <v>3.8093750000000002</v>
      </c>
      <c r="L43" s="242">
        <f>'Stratus Report'!K67</f>
        <v>3.8093750000000002</v>
      </c>
      <c r="M43" s="242">
        <f>'Stratus Report'!L67</f>
        <v>3.8093750000000002</v>
      </c>
      <c r="N43" s="242">
        <f>'Stratus Report'!M67</f>
        <v>3.8093750000000002</v>
      </c>
      <c r="O43" s="242">
        <f>'Stratus Report'!N67</f>
        <v>3.8093750000000002</v>
      </c>
      <c r="P43" s="242">
        <f>'Stratus Report'!O67</f>
        <v>3.8093750000000002</v>
      </c>
      <c r="Q43" s="242">
        <f>'Stratus Report'!P67</f>
        <v>3.8093750000000002</v>
      </c>
      <c r="R43" s="242">
        <f>'Stratus Report'!Q67</f>
        <v>3.9125000000000001</v>
      </c>
      <c r="S43" s="242">
        <f>'Stratus Report'!R67</f>
        <v>3.9125000000000001</v>
      </c>
      <c r="T43" s="242">
        <f>'Stratus Report'!S67</f>
        <v>3.9125000000000001</v>
      </c>
      <c r="U43" s="242">
        <f>'Stratus Report'!T67</f>
        <v>3.9125000000000001</v>
      </c>
      <c r="V43" s="242">
        <f>'Stratus Report'!U67</f>
        <v>3.9125000000000001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</row>
    <row r="44" spans="1:256" ht="15.6">
      <c r="A44" s="7" t="str">
        <f>A38</f>
        <v>Total</v>
      </c>
      <c r="B44"/>
      <c r="C44" s="243">
        <f t="shared" ref="C44:V44" ca="1" si="11">C42*C43/10^6</f>
        <v>508.35981547214959</v>
      </c>
      <c r="D44" s="243">
        <f t="shared" ca="1" si="11"/>
        <v>1191.8089159788242</v>
      </c>
      <c r="E44" s="243">
        <f t="shared" ca="1" si="11"/>
        <v>1068.3189171421184</v>
      </c>
      <c r="F44" s="243">
        <f t="shared" ca="1" si="11"/>
        <v>1180.8893620527901</v>
      </c>
      <c r="G44" s="243">
        <f t="shared" ca="1" si="11"/>
        <v>1206.3422126541641</v>
      </c>
      <c r="H44" s="243">
        <f t="shared" ca="1" si="11"/>
        <v>1105.3610861019413</v>
      </c>
      <c r="I44" s="243">
        <f t="shared" ca="1" si="11"/>
        <v>1173.4225140413246</v>
      </c>
      <c r="J44" s="243">
        <f t="shared" ca="1" si="11"/>
        <v>1173.6619444261366</v>
      </c>
      <c r="K44" s="243">
        <f t="shared" ca="1" si="11"/>
        <v>1169.812550205387</v>
      </c>
      <c r="L44" s="243">
        <f t="shared" ca="1" si="11"/>
        <v>1196.3016930253402</v>
      </c>
      <c r="M44" s="243">
        <f t="shared" ca="1" si="11"/>
        <v>1192.5982598237438</v>
      </c>
      <c r="N44" s="243">
        <f t="shared" ca="1" si="11"/>
        <v>1163.7112274578558</v>
      </c>
      <c r="O44" s="243">
        <f t="shared" ca="1" si="11"/>
        <v>1140.1960404436463</v>
      </c>
      <c r="P44" s="243">
        <f t="shared" ca="1" si="11"/>
        <v>1052.0087177281159</v>
      </c>
      <c r="Q44" s="243">
        <f t="shared" ca="1" si="11"/>
        <v>1141.2958850695882</v>
      </c>
      <c r="R44" s="243">
        <f t="shared" ca="1" si="11"/>
        <v>1248.2130720484613</v>
      </c>
      <c r="S44" s="243">
        <f t="shared" ca="1" si="11"/>
        <v>1274.5854943948877</v>
      </c>
      <c r="T44" s="243">
        <f t="shared" ca="1" si="11"/>
        <v>1264.7803662272217</v>
      </c>
      <c r="U44" s="243">
        <f t="shared" ca="1" si="11"/>
        <v>1210.3563512482233</v>
      </c>
      <c r="V44" s="243">
        <f t="shared" ca="1" si="11"/>
        <v>1092.5523736866185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spans="1:256" ht="15.6">
      <c r="A45" s="7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spans="1:256" ht="15.6">
      <c r="A46" s="7" t="s">
        <v>196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pans="1:256" ht="15.6">
      <c r="A47" s="7" t="str">
        <f>A41</f>
        <v>Generation</v>
      </c>
      <c r="B47"/>
      <c r="C47" s="113">
        <f>Spot!C31</f>
        <v>19621.499977539683</v>
      </c>
      <c r="D47" s="113">
        <f>Spot!D31</f>
        <v>55489.701674826203</v>
      </c>
      <c r="E47" s="113">
        <f>Spot!E31</f>
        <v>52644.217323145771</v>
      </c>
      <c r="F47" s="113">
        <f>Spot!F31</f>
        <v>53980.536934905773</v>
      </c>
      <c r="G47" s="113">
        <f>Spot!G31</f>
        <v>52080.594725612435</v>
      </c>
      <c r="H47" s="113">
        <f>Spot!H31</f>
        <v>50413.408785450651</v>
      </c>
      <c r="I47" s="113">
        <f>Spot!I31</f>
        <v>51574.485499506663</v>
      </c>
      <c r="J47" s="113">
        <f>Spot!J31</f>
        <v>53637.922491685771</v>
      </c>
      <c r="K47" s="113">
        <f>Spot!K31</f>
        <v>52294.40630098222</v>
      </c>
      <c r="L47" s="113">
        <f>Spot!L31</f>
        <v>51579.897963987554</v>
      </c>
      <c r="M47" s="113">
        <f>Spot!M31</f>
        <v>51393.150848165766</v>
      </c>
      <c r="N47" s="113">
        <f>Spot!N31</f>
        <v>50841.031400671549</v>
      </c>
      <c r="O47" s="113">
        <f>Spot!O31</f>
        <v>53690.513874557771</v>
      </c>
      <c r="P47" s="113">
        <f>Spot!P31</f>
        <v>52835.208145299999</v>
      </c>
      <c r="Q47" s="113">
        <f>Spot!Q31</f>
        <v>52286.286001649765</v>
      </c>
      <c r="R47" s="113">
        <f>Spot!R31</f>
        <v>51772.057010744</v>
      </c>
      <c r="S47" s="113">
        <f>Spot!S31</f>
        <v>52207.799391751098</v>
      </c>
      <c r="T47" s="113">
        <f>Spot!T31</f>
        <v>51980.455053554215</v>
      </c>
      <c r="U47" s="113">
        <f>Spot!U31</f>
        <v>53178.437641077777</v>
      </c>
      <c r="V47" s="113">
        <f>Spot!V31</f>
        <v>51855.341118367105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</row>
    <row r="48" spans="1:256" ht="15.6">
      <c r="A48" s="7" t="str">
        <f>A42</f>
        <v>Consumption</v>
      </c>
      <c r="B48"/>
      <c r="C48" s="113">
        <f t="shared" ref="C48:V48" ca="1" si="12">C47*C$8</f>
        <v>187954348.28485262</v>
      </c>
      <c r="D48" s="113">
        <f t="shared" ca="1" si="12"/>
        <v>531535852.34316021</v>
      </c>
      <c r="E48" s="113">
        <f t="shared" ca="1" si="12"/>
        <v>504278957.73841333</v>
      </c>
      <c r="F48" s="113">
        <f t="shared" ca="1" si="12"/>
        <v>517079563.29946238</v>
      </c>
      <c r="G48" s="113">
        <f t="shared" ca="1" si="12"/>
        <v>498880016.87664151</v>
      </c>
      <c r="H48" s="113">
        <f t="shared" ca="1" si="12"/>
        <v>482910042.75583178</v>
      </c>
      <c r="I48" s="113">
        <f t="shared" ca="1" si="12"/>
        <v>494031996.5997743</v>
      </c>
      <c r="J48" s="113">
        <f t="shared" ca="1" si="12"/>
        <v>513797659.547858</v>
      </c>
      <c r="K48" s="113">
        <f t="shared" ca="1" si="12"/>
        <v>500928117.95710868</v>
      </c>
      <c r="L48" s="113">
        <f t="shared" ca="1" si="12"/>
        <v>494083842.59703678</v>
      </c>
      <c r="M48" s="113">
        <f t="shared" ca="1" si="12"/>
        <v>492294991.97457987</v>
      </c>
      <c r="N48" s="113">
        <f t="shared" ca="1" si="12"/>
        <v>487006239.78703278</v>
      </c>
      <c r="O48" s="113">
        <f t="shared" ca="1" si="12"/>
        <v>514301432.4043889</v>
      </c>
      <c r="P48" s="113">
        <f t="shared" ca="1" si="12"/>
        <v>506108458.8238287</v>
      </c>
      <c r="Q48" s="113">
        <f t="shared" ca="1" si="12"/>
        <v>500850333.60980308</v>
      </c>
      <c r="R48" s="113">
        <f t="shared" ca="1" si="12"/>
        <v>495924534.1059168</v>
      </c>
      <c r="S48" s="113">
        <f t="shared" ca="1" si="12"/>
        <v>500098510.37358373</v>
      </c>
      <c r="T48" s="113">
        <f t="shared" ca="1" si="12"/>
        <v>497920778.95799583</v>
      </c>
      <c r="U48" s="113">
        <f t="shared" ca="1" si="12"/>
        <v>509396254.16388404</v>
      </c>
      <c r="V48" s="113">
        <f t="shared" ca="1" si="12"/>
        <v>496722312.57283849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</row>
    <row r="49" spans="1:256" ht="15.6">
      <c r="A49" s="7" t="str">
        <f>A43</f>
        <v>$/MMBtu</v>
      </c>
      <c r="B49"/>
      <c r="C49" s="242">
        <f>'Stratus Report'!B68</f>
        <v>4.1906249999999998</v>
      </c>
      <c r="D49" s="242">
        <f>'Stratus Report'!C68</f>
        <v>3.7718750000000001</v>
      </c>
      <c r="E49" s="242">
        <f>'Stratus Report'!D68</f>
        <v>3.7718750000000001</v>
      </c>
      <c r="F49" s="242">
        <f>'Stratus Report'!E68</f>
        <v>3.7718750000000001</v>
      </c>
      <c r="G49" s="242">
        <f>'Stratus Report'!F68</f>
        <v>3.7718750000000001</v>
      </c>
      <c r="H49" s="242">
        <f>'Stratus Report'!G68</f>
        <v>3.7718750000000001</v>
      </c>
      <c r="I49" s="242">
        <f>'Stratus Report'!H68</f>
        <v>3.7718750000000001</v>
      </c>
      <c r="J49" s="242">
        <f>'Stratus Report'!I68</f>
        <v>3.7718750000000001</v>
      </c>
      <c r="K49" s="242">
        <f>'Stratus Report'!J68</f>
        <v>3.7718750000000001</v>
      </c>
      <c r="L49" s="242">
        <f>'Stratus Report'!K68</f>
        <v>3.7718750000000001</v>
      </c>
      <c r="M49" s="242">
        <f>'Stratus Report'!L68</f>
        <v>3.7718750000000001</v>
      </c>
      <c r="N49" s="242">
        <f>'Stratus Report'!M68</f>
        <v>3.7718750000000001</v>
      </c>
      <c r="O49" s="242">
        <f>'Stratus Report'!N68</f>
        <v>3.7718750000000001</v>
      </c>
      <c r="P49" s="242">
        <f>'Stratus Report'!O68</f>
        <v>3.7718750000000001</v>
      </c>
      <c r="Q49" s="242">
        <f>'Stratus Report'!P68</f>
        <v>3.7718750000000001</v>
      </c>
      <c r="R49" s="242">
        <f>'Stratus Report'!Q68</f>
        <v>3.8739583299999998</v>
      </c>
      <c r="S49" s="242">
        <f>'Stratus Report'!R68</f>
        <v>3.8739583299999998</v>
      </c>
      <c r="T49" s="242">
        <f>'Stratus Report'!S68</f>
        <v>3.8739583299999998</v>
      </c>
      <c r="U49" s="242">
        <f>'Stratus Report'!T68</f>
        <v>3.8739583299999998</v>
      </c>
      <c r="V49" s="242">
        <f>'Stratus Report'!U68</f>
        <v>3.8739583299999998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</row>
    <row r="50" spans="1:256" ht="15.6">
      <c r="A50" s="7" t="str">
        <f>A44</f>
        <v>Total</v>
      </c>
      <c r="B50"/>
      <c r="C50" s="243">
        <f t="shared" ref="C50:V50" ca="1" si="13">C48*C49/10^6</f>
        <v>787.64619078121052</v>
      </c>
      <c r="D50" s="243">
        <f t="shared" ca="1" si="13"/>
        <v>2004.8867930568576</v>
      </c>
      <c r="E50" s="243">
        <f t="shared" ca="1" si="13"/>
        <v>1902.0771937195777</v>
      </c>
      <c r="F50" s="243">
        <f t="shared" ca="1" si="13"/>
        <v>1950.3594778201598</v>
      </c>
      <c r="G50" s="243">
        <f t="shared" ca="1" si="13"/>
        <v>1881.7130636565823</v>
      </c>
      <c r="H50" s="243">
        <f t="shared" ca="1" si="13"/>
        <v>1821.4763175196531</v>
      </c>
      <c r="I50" s="243">
        <f t="shared" ca="1" si="13"/>
        <v>1863.4269371747737</v>
      </c>
      <c r="J50" s="243">
        <f t="shared" ca="1" si="13"/>
        <v>1937.980547107077</v>
      </c>
      <c r="K50" s="243">
        <f t="shared" ca="1" si="13"/>
        <v>1889.4382449194693</v>
      </c>
      <c r="L50" s="243">
        <f t="shared" ca="1" si="13"/>
        <v>1863.6224937956981</v>
      </c>
      <c r="M50" s="243">
        <f t="shared" ca="1" si="13"/>
        <v>1856.8751728541185</v>
      </c>
      <c r="N50" s="243">
        <f t="shared" ca="1" si="13"/>
        <v>1836.9266606967144</v>
      </c>
      <c r="O50" s="243">
        <f t="shared" ca="1" si="13"/>
        <v>1939.8807153503044</v>
      </c>
      <c r="P50" s="243">
        <f t="shared" ca="1" si="13"/>
        <v>1908.9778431261288</v>
      </c>
      <c r="Q50" s="243">
        <f t="shared" ca="1" si="13"/>
        <v>1889.144852084476</v>
      </c>
      <c r="R50" s="243">
        <f t="shared" ca="1" si="13"/>
        <v>1921.1909799509854</v>
      </c>
      <c r="S50" s="243">
        <f t="shared" ca="1" si="13"/>
        <v>1937.3607900823361</v>
      </c>
      <c r="T50" s="243">
        <f t="shared" ca="1" si="13"/>
        <v>1928.9243493244167</v>
      </c>
      <c r="U50" s="243">
        <f t="shared" ca="1" si="13"/>
        <v>1973.3798620889756</v>
      </c>
      <c r="V50" s="243">
        <f t="shared" ca="1" si="13"/>
        <v>1924.2815404884111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</row>
    <row r="51" spans="1:256" ht="15.6">
      <c r="A51" s="7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</row>
    <row r="52" spans="1:256" ht="15.6">
      <c r="A52" s="7" t="s">
        <v>197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</row>
    <row r="53" spans="1:256" ht="15.6">
      <c r="A53" s="7" t="str">
        <f>A47</f>
        <v>Generation</v>
      </c>
      <c r="B53"/>
      <c r="C53" s="113">
        <f>Spot!C35</f>
        <v>13080.999985361907</v>
      </c>
      <c r="D53" s="113">
        <f>Spot!D35</f>
        <v>36993.134449226658</v>
      </c>
      <c r="E53" s="113">
        <f>Spot!E35</f>
        <v>35096.144881768436</v>
      </c>
      <c r="F53" s="113">
        <f>Spot!F35</f>
        <v>35987.024623927988</v>
      </c>
      <c r="G53" s="113">
        <f>Spot!G35</f>
        <v>34720.396483412878</v>
      </c>
      <c r="H53" s="113">
        <f>Spot!H35</f>
        <v>33608.939190300436</v>
      </c>
      <c r="I53" s="113">
        <f>Spot!I35</f>
        <v>34382.99033300444</v>
      </c>
      <c r="J53" s="113">
        <f>Spot!J35</f>
        <v>35758.614995114665</v>
      </c>
      <c r="K53" s="113">
        <f>Spot!K35</f>
        <v>34862.93753333066</v>
      </c>
      <c r="L53" s="113">
        <f>Spot!L35</f>
        <v>34386.598642987112</v>
      </c>
      <c r="M53" s="113">
        <f>Spot!M35</f>
        <v>34262.100565115106</v>
      </c>
      <c r="N53" s="113">
        <f>Spot!N35</f>
        <v>33894.020934109772</v>
      </c>
      <c r="O53" s="113">
        <f>Spot!O35</f>
        <v>35793.67591702933</v>
      </c>
      <c r="P53" s="113">
        <f>Spot!P35</f>
        <v>35223.472096866666</v>
      </c>
      <c r="Q53" s="113">
        <f>Spot!Q35</f>
        <v>34857.524001757331</v>
      </c>
      <c r="R53" s="113">
        <f>Spot!R35</f>
        <v>34514.704673829336</v>
      </c>
      <c r="S53" s="113">
        <f>Spot!S35</f>
        <v>34805.199594171994</v>
      </c>
      <c r="T53" s="113">
        <f>Spot!T35</f>
        <v>34653.636701711999</v>
      </c>
      <c r="U53" s="113">
        <f>Spot!U35</f>
        <v>35452.291761376</v>
      </c>
      <c r="V53" s="113">
        <f>Spot!V35</f>
        <v>34570.227411915999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</row>
    <row r="54" spans="1:256" ht="15.6">
      <c r="A54" s="7" t="str">
        <f>A48</f>
        <v>Consumption</v>
      </c>
      <c r="B54"/>
      <c r="C54" s="113">
        <f t="shared" ref="C54:V54" ca="1" si="14">C53*C$8</f>
        <v>125302898.8597817</v>
      </c>
      <c r="D54" s="113">
        <f t="shared" ca="1" si="14"/>
        <v>354357234.88914216</v>
      </c>
      <c r="E54" s="113">
        <f t="shared" ca="1" si="14"/>
        <v>336185971.82245988</v>
      </c>
      <c r="F54" s="113">
        <f t="shared" ca="1" si="14"/>
        <v>344719708.87260622</v>
      </c>
      <c r="G54" s="113">
        <f t="shared" ca="1" si="14"/>
        <v>332586677.91461194</v>
      </c>
      <c r="H54" s="113">
        <f t="shared" ca="1" si="14"/>
        <v>321940028.50388789</v>
      </c>
      <c r="I54" s="113">
        <f t="shared" ca="1" si="14"/>
        <v>329354664.39984953</v>
      </c>
      <c r="J54" s="113">
        <f t="shared" ca="1" si="14"/>
        <v>342531773.03820336</v>
      </c>
      <c r="K54" s="113">
        <f t="shared" ca="1" si="14"/>
        <v>333952078.63177437</v>
      </c>
      <c r="L54" s="113">
        <f t="shared" ca="1" si="14"/>
        <v>329389228.40117353</v>
      </c>
      <c r="M54" s="113">
        <f t="shared" ca="1" si="14"/>
        <v>328196661.31323761</v>
      </c>
      <c r="N54" s="113">
        <f t="shared" ca="1" si="14"/>
        <v>324670826.52783751</v>
      </c>
      <c r="O54" s="113">
        <f t="shared" ca="1" si="14"/>
        <v>342867621.60922396</v>
      </c>
      <c r="P54" s="113">
        <f t="shared" ca="1" si="14"/>
        <v>337405639.21588582</v>
      </c>
      <c r="Q54" s="113">
        <f t="shared" ca="1" si="14"/>
        <v>333900222.41283345</v>
      </c>
      <c r="R54" s="113">
        <f t="shared" ca="1" si="14"/>
        <v>330616356.07061118</v>
      </c>
      <c r="S54" s="113">
        <f t="shared" ca="1" si="14"/>
        <v>333399006.91257352</v>
      </c>
      <c r="T54" s="113">
        <f t="shared" ca="1" si="14"/>
        <v>331947185.96569926</v>
      </c>
      <c r="U54" s="113">
        <f t="shared" ca="1" si="14"/>
        <v>339597502.78222072</v>
      </c>
      <c r="V54" s="113">
        <f t="shared" ca="1" si="14"/>
        <v>331148208.37874335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</row>
    <row r="55" spans="1:256" ht="15.6">
      <c r="A55" s="7" t="str">
        <f>A49</f>
        <v>$/MMBtu</v>
      </c>
      <c r="B55"/>
      <c r="C55" s="242">
        <f>'Stratus Report'!B69</f>
        <v>4.1906249999999998</v>
      </c>
      <c r="D55" s="242">
        <f>'Stratus Report'!C69</f>
        <v>3.7718750000000001</v>
      </c>
      <c r="E55" s="242">
        <f>'Stratus Report'!D69</f>
        <v>3.7718750000000001</v>
      </c>
      <c r="F55" s="242">
        <f>'Stratus Report'!E69</f>
        <v>3.7718750000000001</v>
      </c>
      <c r="G55" s="242">
        <f>'Stratus Report'!F69</f>
        <v>3.7718750000000001</v>
      </c>
      <c r="H55" s="242">
        <f>'Stratus Report'!G69</f>
        <v>3.7718750000000001</v>
      </c>
      <c r="I55" s="242">
        <f>'Stratus Report'!H69</f>
        <v>3.7718750000000001</v>
      </c>
      <c r="J55" s="242">
        <f>'Stratus Report'!I69</f>
        <v>3.7718750000000001</v>
      </c>
      <c r="K55" s="242">
        <f>'Stratus Report'!J69</f>
        <v>3.7718750000000001</v>
      </c>
      <c r="L55" s="242">
        <f>'Stratus Report'!K69</f>
        <v>3.7718750000000001</v>
      </c>
      <c r="M55" s="242">
        <f>'Stratus Report'!L69</f>
        <v>3.7718750000000001</v>
      </c>
      <c r="N55" s="242">
        <f>'Stratus Report'!M69</f>
        <v>3.7718750000000001</v>
      </c>
      <c r="O55" s="242">
        <f>'Stratus Report'!N69</f>
        <v>3.7718750000000001</v>
      </c>
      <c r="P55" s="242">
        <f>'Stratus Report'!O69</f>
        <v>3.7718750000000001</v>
      </c>
      <c r="Q55" s="242">
        <f>'Stratus Report'!P69</f>
        <v>3.7718750000000001</v>
      </c>
      <c r="R55" s="242">
        <f>'Stratus Report'!Q69</f>
        <v>3.8739583299999998</v>
      </c>
      <c r="S55" s="242">
        <f>'Stratus Report'!R69</f>
        <v>3.8739583299999998</v>
      </c>
      <c r="T55" s="242">
        <f>'Stratus Report'!S69</f>
        <v>3.8739583299999998</v>
      </c>
      <c r="U55" s="242">
        <f>'Stratus Report'!T69</f>
        <v>3.8739583299999998</v>
      </c>
      <c r="V55" s="242">
        <f>'Stratus Report'!U69</f>
        <v>3.8739583299999998</v>
      </c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</row>
    <row r="56" spans="1:256" ht="15.6">
      <c r="A56" s="7" t="str">
        <f>A50</f>
        <v>Total</v>
      </c>
      <c r="B56"/>
      <c r="C56" s="243">
        <f t="shared" ref="C56:V56" ca="1" si="15">C54*C55/10^6</f>
        <v>525.09746053427273</v>
      </c>
      <c r="D56" s="243">
        <f t="shared" ca="1" si="15"/>
        <v>1336.5911953474831</v>
      </c>
      <c r="E56" s="243">
        <f t="shared" ca="1" si="15"/>
        <v>1268.051462467841</v>
      </c>
      <c r="F56" s="243">
        <f t="shared" ca="1" si="15"/>
        <v>1300.2396519038616</v>
      </c>
      <c r="G56" s="243">
        <f t="shared" ca="1" si="15"/>
        <v>1254.475375759177</v>
      </c>
      <c r="H56" s="243">
        <f t="shared" ca="1" si="15"/>
        <v>1214.3175450131021</v>
      </c>
      <c r="I56" s="243">
        <f t="shared" ca="1" si="15"/>
        <v>1242.2846247831824</v>
      </c>
      <c r="J56" s="243">
        <f t="shared" ca="1" si="15"/>
        <v>1291.9870314284733</v>
      </c>
      <c r="K56" s="243">
        <f t="shared" ca="1" si="15"/>
        <v>1259.6254965892238</v>
      </c>
      <c r="L56" s="243">
        <f t="shared" ca="1" si="15"/>
        <v>1242.4149958756764</v>
      </c>
      <c r="M56" s="243">
        <f t="shared" ca="1" si="15"/>
        <v>1237.9167818908682</v>
      </c>
      <c r="N56" s="243">
        <f t="shared" ca="1" si="15"/>
        <v>1224.6177738096872</v>
      </c>
      <c r="O56" s="243">
        <f t="shared" ca="1" si="15"/>
        <v>1293.2538102572917</v>
      </c>
      <c r="P56" s="243">
        <f t="shared" ca="1" si="15"/>
        <v>1272.6518954174194</v>
      </c>
      <c r="Q56" s="243">
        <f t="shared" ca="1" si="15"/>
        <v>1259.4299014134062</v>
      </c>
      <c r="R56" s="243">
        <f t="shared" ca="1" si="15"/>
        <v>1280.7939866339902</v>
      </c>
      <c r="S56" s="243">
        <f t="shared" ca="1" si="15"/>
        <v>1291.5738600426916</v>
      </c>
      <c r="T56" s="243">
        <f t="shared" ca="1" si="15"/>
        <v>1285.9495661918797</v>
      </c>
      <c r="U56" s="243">
        <f t="shared" ca="1" si="15"/>
        <v>1315.5865747503819</v>
      </c>
      <c r="V56" s="243">
        <f t="shared" ca="1" si="15"/>
        <v>1282.8543603134085</v>
      </c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</row>
    <row r="57" spans="1:256" ht="15.6">
      <c r="A57" s="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</row>
    <row r="58" spans="1:256" ht="15.6">
      <c r="A58" s="7" t="s">
        <v>198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</row>
    <row r="59" spans="1:256" ht="15.6">
      <c r="A59" s="7" t="str">
        <f>A53</f>
        <v>Generation</v>
      </c>
      <c r="B59"/>
      <c r="C59" s="113">
        <f>Spot!C39</f>
        <v>6674.2400329238098</v>
      </c>
      <c r="D59" s="113">
        <f>Spot!D39</f>
        <v>16502.976459697773</v>
      </c>
      <c r="E59" s="113">
        <f>Spot!E39</f>
        <v>21226.839951289778</v>
      </c>
      <c r="F59" s="113">
        <f>Spot!F39</f>
        <v>23186.776450935995</v>
      </c>
      <c r="G59" s="113">
        <f>Spot!G39</f>
        <v>21088.698163549328</v>
      </c>
      <c r="H59" s="113">
        <f>Spot!H39</f>
        <v>19519.960156473771</v>
      </c>
      <c r="I59" s="113">
        <f>Spot!I39</f>
        <v>20963.862352891112</v>
      </c>
      <c r="J59" s="113">
        <f>Spot!J39</f>
        <v>21399.040545751555</v>
      </c>
      <c r="K59" s="113">
        <f>Spot!K39</f>
        <v>21735.431136785333</v>
      </c>
      <c r="L59" s="113">
        <f>Spot!L39</f>
        <v>20645.007416260887</v>
      </c>
      <c r="M59" s="113">
        <f>Spot!M39</f>
        <v>20431.646968522222</v>
      </c>
      <c r="N59" s="113">
        <f>Spot!N39</f>
        <v>20398.210853635999</v>
      </c>
      <c r="O59" s="113">
        <f>Spot!O39</f>
        <v>21003.83933024844</v>
      </c>
      <c r="P59" s="113">
        <f>Spot!P39</f>
        <v>20708.326892907109</v>
      </c>
      <c r="Q59" s="113">
        <f>Spot!Q39</f>
        <v>21368.254783754663</v>
      </c>
      <c r="R59" s="113">
        <f>Spot!R39</f>
        <v>20768.65844956311</v>
      </c>
      <c r="S59" s="113">
        <f>Spot!S39</f>
        <v>21732.950422994218</v>
      </c>
      <c r="T59" s="113">
        <f>Spot!T39</f>
        <v>21504.704764473772</v>
      </c>
      <c r="U59" s="113">
        <f>Spot!U39</f>
        <v>20996.565374281774</v>
      </c>
      <c r="V59" s="113">
        <f>Spot!V39</f>
        <v>20249.355351241335</v>
      </c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</row>
    <row r="60" spans="1:256" ht="15.6">
      <c r="A60" s="7" t="str">
        <f>A54</f>
        <v>Consumption</v>
      </c>
      <c r="B60"/>
      <c r="C60" s="113">
        <f t="shared" ref="C60:V60" ca="1" si="16">C59*C$8</f>
        <v>63932545.275377177</v>
      </c>
      <c r="D60" s="113">
        <f t="shared" ca="1" si="16"/>
        <v>158082011.50744498</v>
      </c>
      <c r="E60" s="113">
        <f t="shared" ca="1" si="16"/>
        <v>203331899.89340478</v>
      </c>
      <c r="F60" s="113">
        <f t="shared" ca="1" si="16"/>
        <v>222106131.6235159</v>
      </c>
      <c r="G60" s="113">
        <f t="shared" ca="1" si="16"/>
        <v>202008639.70863903</v>
      </c>
      <c r="H60" s="113">
        <f t="shared" ca="1" si="16"/>
        <v>186981698.33886227</v>
      </c>
      <c r="I60" s="113">
        <f t="shared" ca="1" si="16"/>
        <v>200812837.47834396</v>
      </c>
      <c r="J60" s="113">
        <f t="shared" ca="1" si="16"/>
        <v>204981409.38775414</v>
      </c>
      <c r="K60" s="113">
        <f t="shared" ca="1" si="16"/>
        <v>208203694.8592667</v>
      </c>
      <c r="L60" s="113">
        <f t="shared" ca="1" si="16"/>
        <v>197758526.04036304</v>
      </c>
      <c r="M60" s="113">
        <f t="shared" ca="1" si="16"/>
        <v>195714746.31147435</v>
      </c>
      <c r="N60" s="113">
        <f t="shared" ca="1" si="16"/>
        <v>195394461.76697925</v>
      </c>
      <c r="O60" s="113">
        <f t="shared" ca="1" si="16"/>
        <v>201195776.94444981</v>
      </c>
      <c r="P60" s="113">
        <f t="shared" ca="1" si="16"/>
        <v>198365063.30715719</v>
      </c>
      <c r="Q60" s="113">
        <f t="shared" ca="1" si="16"/>
        <v>204686512.57358593</v>
      </c>
      <c r="R60" s="113">
        <f t="shared" ca="1" si="16"/>
        <v>198942979.28836504</v>
      </c>
      <c r="S60" s="113">
        <f t="shared" ca="1" si="16"/>
        <v>208179932.1018616</v>
      </c>
      <c r="T60" s="113">
        <f t="shared" ca="1" si="16"/>
        <v>205993566.93889427</v>
      </c>
      <c r="U60" s="113">
        <f t="shared" ca="1" si="16"/>
        <v>201126099.72024512</v>
      </c>
      <c r="V60" s="113">
        <f t="shared" ca="1" si="16"/>
        <v>193968574.90954074</v>
      </c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</row>
    <row r="61" spans="1:256" ht="15.6">
      <c r="A61" s="7" t="str">
        <f>A55</f>
        <v>$/MMBtu</v>
      </c>
      <c r="B61"/>
      <c r="C61" s="242">
        <f>'Stratus Report'!B70</f>
        <v>4.2416666699999999</v>
      </c>
      <c r="D61" s="242">
        <f>'Stratus Report'!C70</f>
        <v>3.8177083299999999</v>
      </c>
      <c r="E61" s="242">
        <f>'Stratus Report'!D70</f>
        <v>3.8177083299999999</v>
      </c>
      <c r="F61" s="242">
        <f>'Stratus Report'!E70</f>
        <v>3.8177083299999999</v>
      </c>
      <c r="G61" s="242">
        <f>'Stratus Report'!F70</f>
        <v>3.8177083299999999</v>
      </c>
      <c r="H61" s="242">
        <f>'Stratus Report'!G70</f>
        <v>3.8177083299999999</v>
      </c>
      <c r="I61" s="242">
        <f>'Stratus Report'!H70</f>
        <v>3.8177083299999999</v>
      </c>
      <c r="J61" s="242">
        <f>'Stratus Report'!I70</f>
        <v>3.8177083299999999</v>
      </c>
      <c r="K61" s="242">
        <f>'Stratus Report'!J70</f>
        <v>3.8177083299999999</v>
      </c>
      <c r="L61" s="242">
        <f>'Stratus Report'!K70</f>
        <v>3.8177083299999999</v>
      </c>
      <c r="M61" s="242">
        <f>'Stratus Report'!L70</f>
        <v>3.8177083299999999</v>
      </c>
      <c r="N61" s="242">
        <f>'Stratus Report'!M70</f>
        <v>3.8177083299999999</v>
      </c>
      <c r="O61" s="242">
        <f>'Stratus Report'!N70</f>
        <v>3.8177083299999999</v>
      </c>
      <c r="P61" s="242">
        <f>'Stratus Report'!O70</f>
        <v>3.8177083299999999</v>
      </c>
      <c r="Q61" s="242">
        <f>'Stratus Report'!P70</f>
        <v>3.8177083299999999</v>
      </c>
      <c r="R61" s="242">
        <f>'Stratus Report'!Q70</f>
        <v>3.91979167</v>
      </c>
      <c r="S61" s="242">
        <f>'Stratus Report'!R70</f>
        <v>3.91979167</v>
      </c>
      <c r="T61" s="242">
        <f>'Stratus Report'!S70</f>
        <v>3.91979167</v>
      </c>
      <c r="U61" s="242">
        <f>'Stratus Report'!T70</f>
        <v>3.91979167</v>
      </c>
      <c r="V61" s="242">
        <f>'Stratus Report'!U70</f>
        <v>3.91979167</v>
      </c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</row>
    <row r="62" spans="1:256" ht="15.6">
      <c r="A62" s="7" t="str">
        <f>A56</f>
        <v>Total</v>
      </c>
      <c r="B62"/>
      <c r="C62" s="243">
        <f t="shared" ref="C62:V62" ca="1" si="17">C60*C61/10^6</f>
        <v>271.18054642283334</v>
      </c>
      <c r="D62" s="243">
        <f t="shared" ca="1" si="17"/>
        <v>603.51101215512847</v>
      </c>
      <c r="E62" s="243">
        <f t="shared" ca="1" si="17"/>
        <v>776.26188797777752</v>
      </c>
      <c r="F62" s="243">
        <f t="shared" ca="1" si="17"/>
        <v>847.93642884317308</v>
      </c>
      <c r="G62" s="243">
        <f t="shared" ca="1" si="17"/>
        <v>771.21006654763994</v>
      </c>
      <c r="H62" s="243">
        <f t="shared" ca="1" si="17"/>
        <v>713.84158730582169</v>
      </c>
      <c r="I62" s="243">
        <f t="shared" ca="1" si="17"/>
        <v>766.64484241201001</v>
      </c>
      <c r="J62" s="243">
        <f t="shared" ca="1" si="17"/>
        <v>782.5592341147692</v>
      </c>
      <c r="K62" s="243">
        <f t="shared" ca="1" si="17"/>
        <v>794.86098020100053</v>
      </c>
      <c r="L62" s="243">
        <f t="shared" ca="1" si="17"/>
        <v>754.98437219281595</v>
      </c>
      <c r="M62" s="243">
        <f t="shared" ca="1" si="17"/>
        <v>747.18181729715241</v>
      </c>
      <c r="N62" s="243">
        <f t="shared" ca="1" si="17"/>
        <v>745.95906432366314</v>
      </c>
      <c r="O62" s="243">
        <f t="shared" ca="1" si="17"/>
        <v>768.10679360164795</v>
      </c>
      <c r="P62" s="243">
        <f t="shared" ca="1" si="17"/>
        <v>757.29995456871131</v>
      </c>
      <c r="Q62" s="243">
        <f t="shared" ca="1" si="17"/>
        <v>781.43340409082862</v>
      </c>
      <c r="R62" s="243">
        <f t="shared" ca="1" si="17"/>
        <v>779.81503301951579</v>
      </c>
      <c r="S62" s="243">
        <f t="shared" ca="1" si="17"/>
        <v>816.02196371404261</v>
      </c>
      <c r="T62" s="243">
        <f t="shared" ca="1" si="17"/>
        <v>807.45186776066521</v>
      </c>
      <c r="U62" s="243">
        <f t="shared" ca="1" si="17"/>
        <v>788.37241030300618</v>
      </c>
      <c r="V62" s="243">
        <f t="shared" ca="1" si="17"/>
        <v>760.31640417218875</v>
      </c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</row>
    <row r="63" spans="1:256" ht="15.6">
      <c r="A63" s="7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</row>
    <row r="64" spans="1:256" ht="15.6">
      <c r="A64" s="7" t="s">
        <v>199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</row>
    <row r="65" spans="1:256" ht="15.6">
      <c r="A65" s="7" t="str">
        <f>A59</f>
        <v>Generation</v>
      </c>
      <c r="B65"/>
      <c r="C65" s="113">
        <f>Spot!C43</f>
        <v>1294.1987357079365</v>
      </c>
      <c r="D65" s="113">
        <f>Spot!D43</f>
        <v>6583.7917599191105</v>
      </c>
      <c r="E65" s="113">
        <f>Spot!E43</f>
        <v>5314.8629059617779</v>
      </c>
      <c r="F65" s="113">
        <f>Spot!F43</f>
        <v>4817.0515031333325</v>
      </c>
      <c r="G65" s="113">
        <f>Spot!G43</f>
        <v>3729.7611841839989</v>
      </c>
      <c r="H65" s="113">
        <f>Spot!H43</f>
        <v>3662.9201713035541</v>
      </c>
      <c r="I65" s="113">
        <f>Spot!I43</f>
        <v>3790.6623295395557</v>
      </c>
      <c r="J65" s="113">
        <f>Spot!J43</f>
        <v>3914.1586886795549</v>
      </c>
      <c r="K65" s="113">
        <f>Spot!K43</f>
        <v>3845.8319359662219</v>
      </c>
      <c r="L65" s="113">
        <f>Spot!L43</f>
        <v>3645.9429178946666</v>
      </c>
      <c r="M65" s="113">
        <f>Spot!M43</f>
        <v>3440.115039231111</v>
      </c>
      <c r="N65" s="113">
        <f>Spot!N43</f>
        <v>3391.096890362222</v>
      </c>
      <c r="O65" s="113">
        <f>Spot!O43</f>
        <v>3704.2983593871108</v>
      </c>
      <c r="P65" s="113">
        <f>Spot!P43</f>
        <v>3679.8951228697779</v>
      </c>
      <c r="Q65" s="113">
        <f>Spot!Q43</f>
        <v>3645.732708572888</v>
      </c>
      <c r="R65" s="113">
        <f>Spot!R43</f>
        <v>3006.3872695857776</v>
      </c>
      <c r="S65" s="113">
        <f>Spot!S43</f>
        <v>2847.4520869137777</v>
      </c>
      <c r="T65" s="113">
        <f>Spot!T43</f>
        <v>2945.6982172364442</v>
      </c>
      <c r="U65" s="113">
        <f>Spot!U43</f>
        <v>3064.9533809657773</v>
      </c>
      <c r="V65" s="113">
        <f>Spot!V43</f>
        <v>3045.4302136284446</v>
      </c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</row>
    <row r="66" spans="1:256" ht="15.6">
      <c r="A66" s="7" t="str">
        <f>A60</f>
        <v>Consumption</v>
      </c>
      <c r="B66"/>
      <c r="C66" s="113">
        <f t="shared" ref="C66:V66" ca="1" si="18">C65*C$8</f>
        <v>12397129.689346325</v>
      </c>
      <c r="D66" s="113">
        <f t="shared" ca="1" si="18"/>
        <v>63066141.268265158</v>
      </c>
      <c r="E66" s="113">
        <f t="shared" ca="1" si="18"/>
        <v>50911071.776207872</v>
      </c>
      <c r="F66" s="113">
        <f t="shared" ca="1" si="18"/>
        <v>46142536.348514192</v>
      </c>
      <c r="G66" s="113">
        <f t="shared" ca="1" si="18"/>
        <v>35727382.383298524</v>
      </c>
      <c r="H66" s="113">
        <f t="shared" ca="1" si="18"/>
        <v>35087112.320916742</v>
      </c>
      <c r="I66" s="113">
        <f t="shared" ca="1" si="18"/>
        <v>36310754.454659402</v>
      </c>
      <c r="J66" s="113">
        <f t="shared" ca="1" si="18"/>
        <v>37493726.078861453</v>
      </c>
      <c r="K66" s="113">
        <f t="shared" ca="1" si="18"/>
        <v>36839224.11462044</v>
      </c>
      <c r="L66" s="113">
        <f t="shared" ca="1" si="18"/>
        <v>34924487.210513011</v>
      </c>
      <c r="M66" s="113">
        <f t="shared" ca="1" si="18"/>
        <v>32952861.960794814</v>
      </c>
      <c r="N66" s="113">
        <f t="shared" ca="1" si="18"/>
        <v>32483317.112779725</v>
      </c>
      <c r="O66" s="113">
        <f t="shared" ca="1" si="18"/>
        <v>35483473.984569132</v>
      </c>
      <c r="P66" s="113">
        <f t="shared" ca="1" si="18"/>
        <v>35249715.381969601</v>
      </c>
      <c r="Q66" s="113">
        <f t="shared" ca="1" si="18"/>
        <v>34922473.615419693</v>
      </c>
      <c r="R66" s="113">
        <f t="shared" ca="1" si="18"/>
        <v>28798183.655362163</v>
      </c>
      <c r="S66" s="113">
        <f t="shared" ca="1" si="18"/>
        <v>27275743.540547077</v>
      </c>
      <c r="T66" s="113">
        <f t="shared" ca="1" si="18"/>
        <v>28216843.222907897</v>
      </c>
      <c r="U66" s="113">
        <f t="shared" ca="1" si="18"/>
        <v>29359188.436271179</v>
      </c>
      <c r="V66" s="113">
        <f t="shared" ca="1" si="18"/>
        <v>29172176.016346872</v>
      </c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</row>
    <row r="67" spans="1:256" ht="15.6">
      <c r="A67" s="7" t="str">
        <f>A61</f>
        <v>$/MMBtu</v>
      </c>
      <c r="B67"/>
      <c r="C67" s="242">
        <f>'Stratus Report'!B71</f>
        <v>4.1968750000000004</v>
      </c>
      <c r="D67" s="242">
        <f>'Stratus Report'!C71</f>
        <v>3.7781250000000002</v>
      </c>
      <c r="E67" s="242">
        <f>'Stratus Report'!D71</f>
        <v>3.7781250000000002</v>
      </c>
      <c r="F67" s="242">
        <f>'Stratus Report'!E71</f>
        <v>3.7781250000000002</v>
      </c>
      <c r="G67" s="242">
        <f>'Stratus Report'!F71</f>
        <v>3.7781250000000002</v>
      </c>
      <c r="H67" s="242">
        <f>'Stratus Report'!G71</f>
        <v>3.7781250000000002</v>
      </c>
      <c r="I67" s="242">
        <f>'Stratus Report'!H71</f>
        <v>3.7781250000000002</v>
      </c>
      <c r="J67" s="242">
        <f>'Stratus Report'!I71</f>
        <v>3.7781250000000002</v>
      </c>
      <c r="K67" s="242">
        <f>'Stratus Report'!J71</f>
        <v>3.7781250000000002</v>
      </c>
      <c r="L67" s="242">
        <f>'Stratus Report'!K71</f>
        <v>3.7781250000000002</v>
      </c>
      <c r="M67" s="242">
        <f>'Stratus Report'!L71</f>
        <v>3.7781250000000002</v>
      </c>
      <c r="N67" s="242">
        <f>'Stratus Report'!M71</f>
        <v>3.7781250000000002</v>
      </c>
      <c r="O67" s="242">
        <f>'Stratus Report'!N71</f>
        <v>3.7781250000000002</v>
      </c>
      <c r="P67" s="242">
        <f>'Stratus Report'!O71</f>
        <v>3.7781250000000002</v>
      </c>
      <c r="Q67" s="242">
        <f>'Stratus Report'!P71</f>
        <v>3.7781250000000002</v>
      </c>
      <c r="R67" s="242">
        <f>'Stratus Report'!Q71</f>
        <v>3.8802083299999999</v>
      </c>
      <c r="S67" s="242">
        <f>'Stratus Report'!R71</f>
        <v>3.8802083299999999</v>
      </c>
      <c r="T67" s="242">
        <f>'Stratus Report'!S71</f>
        <v>3.8802083299999999</v>
      </c>
      <c r="U67" s="242">
        <f>'Stratus Report'!T71</f>
        <v>3.8802083299999999</v>
      </c>
      <c r="V67" s="242">
        <f>'Stratus Report'!U71</f>
        <v>3.8802083299999999</v>
      </c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</row>
    <row r="68" spans="1:256" ht="15.6">
      <c r="A68" s="7" t="str">
        <f>A62</f>
        <v>Total</v>
      </c>
      <c r="B68"/>
      <c r="C68" s="243">
        <f t="shared" ref="C68:V68" ca="1" si="19">C66*C67/10^6</f>
        <v>52.029203664975363</v>
      </c>
      <c r="D68" s="243">
        <f t="shared" ca="1" si="19"/>
        <v>238.27176497916429</v>
      </c>
      <c r="E68" s="243">
        <f t="shared" ca="1" si="19"/>
        <v>192.34839305448537</v>
      </c>
      <c r="F68" s="243">
        <f t="shared" ca="1" si="19"/>
        <v>174.33227014173019</v>
      </c>
      <c r="G68" s="243">
        <f t="shared" ca="1" si="19"/>
        <v>134.98251656689973</v>
      </c>
      <c r="H68" s="243">
        <f t="shared" ca="1" si="19"/>
        <v>132.56349623746357</v>
      </c>
      <c r="I68" s="243">
        <f t="shared" ca="1" si="19"/>
        <v>137.18656917401006</v>
      </c>
      <c r="J68" s="243">
        <f t="shared" ca="1" si="19"/>
        <v>141.65598384169843</v>
      </c>
      <c r="K68" s="243">
        <f t="shared" ca="1" si="19"/>
        <v>139.18319360805035</v>
      </c>
      <c r="L68" s="243">
        <f t="shared" ca="1" si="19"/>
        <v>131.94907824221949</v>
      </c>
      <c r="M68" s="243">
        <f t="shared" ca="1" si="19"/>
        <v>124.50003159562792</v>
      </c>
      <c r="N68" s="243">
        <f t="shared" ca="1" si="19"/>
        <v>122.72603246672091</v>
      </c>
      <c r="O68" s="243">
        <f t="shared" ca="1" si="19"/>
        <v>134.06100014795027</v>
      </c>
      <c r="P68" s="243">
        <f t="shared" ca="1" si="19"/>
        <v>133.17783092750389</v>
      </c>
      <c r="Q68" s="243">
        <f t="shared" ca="1" si="19"/>
        <v>131.94147062825752</v>
      </c>
      <c r="R68" s="243">
        <f t="shared" ca="1" si="19"/>
        <v>111.74295210840612</v>
      </c>
      <c r="S68" s="243">
        <f t="shared" ca="1" si="19"/>
        <v>105.83556729297446</v>
      </c>
      <c r="T68" s="243">
        <f t="shared" ca="1" si="19"/>
        <v>109.48723011983127</v>
      </c>
      <c r="U68" s="243">
        <f t="shared" ca="1" si="19"/>
        <v>113.91976753245909</v>
      </c>
      <c r="V68" s="243">
        <f t="shared" ca="1" si="19"/>
        <v>113.19412038285535</v>
      </c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</row>
    <row r="69" spans="1:256" ht="15.6">
      <c r="A69" s="7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</row>
    <row r="70" spans="1:256" ht="15.6">
      <c r="A70" s="7" t="s">
        <v>200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</row>
    <row r="71" spans="1:256" ht="15.6">
      <c r="A71" s="7" t="str">
        <f>A65</f>
        <v>Generation</v>
      </c>
      <c r="B71"/>
      <c r="C71" s="113">
        <f>Spot!C47</f>
        <v>2668.217281431746</v>
      </c>
      <c r="D71" s="113">
        <f>Spot!D47</f>
        <v>8734.3407333435534</v>
      </c>
      <c r="E71" s="113">
        <f>Spot!E47</f>
        <v>8487.9816993315544</v>
      </c>
      <c r="F71" s="113">
        <f>Spot!F47</f>
        <v>8337.4300071439993</v>
      </c>
      <c r="G71" s="113">
        <f>Spot!G47</f>
        <v>8546.1761982333319</v>
      </c>
      <c r="H71" s="113">
        <f>Spot!H47</f>
        <v>8335.2542727128857</v>
      </c>
      <c r="I71" s="113">
        <f>Spot!I47</f>
        <v>8111.6004431622232</v>
      </c>
      <c r="J71" s="113">
        <f>Spot!J47</f>
        <v>8091.0709731319994</v>
      </c>
      <c r="K71" s="113">
        <f>Spot!K47</f>
        <v>8056.8533905502209</v>
      </c>
      <c r="L71" s="113">
        <f>Spot!L47</f>
        <v>8230.2170141955557</v>
      </c>
      <c r="M71" s="113">
        <f>Spot!M47</f>
        <v>8417.2674012404441</v>
      </c>
      <c r="N71" s="113">
        <f>Spot!N47</f>
        <v>8202.2082764564439</v>
      </c>
      <c r="O71" s="113">
        <f>Spot!O47</f>
        <v>8015.7944514759993</v>
      </c>
      <c r="P71" s="113">
        <f>Spot!P47</f>
        <v>7995.2636322937778</v>
      </c>
      <c r="Q71" s="113">
        <f>Spot!Q47</f>
        <v>7981.5768698804441</v>
      </c>
      <c r="R71" s="113">
        <f>Spot!R47</f>
        <v>7520.6351461640015</v>
      </c>
      <c r="S71" s="113">
        <f>Spot!S47</f>
        <v>7520.6351461639979</v>
      </c>
      <c r="T71" s="113">
        <f>Spot!T47</f>
        <v>7349.7116207199988</v>
      </c>
      <c r="U71" s="113">
        <f>Spot!U47</f>
        <v>7342.8675639511112</v>
      </c>
      <c r="V71" s="113">
        <f>Spot!V47</f>
        <v>7342.8675639511112</v>
      </c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</row>
    <row r="72" spans="1:256" ht="15.6">
      <c r="A72" s="7" t="str">
        <f>A66</f>
        <v>Consumption</v>
      </c>
      <c r="B72"/>
      <c r="C72" s="113">
        <f t="shared" ref="C72:V72" ca="1" si="20">C71*C$8</f>
        <v>25558853.338834696</v>
      </c>
      <c r="D72" s="113">
        <f t="shared" ca="1" si="20"/>
        <v>83666249.884697899</v>
      </c>
      <c r="E72" s="113">
        <f t="shared" ca="1" si="20"/>
        <v>81306376.697896957</v>
      </c>
      <c r="F72" s="113">
        <f t="shared" ca="1" si="20"/>
        <v>79864242.038432375</v>
      </c>
      <c r="G72" s="113">
        <f t="shared" ca="1" si="20"/>
        <v>81863821.802877083</v>
      </c>
      <c r="H72" s="113">
        <f t="shared" ca="1" si="20"/>
        <v>79843400.678316727</v>
      </c>
      <c r="I72" s="113">
        <f t="shared" ca="1" si="20"/>
        <v>77701020.645050943</v>
      </c>
      <c r="J72" s="113">
        <f t="shared" ca="1" si="20"/>
        <v>77504368.851631418</v>
      </c>
      <c r="K72" s="113">
        <f t="shared" ca="1" si="20"/>
        <v>77176598.628080562</v>
      </c>
      <c r="L72" s="113">
        <f t="shared" ca="1" si="20"/>
        <v>78837248.778979227</v>
      </c>
      <c r="M72" s="113">
        <f t="shared" ca="1" si="20"/>
        <v>80629004.436482221</v>
      </c>
      <c r="N72" s="113">
        <f t="shared" ca="1" si="20"/>
        <v>78568953.080176279</v>
      </c>
      <c r="O72" s="113">
        <f t="shared" ca="1" si="20"/>
        <v>76783295.050688595</v>
      </c>
      <c r="P72" s="113">
        <f t="shared" ca="1" si="20"/>
        <v>76586630.333742097</v>
      </c>
      <c r="Q72" s="113">
        <f t="shared" ca="1" si="20"/>
        <v>76455524.836584777</v>
      </c>
      <c r="R72" s="113">
        <f t="shared" ca="1" si="20"/>
        <v>72040164.065104976</v>
      </c>
      <c r="S72" s="113">
        <f t="shared" ca="1" si="20"/>
        <v>72040164.065104932</v>
      </c>
      <c r="T72" s="113">
        <f t="shared" ca="1" si="20"/>
        <v>70402887.614876866</v>
      </c>
      <c r="U72" s="113">
        <f t="shared" ca="1" si="20"/>
        <v>70337328.395087689</v>
      </c>
      <c r="V72" s="113">
        <f t="shared" ca="1" si="20"/>
        <v>70337328.395087689</v>
      </c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</row>
    <row r="73" spans="1:256" ht="15.6">
      <c r="A73" s="7" t="str">
        <f>A67</f>
        <v>$/MMBtu</v>
      </c>
      <c r="B73"/>
      <c r="C73" s="242">
        <f>'Stratus Report'!B72</f>
        <v>4.1968750000000004</v>
      </c>
      <c r="D73" s="242">
        <f>'Stratus Report'!C72</f>
        <v>3.7781250000000002</v>
      </c>
      <c r="E73" s="242">
        <f>'Stratus Report'!D72</f>
        <v>3.7781250000000002</v>
      </c>
      <c r="F73" s="242">
        <f>'Stratus Report'!E72</f>
        <v>3.7781250000000002</v>
      </c>
      <c r="G73" s="242">
        <f>'Stratus Report'!F72</f>
        <v>3.7781250000000002</v>
      </c>
      <c r="H73" s="242">
        <f>'Stratus Report'!G72</f>
        <v>3.7781250000000002</v>
      </c>
      <c r="I73" s="242">
        <f>'Stratus Report'!H72</f>
        <v>3.7781250000000002</v>
      </c>
      <c r="J73" s="242">
        <f>'Stratus Report'!I72</f>
        <v>3.7781250000000002</v>
      </c>
      <c r="K73" s="242">
        <f>'Stratus Report'!J72</f>
        <v>3.7781250000000002</v>
      </c>
      <c r="L73" s="242">
        <f>'Stratus Report'!K72</f>
        <v>3.7781250000000002</v>
      </c>
      <c r="M73" s="242">
        <f>'Stratus Report'!L72</f>
        <v>3.7781250000000002</v>
      </c>
      <c r="N73" s="242">
        <f>'Stratus Report'!M72</f>
        <v>3.7781250000000002</v>
      </c>
      <c r="O73" s="242">
        <f>'Stratus Report'!N72</f>
        <v>3.7781250000000002</v>
      </c>
      <c r="P73" s="242">
        <f>'Stratus Report'!O72</f>
        <v>3.7781250000000002</v>
      </c>
      <c r="Q73" s="242">
        <f>'Stratus Report'!P72</f>
        <v>3.7781250000000002</v>
      </c>
      <c r="R73" s="242">
        <f>'Stratus Report'!Q72</f>
        <v>3.8802083299999999</v>
      </c>
      <c r="S73" s="242">
        <f>'Stratus Report'!R72</f>
        <v>3.8802083299999999</v>
      </c>
      <c r="T73" s="242">
        <f>'Stratus Report'!S72</f>
        <v>3.8802083299999999</v>
      </c>
      <c r="U73" s="242">
        <f>'Stratus Report'!T72</f>
        <v>3.8802083299999999</v>
      </c>
      <c r="V73" s="242">
        <f>'Stratus Report'!U72</f>
        <v>3.8802083299999999</v>
      </c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</row>
    <row r="74" spans="1:256" ht="15.6">
      <c r="A74" s="7" t="str">
        <f>A68</f>
        <v>Total</v>
      </c>
      <c r="B74"/>
      <c r="C74" s="243">
        <f t="shared" ref="C74:V74" ca="1" si="21">C72*C73/10^6</f>
        <v>107.26731260642187</v>
      </c>
      <c r="D74" s="243">
        <f t="shared" ca="1" si="21"/>
        <v>316.10155034562428</v>
      </c>
      <c r="E74" s="243">
        <f t="shared" ca="1" si="21"/>
        <v>307.18565446174199</v>
      </c>
      <c r="F74" s="243">
        <f t="shared" ca="1" si="21"/>
        <v>301.73708945145233</v>
      </c>
      <c r="G74" s="243">
        <f t="shared" ca="1" si="21"/>
        <v>309.29175174899501</v>
      </c>
      <c r="H74" s="243">
        <f t="shared" ca="1" si="21"/>
        <v>301.6583481877654</v>
      </c>
      <c r="I74" s="243">
        <f t="shared" ca="1" si="21"/>
        <v>293.56416862458315</v>
      </c>
      <c r="J74" s="243">
        <f t="shared" ca="1" si="21"/>
        <v>292.82119356756999</v>
      </c>
      <c r="K74" s="243">
        <f t="shared" ca="1" si="21"/>
        <v>291.58283669171692</v>
      </c>
      <c r="L74" s="243">
        <f t="shared" ca="1" si="21"/>
        <v>297.85698054308091</v>
      </c>
      <c r="M74" s="243">
        <f t="shared" ca="1" si="21"/>
        <v>304.62645738658438</v>
      </c>
      <c r="N74" s="243">
        <f t="shared" ca="1" si="21"/>
        <v>296.84332585604102</v>
      </c>
      <c r="O74" s="243">
        <f t="shared" ca="1" si="21"/>
        <v>290.09688661338288</v>
      </c>
      <c r="P74" s="243">
        <f t="shared" ca="1" si="21"/>
        <v>289.3538627296694</v>
      </c>
      <c r="Q74" s="243">
        <f t="shared" ca="1" si="21"/>
        <v>288.85852977322185</v>
      </c>
      <c r="R74" s="243">
        <f t="shared" ca="1" si="21"/>
        <v>279.53084469998697</v>
      </c>
      <c r="S74" s="243">
        <f t="shared" ca="1" si="21"/>
        <v>279.5308446999868</v>
      </c>
      <c r="T74" s="243">
        <f t="shared" ca="1" si="21"/>
        <v>273.17787097929909</v>
      </c>
      <c r="U74" s="243">
        <f t="shared" ca="1" si="21"/>
        <v>272.92348754856476</v>
      </c>
      <c r="V74" s="243">
        <f t="shared" ca="1" si="21"/>
        <v>272.92348754856476</v>
      </c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</row>
    <row r="75" spans="1:256" ht="15.6">
      <c r="A75" s="7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</row>
    <row r="76" spans="1:256" ht="15.6">
      <c r="A76" s="7" t="s">
        <v>201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</row>
    <row r="77" spans="1:256" ht="15.6">
      <c r="A77" s="7" t="str">
        <f>A71</f>
        <v>Generation</v>
      </c>
      <c r="B77"/>
      <c r="C77" s="113">
        <f>Spot!C51</f>
        <v>2668.217281431746</v>
      </c>
      <c r="D77" s="113">
        <f>Spot!D51</f>
        <v>8734.3407333435534</v>
      </c>
      <c r="E77" s="113">
        <f>Spot!E51</f>
        <v>8487.9816993315544</v>
      </c>
      <c r="F77" s="113">
        <f>Spot!F51</f>
        <v>8337.4300071439993</v>
      </c>
      <c r="G77" s="113">
        <f>Spot!G51</f>
        <v>8546.1761982333319</v>
      </c>
      <c r="H77" s="113">
        <f>Spot!H51</f>
        <v>8335.2542727128857</v>
      </c>
      <c r="I77" s="113">
        <f>Spot!I51</f>
        <v>8111.6004431622232</v>
      </c>
      <c r="J77" s="113">
        <f>Spot!J51</f>
        <v>8091.0709731319994</v>
      </c>
      <c r="K77" s="113">
        <f>Spot!K51</f>
        <v>8056.8533905502209</v>
      </c>
      <c r="L77" s="113">
        <f>Spot!L51</f>
        <v>8230.2170141955557</v>
      </c>
      <c r="M77" s="113">
        <f>Spot!M51</f>
        <v>8417.2674012404441</v>
      </c>
      <c r="N77" s="113">
        <f>Spot!N51</f>
        <v>8202.2082764564439</v>
      </c>
      <c r="O77" s="113">
        <f>Spot!O51</f>
        <v>8015.7944514759993</v>
      </c>
      <c r="P77" s="113">
        <f>Spot!P51</f>
        <v>7995.2636322937778</v>
      </c>
      <c r="Q77" s="113">
        <f>Spot!Q51</f>
        <v>7981.5768698804441</v>
      </c>
      <c r="R77" s="113">
        <f>Spot!R51</f>
        <v>7520.6351461640015</v>
      </c>
      <c r="S77" s="113">
        <f>Spot!S51</f>
        <v>7520.6351461639979</v>
      </c>
      <c r="T77" s="113">
        <f>Spot!T51</f>
        <v>7349.7116207199988</v>
      </c>
      <c r="U77" s="113">
        <f>Spot!U51</f>
        <v>7342.8675639511112</v>
      </c>
      <c r="V77" s="113">
        <f>Spot!V51</f>
        <v>7342.8675639511112</v>
      </c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</row>
    <row r="78" spans="1:256" ht="15.6">
      <c r="A78" s="7" t="str">
        <f>A72</f>
        <v>Consumption</v>
      </c>
      <c r="B78"/>
      <c r="C78" s="113">
        <f t="shared" ref="C78:V78" ca="1" si="22">C77*C$8</f>
        <v>25558853.338834696</v>
      </c>
      <c r="D78" s="113">
        <f t="shared" ca="1" si="22"/>
        <v>83666249.884697899</v>
      </c>
      <c r="E78" s="113">
        <f t="shared" ca="1" si="22"/>
        <v>81306376.697896957</v>
      </c>
      <c r="F78" s="113">
        <f t="shared" ca="1" si="22"/>
        <v>79864242.038432375</v>
      </c>
      <c r="G78" s="113">
        <f t="shared" ca="1" si="22"/>
        <v>81863821.802877083</v>
      </c>
      <c r="H78" s="113">
        <f t="shared" ca="1" si="22"/>
        <v>79843400.678316727</v>
      </c>
      <c r="I78" s="113">
        <f t="shared" ca="1" si="22"/>
        <v>77701020.645050943</v>
      </c>
      <c r="J78" s="113">
        <f t="shared" ca="1" si="22"/>
        <v>77504368.851631418</v>
      </c>
      <c r="K78" s="113">
        <f t="shared" ca="1" si="22"/>
        <v>77176598.628080562</v>
      </c>
      <c r="L78" s="113">
        <f t="shared" ca="1" si="22"/>
        <v>78837248.778979227</v>
      </c>
      <c r="M78" s="113">
        <f t="shared" ca="1" si="22"/>
        <v>80629004.436482221</v>
      </c>
      <c r="N78" s="113">
        <f t="shared" ca="1" si="22"/>
        <v>78568953.080176279</v>
      </c>
      <c r="O78" s="113">
        <f t="shared" ca="1" si="22"/>
        <v>76783295.050688595</v>
      </c>
      <c r="P78" s="113">
        <f t="shared" ca="1" si="22"/>
        <v>76586630.333742097</v>
      </c>
      <c r="Q78" s="113">
        <f t="shared" ca="1" si="22"/>
        <v>76455524.836584777</v>
      </c>
      <c r="R78" s="113">
        <f t="shared" ca="1" si="22"/>
        <v>72040164.065104976</v>
      </c>
      <c r="S78" s="113">
        <f t="shared" ca="1" si="22"/>
        <v>72040164.065104932</v>
      </c>
      <c r="T78" s="113">
        <f t="shared" ca="1" si="22"/>
        <v>70402887.614876866</v>
      </c>
      <c r="U78" s="113">
        <f t="shared" ca="1" si="22"/>
        <v>70337328.395087689</v>
      </c>
      <c r="V78" s="113">
        <f t="shared" ca="1" si="22"/>
        <v>70337328.395087689</v>
      </c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</row>
    <row r="79" spans="1:256" ht="15.6">
      <c r="A79" s="7" t="str">
        <f>A73</f>
        <v>$/MMBtu</v>
      </c>
      <c r="B79"/>
      <c r="C79" s="242">
        <f>'Stratus Report'!B73</f>
        <v>4.1968750000000004</v>
      </c>
      <c r="D79" s="242">
        <f>'Stratus Report'!C73</f>
        <v>3.7781250000000002</v>
      </c>
      <c r="E79" s="242">
        <f>'Stratus Report'!D73</f>
        <v>3.7781250000000002</v>
      </c>
      <c r="F79" s="242">
        <f>'Stratus Report'!E73</f>
        <v>3.7781250000000002</v>
      </c>
      <c r="G79" s="242">
        <f>'Stratus Report'!F73</f>
        <v>3.7781250000000002</v>
      </c>
      <c r="H79" s="242">
        <f>'Stratus Report'!G73</f>
        <v>3.7781250000000002</v>
      </c>
      <c r="I79" s="242">
        <f>'Stratus Report'!H73</f>
        <v>3.7781250000000002</v>
      </c>
      <c r="J79" s="242">
        <f>'Stratus Report'!I73</f>
        <v>3.7781250000000002</v>
      </c>
      <c r="K79" s="242">
        <f>'Stratus Report'!J73</f>
        <v>3.7781250000000002</v>
      </c>
      <c r="L79" s="242">
        <f>'Stratus Report'!K73</f>
        <v>3.7781250000000002</v>
      </c>
      <c r="M79" s="242">
        <f>'Stratus Report'!L73</f>
        <v>3.7781250000000002</v>
      </c>
      <c r="N79" s="242">
        <f>'Stratus Report'!M73</f>
        <v>3.7781250000000002</v>
      </c>
      <c r="O79" s="242">
        <f>'Stratus Report'!N73</f>
        <v>3.7781250000000002</v>
      </c>
      <c r="P79" s="242">
        <f>'Stratus Report'!O73</f>
        <v>3.7781250000000002</v>
      </c>
      <c r="Q79" s="242">
        <f>'Stratus Report'!P73</f>
        <v>3.7781250000000002</v>
      </c>
      <c r="R79" s="242">
        <f>'Stratus Report'!Q73</f>
        <v>3.8802083299999999</v>
      </c>
      <c r="S79" s="242">
        <f>'Stratus Report'!R73</f>
        <v>3.8802083299999999</v>
      </c>
      <c r="T79" s="242">
        <f>'Stratus Report'!S73</f>
        <v>3.8802083299999999</v>
      </c>
      <c r="U79" s="242">
        <f>'Stratus Report'!T73</f>
        <v>3.8802083299999999</v>
      </c>
      <c r="V79" s="242">
        <f>'Stratus Report'!U73</f>
        <v>3.8802083299999999</v>
      </c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</row>
    <row r="80" spans="1:256" ht="15.6">
      <c r="A80" s="7" t="str">
        <f>A74</f>
        <v>Total</v>
      </c>
      <c r="B80"/>
      <c r="C80" s="243">
        <f t="shared" ref="C80:V80" ca="1" si="23">C78*C79/10^6</f>
        <v>107.26731260642187</v>
      </c>
      <c r="D80" s="243">
        <f t="shared" ca="1" si="23"/>
        <v>316.10155034562428</v>
      </c>
      <c r="E80" s="243">
        <f t="shared" ca="1" si="23"/>
        <v>307.18565446174199</v>
      </c>
      <c r="F80" s="243">
        <f t="shared" ca="1" si="23"/>
        <v>301.73708945145233</v>
      </c>
      <c r="G80" s="243">
        <f t="shared" ca="1" si="23"/>
        <v>309.29175174899501</v>
      </c>
      <c r="H80" s="243">
        <f t="shared" ca="1" si="23"/>
        <v>301.6583481877654</v>
      </c>
      <c r="I80" s="243">
        <f t="shared" ca="1" si="23"/>
        <v>293.56416862458315</v>
      </c>
      <c r="J80" s="243">
        <f t="shared" ca="1" si="23"/>
        <v>292.82119356756999</v>
      </c>
      <c r="K80" s="243">
        <f t="shared" ca="1" si="23"/>
        <v>291.58283669171692</v>
      </c>
      <c r="L80" s="243">
        <f t="shared" ca="1" si="23"/>
        <v>297.85698054308091</v>
      </c>
      <c r="M80" s="243">
        <f t="shared" ca="1" si="23"/>
        <v>304.62645738658438</v>
      </c>
      <c r="N80" s="243">
        <f t="shared" ca="1" si="23"/>
        <v>296.84332585604102</v>
      </c>
      <c r="O80" s="243">
        <f t="shared" ca="1" si="23"/>
        <v>290.09688661338288</v>
      </c>
      <c r="P80" s="243">
        <f t="shared" ca="1" si="23"/>
        <v>289.3538627296694</v>
      </c>
      <c r="Q80" s="243">
        <f t="shared" ca="1" si="23"/>
        <v>288.85852977322185</v>
      </c>
      <c r="R80" s="243">
        <f t="shared" ca="1" si="23"/>
        <v>279.53084469998697</v>
      </c>
      <c r="S80" s="243">
        <f t="shared" ca="1" si="23"/>
        <v>279.5308446999868</v>
      </c>
      <c r="T80" s="243">
        <f t="shared" ca="1" si="23"/>
        <v>273.17787097929909</v>
      </c>
      <c r="U80" s="243">
        <f t="shared" ca="1" si="23"/>
        <v>272.92348754856476</v>
      </c>
      <c r="V80" s="243">
        <f t="shared" ca="1" si="23"/>
        <v>272.92348754856476</v>
      </c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</row>
    <row r="81" spans="1:256" ht="15.6">
      <c r="A81" s="7"/>
      <c r="B81"/>
      <c r="C81" s="7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</row>
    <row r="82" spans="1:256" ht="15.6">
      <c r="A82" s="7" t="s">
        <v>251</v>
      </c>
      <c r="B82"/>
      <c r="C82" s="113">
        <f t="shared" ref="C82:V82" si="24">C77+C71+C65+C59+C53+C47+C41+C35+C29+C23+C17+C11</f>
        <v>58546.735590269847</v>
      </c>
      <c r="D82" s="113">
        <f t="shared" si="24"/>
        <v>195045.624273055</v>
      </c>
      <c r="E82" s="113">
        <f t="shared" si="24"/>
        <v>211860.55133175329</v>
      </c>
      <c r="F82" s="113">
        <f t="shared" si="24"/>
        <v>218538.10717731059</v>
      </c>
      <c r="G82" s="113">
        <f t="shared" si="24"/>
        <v>207842.72356965908</v>
      </c>
      <c r="H82" s="113">
        <f t="shared" si="24"/>
        <v>197476.77585594618</v>
      </c>
      <c r="I82" s="113">
        <f t="shared" si="24"/>
        <v>203721.38725759645</v>
      </c>
      <c r="J82" s="113">
        <f t="shared" si="24"/>
        <v>208936.2521268182</v>
      </c>
      <c r="K82" s="113">
        <f t="shared" si="24"/>
        <v>207321.80210335378</v>
      </c>
      <c r="L82" s="113">
        <f t="shared" si="24"/>
        <v>203956.33359589911</v>
      </c>
      <c r="M82" s="113">
        <f t="shared" si="24"/>
        <v>202341.90010447777</v>
      </c>
      <c r="N82" s="113">
        <f t="shared" si="24"/>
        <v>199486.32917586798</v>
      </c>
      <c r="O82" s="113">
        <f t="shared" si="24"/>
        <v>205237.52400577068</v>
      </c>
      <c r="P82" s="113">
        <f t="shared" si="24"/>
        <v>201589.18792694886</v>
      </c>
      <c r="Q82" s="113">
        <f t="shared" si="24"/>
        <v>204034.19185600572</v>
      </c>
      <c r="R82" s="113">
        <f t="shared" si="24"/>
        <v>198321.49614354313</v>
      </c>
      <c r="S82" s="113">
        <f t="shared" si="24"/>
        <v>200177.38677075371</v>
      </c>
      <c r="T82" s="113">
        <f t="shared" si="24"/>
        <v>198976.51005100086</v>
      </c>
      <c r="U82" s="113">
        <f t="shared" si="24"/>
        <v>199387.73211118844</v>
      </c>
      <c r="V82" s="113">
        <f t="shared" si="24"/>
        <v>192757.20515595289</v>
      </c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</row>
    <row r="83" spans="1:256" ht="15.6">
      <c r="A83" s="7" t="s">
        <v>252</v>
      </c>
      <c r="B83"/>
      <c r="C83" s="113">
        <f t="shared" ref="C83:V83" ca="1" si="25">(+C78+C72+C66+C60+C54+C48+C42+C36+C30+C24+C18+C12)/10^3</f>
        <v>560819.18021919485</v>
      </c>
      <c r="D83" s="113">
        <f t="shared" ca="1" si="25"/>
        <v>1868342.0349115948</v>
      </c>
      <c r="E83" s="113">
        <f t="shared" ca="1" si="25"/>
        <v>2029412.221206865</v>
      </c>
      <c r="F83" s="113">
        <f t="shared" ca="1" si="25"/>
        <v>2093376.5286514582</v>
      </c>
      <c r="G83" s="113">
        <f t="shared" ca="1" si="25"/>
        <v>1990925.4490737636</v>
      </c>
      <c r="H83" s="113">
        <f t="shared" ca="1" si="25"/>
        <v>1891630.035924108</v>
      </c>
      <c r="I83" s="113">
        <f t="shared" ca="1" si="25"/>
        <v>1951447.1685405164</v>
      </c>
      <c r="J83" s="113">
        <f t="shared" ca="1" si="25"/>
        <v>2001400.3591227913</v>
      </c>
      <c r="K83" s="113">
        <f t="shared" ca="1" si="25"/>
        <v>1985935.5423480258</v>
      </c>
      <c r="L83" s="113">
        <f t="shared" ca="1" si="25"/>
        <v>1953697.7195151178</v>
      </c>
      <c r="M83" s="113">
        <f t="shared" ca="1" si="25"/>
        <v>1938233.0611007924</v>
      </c>
      <c r="N83" s="113">
        <f t="shared" ca="1" si="25"/>
        <v>1910879.5471756393</v>
      </c>
      <c r="O83" s="113">
        <f t="shared" ca="1" si="25"/>
        <v>1965970.2424512773</v>
      </c>
      <c r="P83" s="113">
        <f t="shared" ca="1" si="25"/>
        <v>1931022.8311522435</v>
      </c>
      <c r="Q83" s="113">
        <f t="shared" ca="1" si="25"/>
        <v>1954443.5237886794</v>
      </c>
      <c r="R83" s="113">
        <f t="shared" ca="1" si="25"/>
        <v>1899721.6115589999</v>
      </c>
      <c r="S83" s="113">
        <f t="shared" ca="1" si="25"/>
        <v>1917499.1878770499</v>
      </c>
      <c r="T83" s="113">
        <f t="shared" ca="1" si="25"/>
        <v>1905995.9897785375</v>
      </c>
      <c r="U83" s="113">
        <f t="shared" ca="1" si="25"/>
        <v>1909935.0858930741</v>
      </c>
      <c r="V83" s="113">
        <f t="shared" ca="1" si="25"/>
        <v>1846421.2681888728</v>
      </c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</row>
    <row r="84" spans="1:256" ht="15.6">
      <c r="A84" s="7" t="s">
        <v>27</v>
      </c>
      <c r="B84"/>
      <c r="C84" s="243">
        <f t="shared" ref="C84:V84" ca="1" si="26">C80+C74+C68+C62+C56+C50+C44+C38+C32+C26+C20+C14</f>
        <v>2358.8478420882852</v>
      </c>
      <c r="D84" s="243">
        <f t="shared" ca="1" si="26"/>
        <v>7091.4078554789558</v>
      </c>
      <c r="E84" s="243">
        <f t="shared" ca="1" si="26"/>
        <v>7720.8748888820892</v>
      </c>
      <c r="F84" s="243">
        <f t="shared" ca="1" si="26"/>
        <v>7962.725341408639</v>
      </c>
      <c r="G84" s="243">
        <f t="shared" ca="1" si="26"/>
        <v>7570.4885974733552</v>
      </c>
      <c r="H84" s="243">
        <f t="shared" ca="1" si="26"/>
        <v>7192.0315526238955</v>
      </c>
      <c r="I84" s="243">
        <f t="shared" ca="1" si="26"/>
        <v>7418.7833869300721</v>
      </c>
      <c r="J84" s="243">
        <f t="shared" ca="1" si="26"/>
        <v>7608.5037004485803</v>
      </c>
      <c r="K84" s="243">
        <f t="shared" ca="1" si="26"/>
        <v>7551.0645287242442</v>
      </c>
      <c r="L84" s="243">
        <f t="shared" ca="1" si="26"/>
        <v>7428.0404502764413</v>
      </c>
      <c r="M84" s="243">
        <f t="shared" ca="1" si="26"/>
        <v>7368.7663416072101</v>
      </c>
      <c r="N84" s="243">
        <f t="shared" ca="1" si="26"/>
        <v>7264.1353047200964</v>
      </c>
      <c r="O84" s="243">
        <f t="shared" ca="1" si="26"/>
        <v>7472.3987998058074</v>
      </c>
      <c r="P84" s="243">
        <f t="shared" ca="1" si="26"/>
        <v>7340.3547917294409</v>
      </c>
      <c r="Q84" s="243">
        <f t="shared" ca="1" si="26"/>
        <v>7429.8365896482283</v>
      </c>
      <c r="R84" s="243">
        <f t="shared" ca="1" si="26"/>
        <v>7413.5979188510728</v>
      </c>
      <c r="S84" s="243">
        <f t="shared" ca="1" si="26"/>
        <v>7482.2239822219335</v>
      </c>
      <c r="T84" s="243">
        <f t="shared" ca="1" si="26"/>
        <v>7436.8538994089431</v>
      </c>
      <c r="U84" s="243">
        <f t="shared" ca="1" si="26"/>
        <v>7451.924822070855</v>
      </c>
      <c r="V84" s="243">
        <f t="shared" ca="1" si="26"/>
        <v>7204.5185829909042</v>
      </c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</row>
    <row r="85" spans="1:256" ht="15.6">
      <c r="A85" s="7" t="s">
        <v>253</v>
      </c>
      <c r="B85" s="7"/>
      <c r="C85" s="113">
        <f ca="1">C83*10^6/'ASSUM 1'!$D$34</f>
        <v>101157.86078989806</v>
      </c>
      <c r="D85" s="113">
        <f ca="1">D83*10^6/'ASSUM 1'!$D$34</f>
        <v>337002.53154971043</v>
      </c>
      <c r="E85" s="113">
        <f ca="1">E83*10^6/'ASSUM 1'!$D$34</f>
        <v>366055.59545578371</v>
      </c>
      <c r="F85" s="113">
        <f ca="1">F83*10^6/'ASSUM 1'!$D$34</f>
        <v>377593.16894867574</v>
      </c>
      <c r="G85" s="113">
        <f ca="1">G83*10^6/'ASSUM 1'!$D$34</f>
        <v>359113.53699021711</v>
      </c>
      <c r="H85" s="113">
        <f ca="1">H83*10^6/'ASSUM 1'!$D$34</f>
        <v>341203.10893291992</v>
      </c>
      <c r="I85" s="113">
        <f ca="1">I83*10^6/'ASSUM 1'!$D$34</f>
        <v>351992.63501813065</v>
      </c>
      <c r="J85" s="113">
        <f ca="1">J83*10^6/'ASSUM 1'!$D$34</f>
        <v>361002.95077972423</v>
      </c>
      <c r="K85" s="113">
        <f ca="1">K83*10^6/'ASSUM 1'!$D$34</f>
        <v>358213.48166450683</v>
      </c>
      <c r="L85" s="113">
        <f ca="1">L83*10^6/'ASSUM 1'!$D$34</f>
        <v>352398.57855611795</v>
      </c>
      <c r="M85" s="113">
        <f ca="1">M83*10^6/'ASSUM 1'!$D$34</f>
        <v>349609.13800519344</v>
      </c>
      <c r="N85" s="113">
        <f ca="1">N83*10^6/'ASSUM 1'!$D$34</f>
        <v>344675.24299704895</v>
      </c>
      <c r="O85" s="113">
        <f ca="1">O83*10^6/'ASSUM 1'!$D$34</f>
        <v>354612.23709438625</v>
      </c>
      <c r="P85" s="113">
        <f ca="1">P83*10^6/'ASSUM 1'!$D$34</f>
        <v>348308.5914776774</v>
      </c>
      <c r="Q85" s="113">
        <f ca="1">Q83*10^6/'ASSUM 1'!$D$34</f>
        <v>352533.1031364862</v>
      </c>
      <c r="R85" s="113">
        <f ca="1">R83*10^6/'ASSUM 1'!$D$34</f>
        <v>342662.62834758294</v>
      </c>
      <c r="S85" s="113">
        <f ca="1">S83*10^6/'ASSUM 1'!$D$34</f>
        <v>345869.26188258472</v>
      </c>
      <c r="T85" s="113">
        <f ca="1">T83*10^6/'ASSUM 1'!$D$34</f>
        <v>343794.37045067415</v>
      </c>
      <c r="U85" s="113">
        <f ca="1">U83*10^6/'ASSUM 1'!$D$34</f>
        <v>344504.88562284881</v>
      </c>
      <c r="V85" s="113">
        <f ca="1">V83*10^6/'ASSUM 1'!$D$34</f>
        <v>333048.56929813721</v>
      </c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</row>
    <row r="86" spans="1:256" ht="15.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</row>
    <row r="87" spans="1:256" ht="15.6">
      <c r="A87" s="244"/>
      <c r="B87" s="245"/>
      <c r="C87" s="245"/>
      <c r="D87" s="245"/>
      <c r="E87" s="245"/>
      <c r="F87" s="245"/>
      <c r="G87" s="245"/>
      <c r="H87" s="245"/>
      <c r="I87" s="245"/>
      <c r="J87" s="245"/>
      <c r="K87" s="245"/>
      <c r="L87" s="245"/>
      <c r="M87" s="245"/>
      <c r="N87" s="245"/>
      <c r="O87" s="245"/>
      <c r="P87" s="245"/>
      <c r="Q87" s="245"/>
      <c r="R87" s="245"/>
      <c r="S87" s="245"/>
      <c r="T87" s="245"/>
      <c r="U87" s="245"/>
      <c r="V87" s="245"/>
      <c r="W87" s="246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1:256" ht="15.6">
      <c r="A88" s="247" t="s">
        <v>254</v>
      </c>
      <c r="B88" s="7"/>
      <c r="C88" s="248">
        <f ca="1">C84*(1+'ASSUM 1'!D43)^(C5-'ASSUM 1'!B42)</f>
        <v>2422.5367338246688</v>
      </c>
      <c r="D88" s="248">
        <f ca="1">D84*(1+'ASSUM 1'!D43)^(D5-'ASSUM 1'!B42)</f>
        <v>7479.5135160014624</v>
      </c>
      <c r="E88" s="248">
        <f ca="1">E84*(1+'ASSUM 1'!D43)^(E5-'ASSUM 1'!B42)</f>
        <v>8363.3032782439604</v>
      </c>
      <c r="F88" s="248">
        <f ca="1">F84*(1+'ASSUM 1'!D43)^(F5-'ASSUM 1'!B42)</f>
        <v>8858.1597919343876</v>
      </c>
      <c r="G88" s="248">
        <f ca="1">G84*(1+'ASSUM 1'!D43)^(G5-'ASSUM 1'!B42)</f>
        <v>8649.2037442468663</v>
      </c>
      <c r="H88" s="248">
        <f ca="1">H84*(1+'ASSUM 1'!D43)^(H5-'ASSUM 1'!B42)</f>
        <v>8438.6746983976063</v>
      </c>
      <c r="I88" s="248">
        <f ca="1">I84*(1+'ASSUM 1'!D43)^(I5-'ASSUM 1'!B42)</f>
        <v>8939.7586871747171</v>
      </c>
      <c r="J88" s="248">
        <f ca="1">J84*(1+'ASSUM 1'!D43)^(J5-'ASSUM 1'!B42)</f>
        <v>9415.9209751249382</v>
      </c>
      <c r="K88" s="248">
        <f ca="1">K84*(1+'ASSUM 1'!D43)^(K5-'ASSUM 1'!B42)</f>
        <v>9597.1475971032123</v>
      </c>
      <c r="L88" s="248">
        <f ca="1">L84*(1+'ASSUM 1'!D43)^(L5-'ASSUM 1'!B42)</f>
        <v>9695.6894349314152</v>
      </c>
      <c r="M88" s="248">
        <f ca="1">M84*(1+'ASSUM 1'!D43)^(M5-'ASSUM 1'!B42)</f>
        <v>9878.0146321325083</v>
      </c>
      <c r="N88" s="248">
        <f ca="1">N84*(1+'ASSUM 1'!D43)^(N5-'ASSUM 1'!B42)</f>
        <v>10000.673485074472</v>
      </c>
      <c r="O88" s="248">
        <f ca="1">O84*(1+'ASSUM 1'!D43)^(O5-'ASSUM 1'!B42)</f>
        <v>10565.153439807755</v>
      </c>
      <c r="P88" s="248">
        <f ca="1">P84*(1+'ASSUM 1'!D43)^(P5-'ASSUM 1'!B42)</f>
        <v>10658.67603260217</v>
      </c>
      <c r="Q88" s="248">
        <f ca="1">Q84*(1+'ASSUM 1'!D43)^(Q5-'ASSUM 1'!B42)</f>
        <v>11079.901920796188</v>
      </c>
      <c r="R88" s="248">
        <f ca="1">R84*(1+'ASSUM 1'!D43)^(R5-'ASSUM 1'!B42)</f>
        <v>11354.189170162097</v>
      </c>
      <c r="S88" s="248">
        <f ca="1">S84*(1+'ASSUM 1'!D43)^(S5-'ASSUM 1'!B42)</f>
        <v>11768.693325210694</v>
      </c>
      <c r="T88" s="248">
        <f ca="1">T84*(1+'ASSUM 1'!D43)^(T5-'ASSUM 1'!B42)</f>
        <v>12013.159254115955</v>
      </c>
      <c r="U88" s="248">
        <f ca="1">U84*(1+'ASSUM 1'!D43)^(U5-'ASSUM 1'!B42)</f>
        <v>12362.516756547986</v>
      </c>
      <c r="V88" s="248">
        <f ca="1">V84*(1+'ASSUM 1'!D43)^(V5-'ASSUM 1'!B42)</f>
        <v>12274.783414374866</v>
      </c>
      <c r="W88" s="246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</row>
    <row r="89" spans="1:256" ht="15.6">
      <c r="A89" s="24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246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</row>
    <row r="90" spans="1:256" ht="15.6">
      <c r="A90" s="247" t="s">
        <v>255</v>
      </c>
      <c r="B90" s="7"/>
      <c r="C90" s="249">
        <f t="shared" ref="C90:V90" ca="1" si="27">C88/C82*1000</f>
        <v>41.377827634633853</v>
      </c>
      <c r="D90" s="249">
        <f t="shared" ca="1" si="27"/>
        <v>38.347507378737618</v>
      </c>
      <c r="E90" s="249">
        <f t="shared" ca="1" si="27"/>
        <v>39.475509837354437</v>
      </c>
      <c r="F90" s="249">
        <f t="shared" ca="1" si="27"/>
        <v>40.533707856942918</v>
      </c>
      <c r="G90" s="249">
        <f t="shared" ca="1" si="27"/>
        <v>41.61417631417855</v>
      </c>
      <c r="H90" s="249">
        <f t="shared" ca="1" si="27"/>
        <v>42.732491766795832</v>
      </c>
      <c r="I90" s="249">
        <f t="shared" ca="1" si="27"/>
        <v>43.882278672443938</v>
      </c>
      <c r="J90" s="249">
        <f t="shared" ca="1" si="27"/>
        <v>45.065999218794012</v>
      </c>
      <c r="K90" s="249">
        <f t="shared" ca="1" si="27"/>
        <v>46.291067797678394</v>
      </c>
      <c r="L90" s="249">
        <f t="shared" ca="1" si="27"/>
        <v>47.538064957284384</v>
      </c>
      <c r="M90" s="249">
        <f t="shared" ca="1" si="27"/>
        <v>48.81843368591511</v>
      </c>
      <c r="N90" s="249">
        <f t="shared" ca="1" si="27"/>
        <v>50.132124473842204</v>
      </c>
      <c r="O90" s="249">
        <f t="shared" ca="1" si="27"/>
        <v>51.477689038534166</v>
      </c>
      <c r="P90" s="249">
        <f t="shared" ca="1" si="27"/>
        <v>52.873252490429309</v>
      </c>
      <c r="Q90" s="249">
        <f t="shared" ca="1" si="27"/>
        <v>54.304142947843147</v>
      </c>
      <c r="R90" s="249">
        <f t="shared" ca="1" si="27"/>
        <v>57.251429577477815</v>
      </c>
      <c r="S90" s="249">
        <f t="shared" ca="1" si="27"/>
        <v>58.791322611721306</v>
      </c>
      <c r="T90" s="249">
        <f t="shared" ca="1" si="27"/>
        <v>60.374761076253627</v>
      </c>
      <c r="U90" s="249">
        <f t="shared" ca="1" si="27"/>
        <v>62.002394157600612</v>
      </c>
      <c r="V90" s="249">
        <f t="shared" ca="1" si="27"/>
        <v>63.680023812566603</v>
      </c>
      <c r="W90" s="246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</row>
    <row r="91" spans="1:256" ht="15.6">
      <c r="A91" s="24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246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</row>
    <row r="92" spans="1:256" ht="15.6">
      <c r="A92" s="250"/>
      <c r="B92" s="250"/>
      <c r="C92" s="250"/>
      <c r="D92" s="250"/>
      <c r="E92" s="250"/>
      <c r="F92" s="250"/>
      <c r="G92" s="250"/>
      <c r="H92" s="250"/>
      <c r="I92" s="250"/>
      <c r="J92" s="250"/>
      <c r="K92" s="250"/>
      <c r="L92" s="250"/>
      <c r="M92" s="250"/>
      <c r="N92" s="250"/>
      <c r="O92" s="250"/>
      <c r="P92" s="250"/>
      <c r="Q92" s="250"/>
      <c r="R92" s="250"/>
      <c r="S92" s="250"/>
      <c r="T92" s="250"/>
      <c r="U92" s="250"/>
      <c r="V92" s="250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</row>
    <row r="93" spans="1:256" ht="15.6">
      <c r="A93" s="251" t="s">
        <v>256</v>
      </c>
      <c r="B93" s="252"/>
      <c r="C93" s="253">
        <f ca="1">C90+'ASSUM 1'!H33*10^3*(1+'ASSUM 1'!I33)^(C5-'ASSUM 1'!I27)</f>
        <v>43.431827634633855</v>
      </c>
      <c r="D93" s="253">
        <f ca="1">D90+'ASSUM 1'!H33*10^3*(1+'ASSUM 1'!I33)^(D5-'ASSUM 1'!I27)</f>
        <v>40.456965378737614</v>
      </c>
      <c r="E93" s="253">
        <f ca="1">E90+'ASSUM 1'!H33*10^3*(1+'ASSUM 1'!I33)^(E5-'ASSUM 1'!I27)</f>
        <v>41.641923203354438</v>
      </c>
      <c r="F93" s="253">
        <f ca="1">F90+'ASSUM 1'!H33*10^3*(1+'ASSUM 1'!I33)^(F5-'ASSUM 1'!I27)</f>
        <v>42.75861438382492</v>
      </c>
      <c r="G93" s="253">
        <f ca="1">G90+'ASSUM 1'!H33*10^3*(1+'ASSUM 1'!I33)^(G5-'ASSUM 1'!I27)</f>
        <v>43.899155317286365</v>
      </c>
      <c r="H93" s="253">
        <f ca="1">H90+'ASSUM 1'!H33*10^3*(1+'ASSUM 1'!I33)^(H5-'ASSUM 1'!I27)</f>
        <v>45.079165202987554</v>
      </c>
      <c r="I93" s="253">
        <f ca="1">I90+'ASSUM 1'!H33*10^3*(1+'ASSUM 1'!I33)^(I5-'ASSUM 1'!I27)</f>
        <v>46.292312291412841</v>
      </c>
      <c r="J93" s="253">
        <f ca="1">J90+'ASSUM 1'!H33*10^3*(1+'ASSUM 1'!I33)^(J5-'ASSUM 1'!I27)</f>
        <v>47.54110374547507</v>
      </c>
      <c r="K93" s="253">
        <f ca="1">K90+'ASSUM 1'!H33*10^3*(1+'ASSUM 1'!I33)^(K5-'ASSUM 1'!I27)</f>
        <v>48.833000146579842</v>
      </c>
      <c r="L93" s="253">
        <f ca="1">L90+'ASSUM 1'!H33*10^3*(1+'ASSUM 1'!I33)^(L5-'ASSUM 1'!I27)</f>
        <v>50.148629479606171</v>
      </c>
      <c r="M93" s="253">
        <f ca="1">M90+'ASSUM 1'!H33*10^3*(1+'ASSUM 1'!I33)^(M5-'ASSUM 1'!I27)</f>
        <v>51.499483450339582</v>
      </c>
      <c r="N93" s="253">
        <f ca="1">N90+'ASSUM 1'!H33*10^3*(1+'ASSUM 1'!I33)^(N5-'ASSUM 1'!I27)</f>
        <v>52.885562581906143</v>
      </c>
      <c r="O93" s="253">
        <f ca="1">O90+'ASSUM 1'!H33*10^3*(1+'ASSUM 1'!I33)^(O5-'ASSUM 1'!I27)</f>
        <v>54.305469975515827</v>
      </c>
      <c r="P93" s="253">
        <f ca="1">P90+'ASSUM 1'!H33*10^3*(1+'ASSUM 1'!I33)^(P5-'ASSUM 1'!I27)</f>
        <v>55.777383512709477</v>
      </c>
      <c r="Q93" s="253">
        <f ca="1">Q90+'ASSUM 1'!H33*10^3*(1+'ASSUM 1'!I33)^(Q5-'ASSUM 1'!I27)</f>
        <v>57.286685507724876</v>
      </c>
      <c r="R93" s="253">
        <f ca="1">R90+'ASSUM 1'!H33*10^3*(1+'ASSUM 1'!I33)^(R5-'ASSUM 1'!I27)</f>
        <v>60.314500786476351</v>
      </c>
      <c r="S93" s="253">
        <f ca="1">S90+'ASSUM 1'!H33*10^3*(1+'ASSUM 1'!I33)^(S5-'ASSUM 1'!I27)</f>
        <v>61.937096743362801</v>
      </c>
      <c r="T93" s="253">
        <f ca="1">T90+'ASSUM 1'!H33*10^3*(1+'ASSUM 1'!I33)^(T5-'ASSUM 1'!I27)</f>
        <v>63.605471109449446</v>
      </c>
      <c r="U93" s="253">
        <f ca="1">U90+'ASSUM 1'!H33*10^3*(1+'ASSUM 1'!I33)^(U5-'ASSUM 1'!I27)</f>
        <v>65.320333361692718</v>
      </c>
      <c r="V93" s="253">
        <f ca="1">V90+'ASSUM 1'!H33*10^3*(1+'ASSUM 1'!I33)^(V5-'ASSUM 1'!I27)</f>
        <v>67.087547375169194</v>
      </c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</row>
    <row r="94" spans="1:256" ht="15.6">
      <c r="A94" s="7"/>
      <c r="B94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</row>
    <row r="95" spans="1:256" ht="15.6">
      <c r="A95"/>
      <c r="B95"/>
      <c r="C95" s="7"/>
      <c r="D95"/>
      <c r="E95"/>
      <c r="F95"/>
      <c r="G95"/>
      <c r="H95"/>
      <c r="I95"/>
      <c r="J95"/>
      <c r="K95"/>
      <c r="L95"/>
      <c r="M95"/>
      <c r="N95"/>
      <c r="O95"/>
      <c r="P95"/>
      <c r="Q95" s="7"/>
      <c r="R95" s="7"/>
      <c r="S95" s="7"/>
      <c r="T95" s="7"/>
      <c r="U95" s="7"/>
      <c r="V95" s="7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</row>
    <row r="96" spans="1:256" ht="15.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</row>
    <row r="97" spans="1:256" ht="15.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</row>
    <row r="98" spans="1:256" ht="15.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</row>
    <row r="99" spans="1:256" ht="15.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</row>
    <row r="100" spans="1:256" ht="15.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</row>
    <row r="101" spans="1:256" ht="15.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</row>
    <row r="102" spans="1:256" ht="15.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</row>
    <row r="103" spans="1:256" ht="15.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</row>
    <row r="104" spans="1:256" ht="15.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</row>
    <row r="105" spans="1:256" ht="15.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</row>
    <row r="106" spans="1:256" ht="15.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</row>
    <row r="107" spans="1:256" ht="15.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</row>
    <row r="108" spans="1:256" ht="15.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</row>
    <row r="109" spans="1:256" ht="15.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</row>
    <row r="110" spans="1:256" ht="15.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</row>
    <row r="111" spans="1:256" ht="15.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</row>
    <row r="112" spans="1:256" ht="15.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</row>
    <row r="113" spans="1:256" ht="15.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</row>
    <row r="114" spans="1:256" ht="15.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</row>
    <row r="115" spans="1:256" ht="15.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</row>
    <row r="116" spans="1:256" ht="15.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</row>
    <row r="117" spans="1:256" ht="15.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</row>
    <row r="118" spans="1:256" ht="15.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</row>
    <row r="119" spans="1:256" ht="15.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</row>
    <row r="120" spans="1:256" ht="15.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</row>
    <row r="121" spans="1:256" ht="15.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</row>
    <row r="122" spans="1:256" ht="15.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</row>
    <row r="123" spans="1:256" ht="15.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</row>
    <row r="124" spans="1:256" ht="15.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</row>
    <row r="125" spans="1:256" ht="15.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</row>
    <row r="126" spans="1:256" ht="15.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</row>
    <row r="127" spans="1:256" ht="15.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</row>
    <row r="128" spans="1:256" ht="15.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</row>
    <row r="129" spans="1:256" ht="15.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</row>
    <row r="130" spans="1:256" ht="15.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</row>
    <row r="131" spans="1:256" ht="15.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</row>
    <row r="132" spans="1:256" ht="15.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</row>
    <row r="133" spans="1:256" ht="15.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</row>
    <row r="134" spans="1:256" ht="15.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</row>
    <row r="135" spans="1:256" ht="15.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</row>
    <row r="136" spans="1:256" ht="15.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</row>
    <row r="137" spans="1:256" ht="15.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</row>
    <row r="138" spans="1:256" ht="15.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</row>
    <row r="139" spans="1:256" ht="15.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</row>
    <row r="140" spans="1:256" ht="15.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</row>
    <row r="141" spans="1:256" ht="15.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</row>
    <row r="142" spans="1:256" ht="15.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</row>
    <row r="143" spans="1:256" ht="15.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</row>
    <row r="144" spans="1:256" ht="15.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</row>
    <row r="145" spans="1:256" ht="15.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</row>
    <row r="146" spans="1:256" ht="15.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</row>
    <row r="147" spans="1:256" ht="15.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</row>
    <row r="148" spans="1:256" ht="15.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</row>
    <row r="149" spans="1:256" ht="15.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</row>
    <row r="150" spans="1:256" ht="15.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</row>
    <row r="151" spans="1:256" ht="15.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</row>
    <row r="152" spans="1:256" ht="15.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</row>
    <row r="153" spans="1:256" ht="15.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</row>
    <row r="154" spans="1:256" ht="15.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</row>
    <row r="155" spans="1:256" ht="15.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</row>
    <row r="156" spans="1:256" ht="15.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</row>
    <row r="157" spans="1:256" ht="15.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</row>
    <row r="158" spans="1:256" ht="15.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</row>
    <row r="159" spans="1:256" ht="15.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</row>
    <row r="160" spans="1:256" ht="15.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</row>
    <row r="161" spans="1:256" ht="15.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</row>
    <row r="162" spans="1:256" ht="15.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</row>
    <row r="163" spans="1:256" ht="15.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</row>
    <row r="164" spans="1:256" ht="15.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</row>
    <row r="165" spans="1:256" ht="15.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</row>
    <row r="166" spans="1:256" ht="15.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</row>
    <row r="167" spans="1:256" ht="15.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</row>
    <row r="168" spans="1:256" ht="15.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</row>
    <row r="169" spans="1:256" ht="15.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</row>
    <row r="170" spans="1:256" ht="15.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</row>
    <row r="171" spans="1:256" ht="15.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</row>
    <row r="172" spans="1:256" ht="15.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</row>
    <row r="173" spans="1:256" ht="15.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</row>
    <row r="174" spans="1:256" ht="15.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</row>
    <row r="175" spans="1:256" ht="15.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</row>
    <row r="176" spans="1:256" ht="15.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</row>
    <row r="177" spans="1:256" ht="15.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</row>
    <row r="178" spans="1:256" ht="15.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</row>
    <row r="179" spans="1:256" ht="15.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</row>
    <row r="180" spans="1:256" ht="15.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</row>
    <row r="181" spans="1:256" ht="15.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colBreaks count="1" manualBreakCount="1">
    <brk id="1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U180"/>
  <sheetViews>
    <sheetView tabSelected="1" showOutlineSymbols="0" view="pageBreakPreview" zoomScaleNormal="75" workbookViewId="0">
      <selection activeCell="O37" sqref="O37"/>
    </sheetView>
  </sheetViews>
  <sheetFormatPr defaultColWidth="9.81640625" defaultRowHeight="15"/>
  <cols>
    <col min="1" max="1" width="21.81640625" style="255" customWidth="1"/>
    <col min="2" max="2" width="9.90625" style="255" customWidth="1"/>
    <col min="3" max="14" width="9.81640625" style="255" customWidth="1"/>
    <col min="15" max="15" width="10.90625" style="255" customWidth="1"/>
    <col min="16" max="16384" width="9.81640625" style="255"/>
  </cols>
  <sheetData>
    <row r="1" spans="1:22" ht="22.2">
      <c r="A1" s="254" t="str">
        <f ca="1">OandM!A1</f>
        <v>DELMARVA, VA</v>
      </c>
      <c r="Q1" s="256"/>
      <c r="R1" s="256"/>
    </row>
    <row r="2" spans="1:22" ht="15.6">
      <c r="A2" s="257" t="s">
        <v>257</v>
      </c>
      <c r="B2" s="258"/>
      <c r="Q2" s="259"/>
      <c r="R2" s="259"/>
    </row>
    <row r="3" spans="1:22" ht="7.5" customHeight="1">
      <c r="A3" s="260"/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</row>
    <row r="5" spans="1:22" ht="15.6">
      <c r="A5" s="261" t="s">
        <v>209</v>
      </c>
      <c r="C5" s="262">
        <f ca="1">OandM!C5</f>
        <v>2000</v>
      </c>
      <c r="D5" s="262">
        <f t="shared" ref="D5:V5" ca="1" si="0">C5+1</f>
        <v>2001</v>
      </c>
      <c r="E5" s="262">
        <f t="shared" ca="1" si="0"/>
        <v>2002</v>
      </c>
      <c r="F5" s="262">
        <f t="shared" ca="1" si="0"/>
        <v>2003</v>
      </c>
      <c r="G5" s="262">
        <f t="shared" ca="1" si="0"/>
        <v>2004</v>
      </c>
      <c r="H5" s="262">
        <f t="shared" ca="1" si="0"/>
        <v>2005</v>
      </c>
      <c r="I5" s="262">
        <f t="shared" ca="1" si="0"/>
        <v>2006</v>
      </c>
      <c r="J5" s="262">
        <f t="shared" ca="1" si="0"/>
        <v>2007</v>
      </c>
      <c r="K5" s="262">
        <f t="shared" ca="1" si="0"/>
        <v>2008</v>
      </c>
      <c r="L5" s="262">
        <f t="shared" ca="1" si="0"/>
        <v>2009</v>
      </c>
      <c r="M5" s="262">
        <f t="shared" ca="1" si="0"/>
        <v>2010</v>
      </c>
      <c r="N5" s="262">
        <f t="shared" ca="1" si="0"/>
        <v>2011</v>
      </c>
      <c r="O5" s="262">
        <f t="shared" ca="1" si="0"/>
        <v>2012</v>
      </c>
      <c r="P5" s="262">
        <f t="shared" ca="1" si="0"/>
        <v>2013</v>
      </c>
      <c r="Q5" s="262">
        <f t="shared" ca="1" si="0"/>
        <v>2014</v>
      </c>
      <c r="R5" s="262">
        <f t="shared" ca="1" si="0"/>
        <v>2015</v>
      </c>
      <c r="S5" s="262">
        <f t="shared" ca="1" si="0"/>
        <v>2016</v>
      </c>
      <c r="T5" s="262">
        <f t="shared" ca="1" si="0"/>
        <v>2017</v>
      </c>
      <c r="U5" s="262">
        <f t="shared" ca="1" si="0"/>
        <v>2018</v>
      </c>
      <c r="V5" s="262">
        <f t="shared" ca="1" si="0"/>
        <v>2019</v>
      </c>
    </row>
    <row r="6" spans="1:22" ht="15.6">
      <c r="A6" s="263" t="s">
        <v>50</v>
      </c>
      <c r="C6" s="264">
        <f ca="1">OandM!C6</f>
        <v>1</v>
      </c>
      <c r="D6" s="264">
        <f t="shared" ref="D6:V6" ca="1" si="1">C6+1</f>
        <v>2</v>
      </c>
      <c r="E6" s="264">
        <f t="shared" ca="1" si="1"/>
        <v>3</v>
      </c>
      <c r="F6" s="264">
        <f t="shared" ca="1" si="1"/>
        <v>4</v>
      </c>
      <c r="G6" s="264">
        <f t="shared" ca="1" si="1"/>
        <v>5</v>
      </c>
      <c r="H6" s="264">
        <f t="shared" ca="1" si="1"/>
        <v>6</v>
      </c>
      <c r="I6" s="264">
        <f t="shared" ca="1" si="1"/>
        <v>7</v>
      </c>
      <c r="J6" s="264">
        <f t="shared" ca="1" si="1"/>
        <v>8</v>
      </c>
      <c r="K6" s="264">
        <f t="shared" ca="1" si="1"/>
        <v>9</v>
      </c>
      <c r="L6" s="264">
        <f t="shared" ca="1" si="1"/>
        <v>10</v>
      </c>
      <c r="M6" s="264">
        <f t="shared" ca="1" si="1"/>
        <v>11</v>
      </c>
      <c r="N6" s="264">
        <f t="shared" ca="1" si="1"/>
        <v>12</v>
      </c>
      <c r="O6" s="264">
        <f t="shared" ca="1" si="1"/>
        <v>13</v>
      </c>
      <c r="P6" s="264">
        <f t="shared" ca="1" si="1"/>
        <v>14</v>
      </c>
      <c r="Q6" s="264">
        <f t="shared" ca="1" si="1"/>
        <v>15</v>
      </c>
      <c r="R6" s="264">
        <f t="shared" ca="1" si="1"/>
        <v>16</v>
      </c>
      <c r="S6" s="264">
        <f t="shared" ca="1" si="1"/>
        <v>17</v>
      </c>
      <c r="T6" s="264">
        <f t="shared" ca="1" si="1"/>
        <v>18</v>
      </c>
      <c r="U6" s="264">
        <f t="shared" ca="1" si="1"/>
        <v>19</v>
      </c>
      <c r="V6" s="264">
        <f t="shared" ca="1" si="1"/>
        <v>20</v>
      </c>
    </row>
    <row r="7" spans="1:22" ht="15.6">
      <c r="A7" s="263" t="s">
        <v>210</v>
      </c>
      <c r="C7" s="264">
        <f ca="1">OandM!C7</f>
        <v>7</v>
      </c>
      <c r="D7" s="264">
        <f ca="1">OandM!D7</f>
        <v>12</v>
      </c>
      <c r="E7" s="264">
        <f ca="1">OandM!E7</f>
        <v>12</v>
      </c>
      <c r="F7" s="264">
        <f ca="1">OandM!F7</f>
        <v>12</v>
      </c>
      <c r="G7" s="264">
        <f ca="1">OandM!G7</f>
        <v>12</v>
      </c>
      <c r="H7" s="264">
        <f ca="1">OandM!H7</f>
        <v>12</v>
      </c>
      <c r="I7" s="264">
        <f ca="1">OandM!I7</f>
        <v>12</v>
      </c>
      <c r="J7" s="264">
        <f ca="1">OandM!J7</f>
        <v>12</v>
      </c>
      <c r="K7" s="264">
        <f ca="1">OandM!K7</f>
        <v>12</v>
      </c>
      <c r="L7" s="264">
        <f ca="1">OandM!L7</f>
        <v>12</v>
      </c>
      <c r="M7" s="264">
        <f ca="1">OandM!M7</f>
        <v>12</v>
      </c>
      <c r="N7" s="264">
        <f ca="1">OandM!N7</f>
        <v>12</v>
      </c>
      <c r="O7" s="264">
        <f ca="1">OandM!O7</f>
        <v>12</v>
      </c>
      <c r="P7" s="264">
        <f ca="1">OandM!P7</f>
        <v>12</v>
      </c>
      <c r="Q7" s="264">
        <f ca="1">OandM!Q7</f>
        <v>12</v>
      </c>
      <c r="R7" s="264">
        <f ca="1">OandM!R7</f>
        <v>12</v>
      </c>
      <c r="S7" s="264">
        <f ca="1">OandM!S7</f>
        <v>12</v>
      </c>
      <c r="T7" s="264">
        <f ca="1">OandM!T7</f>
        <v>12</v>
      </c>
      <c r="U7" s="264">
        <f ca="1">OandM!U7</f>
        <v>12</v>
      </c>
      <c r="V7" s="264">
        <f ca="1">OandM!V7</f>
        <v>12</v>
      </c>
    </row>
    <row r="8" spans="1:22" ht="15.6">
      <c r="A8" s="263" t="s">
        <v>258</v>
      </c>
      <c r="C8" s="265">
        <f>Tariff!C18</f>
        <v>430.9433744814815</v>
      </c>
      <c r="D8" s="265">
        <f>Tariff!D18</f>
        <v>1058.7861101830688</v>
      </c>
      <c r="E8" s="265">
        <f>Tariff!E18</f>
        <v>1740.7553090878309</v>
      </c>
      <c r="F8" s="265">
        <f>Tariff!F18</f>
        <v>2444.2192477259259</v>
      </c>
      <c r="G8" s="265">
        <f>Tariff!G18</f>
        <v>3113.2552471132276</v>
      </c>
      <c r="H8" s="265">
        <f>Tariff!H18</f>
        <v>3748.923745973545</v>
      </c>
      <c r="I8" s="265">
        <f>Tariff!I18</f>
        <v>4404.6933566656089</v>
      </c>
      <c r="J8" s="265">
        <f>Tariff!J18</f>
        <v>5077.2493732973553</v>
      </c>
      <c r="K8" s="265">
        <f>Tariff!K18</f>
        <v>5744.6085508656088</v>
      </c>
      <c r="L8" s="265">
        <f>Tariff!L18</f>
        <v>6401.1344428243392</v>
      </c>
      <c r="M8" s="265">
        <f>Tariff!M18</f>
        <v>7052.4635489354505</v>
      </c>
      <c r="N8" s="265">
        <f>Tariff!N18</f>
        <v>7694.600705878308</v>
      </c>
      <c r="O8" s="265">
        <f>Tariff!O18</f>
        <v>8355.2506898021165</v>
      </c>
      <c r="P8" s="265">
        <f>Tariff!P18</f>
        <v>9004.1568506433869</v>
      </c>
      <c r="Q8" s="265">
        <f>Tariff!Q18</f>
        <v>9660.9333646973555</v>
      </c>
      <c r="R8" s="265">
        <f>Tariff!R18</f>
        <v>10299.320978627515</v>
      </c>
      <c r="S8" s="265">
        <f>Tariff!S18</f>
        <v>10943.682617624339</v>
      </c>
      <c r="T8" s="265">
        <f>Tariff!T18</f>
        <v>11584.178690665609</v>
      </c>
      <c r="U8" s="265">
        <f>Tariff!U18</f>
        <v>12225.998468271959</v>
      </c>
      <c r="V8" s="265">
        <f>Tariff!V18</f>
        <v>12846.474889941801</v>
      </c>
    </row>
    <row r="10" spans="1:22" ht="15.6">
      <c r="A10" s="266" t="s">
        <v>259</v>
      </c>
      <c r="B10" s="267"/>
      <c r="C10" s="267"/>
      <c r="D10" s="267"/>
      <c r="E10" s="267"/>
      <c r="F10" s="267"/>
      <c r="G10" s="267"/>
      <c r="H10" s="267"/>
      <c r="I10" s="267"/>
      <c r="J10" s="267"/>
      <c r="K10" s="267"/>
      <c r="L10" s="267"/>
      <c r="M10" s="267"/>
      <c r="N10" s="267"/>
      <c r="O10" s="267"/>
      <c r="P10" s="267"/>
      <c r="Q10" s="267"/>
      <c r="R10" s="267"/>
      <c r="S10" s="267"/>
      <c r="T10" s="267"/>
      <c r="U10" s="267"/>
      <c r="V10" s="267"/>
    </row>
    <row r="11" spans="1:22" ht="15.6">
      <c r="A11" s="267" t="str">
        <f>'ASSUM 1'!F31</f>
        <v xml:space="preserve">   Management Fee </v>
      </c>
      <c r="B11" s="267"/>
      <c r="C11" s="846">
        <f ca="1">('ASSUM 1'!$H$31)*(1+'ASSUM 1'!$I$31)^(C$5-'ASSUM 1'!$I$27)*C$7/12*1000</f>
        <v>359.45</v>
      </c>
      <c r="D11" s="268">
        <f ca="1">('ASSUM 1'!$H$31)*(1+'ASSUM 1'!$I$31)^(D$5-'ASSUM 1'!$I$27)*D$7/12*1000</f>
        <v>632.83739999999989</v>
      </c>
      <c r="E11" s="268">
        <f ca="1">('ASSUM 1'!$H$31)*(1+'ASSUM 1'!$I$31)^(E$5-'ASSUM 1'!$I$27)*E$7/12*1000</f>
        <v>649.92400979999991</v>
      </c>
      <c r="F11" s="268">
        <f ca="1">('ASSUM 1'!$H$31)*(1+'ASSUM 1'!$I$31)^(F$5-'ASSUM 1'!$I$27)*F$7/12*1000</f>
        <v>667.47195806459968</v>
      </c>
      <c r="G11" s="268">
        <f ca="1">('ASSUM 1'!$H$31)*(1+'ASSUM 1'!$I$31)^(G$5-'ASSUM 1'!$I$27)*G$7/12*1000</f>
        <v>685.49370093234381</v>
      </c>
      <c r="H11" s="268">
        <f ca="1">('ASSUM 1'!$H$31)*(1+'ASSUM 1'!$I$31)^(H$5-'ASSUM 1'!$I$27)*H$7/12*1000</f>
        <v>704.00203085751707</v>
      </c>
      <c r="I11" s="268">
        <f ca="1">('ASSUM 1'!$H$31)*(1+'ASSUM 1'!$I$31)^(I$5-'ASSUM 1'!$I$27)*I$7/12*1000</f>
        <v>723.01008569066994</v>
      </c>
      <c r="J11" s="268">
        <f ca="1">('ASSUM 1'!$H$31)*(1+'ASSUM 1'!$I$31)^(J$5-'ASSUM 1'!$I$27)*J$7/12*1000</f>
        <v>742.53135800431789</v>
      </c>
      <c r="K11" s="268">
        <f ca="1">('ASSUM 1'!$H$31)*(1+'ASSUM 1'!$I$31)^(K$5-'ASSUM 1'!$I$27)*K$7/12*1000</f>
        <v>762.57970467043447</v>
      </c>
      <c r="L11" s="268">
        <f ca="1">('ASSUM 1'!$H$31)*(1+'ASSUM 1'!$I$31)^(L$5-'ASSUM 1'!$I$27)*L$7/12*1000</f>
        <v>783.16935669653617</v>
      </c>
      <c r="M11" s="268">
        <f ca="1">('ASSUM 1'!$H$31)*(1+'ASSUM 1'!$I$31)^(M$5-'ASSUM 1'!$I$27)*M$7/12*1000</f>
        <v>804.3149293273425</v>
      </c>
      <c r="N11" s="268">
        <f ca="1">('ASSUM 1'!$H$31)*(1+'ASSUM 1'!$I$31)^(N$5-'ASSUM 1'!$I$27)*N$7/12*1000</f>
        <v>826.03143241918076</v>
      </c>
      <c r="O11" s="268">
        <f ca="1">('ASSUM 1'!$H$31)*(1+'ASSUM 1'!$I$31)^(O$5-'ASSUM 1'!$I$27)*O$7/12*1000</f>
        <v>848.33428109449858</v>
      </c>
      <c r="P11" s="268">
        <f ca="1">('ASSUM 1'!$H$31)*(1+'ASSUM 1'!$I$31)^(P$5-'ASSUM 1'!$I$27)*P$7/12*1000</f>
        <v>871.23930668404989</v>
      </c>
      <c r="Q11" s="268">
        <f ca="1">('ASSUM 1'!$H$31)*(1+'ASSUM 1'!$I$31)^(Q$5-'ASSUM 1'!$I$27)*Q$7/12*1000</f>
        <v>894.7627679645193</v>
      </c>
      <c r="R11" s="268">
        <f ca="1">('ASSUM 1'!$H$31)*(1+'ASSUM 1'!$I$31)^(R$5-'ASSUM 1'!$I$27)*R$7/12*1000</f>
        <v>918.92136269956109</v>
      </c>
      <c r="S11" s="268">
        <f ca="1">('ASSUM 1'!$H$31)*(1+'ASSUM 1'!$I$31)^(S$5-'ASSUM 1'!$I$27)*S$7/12*1000</f>
        <v>943.73223949244914</v>
      </c>
      <c r="T11" s="268">
        <f ca="1">('ASSUM 1'!$H$31)*(1+'ASSUM 1'!$I$31)^(T$5-'ASSUM 1'!$I$27)*T$7/12*1000</f>
        <v>969.21300995874515</v>
      </c>
      <c r="U11" s="268">
        <f ca="1">('ASSUM 1'!$H$31)*(1+'ASSUM 1'!$I$31)^(U$5-'ASSUM 1'!$I$27)*U$7/12*1000</f>
        <v>995.38176122763139</v>
      </c>
      <c r="V11" s="268">
        <f ca="1">('ASSUM 1'!$H$31)*(1+'ASSUM 1'!$I$31)^(V$5-'ASSUM 1'!$I$27)*V$7/12*1000</f>
        <v>1022.257068780777</v>
      </c>
    </row>
    <row r="12" spans="1:22" ht="15.6">
      <c r="A12" s="267" t="str">
        <f>'ASSUM 1'!F32</f>
        <v xml:space="preserve">   Fixed Costs</v>
      </c>
      <c r="B12" s="267"/>
      <c r="C12" s="269">
        <f ca="1">('ASSUM 1'!H32)*(1+'ASSUM 1'!I32)^(C$5-'ASSUM 1'!I27)*C$7/12*1000-200</f>
        <v>716.59749999999997</v>
      </c>
      <c r="D12" s="268">
        <f ca="1">('ASSUM 1'!H32)*(1+'ASSUM 1'!I32)^(D$5-'ASSUM 1'!I27)*D$7/12*1000</f>
        <v>1613.7353699999996</v>
      </c>
      <c r="E12" s="268">
        <f ca="1">('ASSUM 1'!H32)*(1+'ASSUM 1'!I32)^(E$5-'ASSUM 1'!I27)*E$7/12*1000</f>
        <v>1657.3062249899995</v>
      </c>
      <c r="F12" s="268">
        <f ca="1">('ASSUM 1'!H32)*(1+'ASSUM 1'!I32)^(F$5-'ASSUM 1'!I27)*F$7/12*1000</f>
        <v>1702.0534930647291</v>
      </c>
      <c r="G12" s="268">
        <f ca="1">('ASSUM 1'!H32)*(1+'ASSUM 1'!I32)^(G$5-'ASSUM 1'!I27)*G$7/12*1000</f>
        <v>1748.0089373774767</v>
      </c>
      <c r="H12" s="268">
        <f ca="1">('ASSUM 1'!H32)*(1+'ASSUM 1'!I32)^(H$5-'ASSUM 1'!I27)*H$7/12*1000</f>
        <v>1795.2051786866684</v>
      </c>
      <c r="I12" s="268">
        <f ca="1">('ASSUM 1'!H32)*(1+'ASSUM 1'!I32)^(I$5-'ASSUM 1'!I27)*I$7/12*1000</f>
        <v>1843.6757185112083</v>
      </c>
      <c r="J12" s="268">
        <f ca="1">('ASSUM 1'!H32)*(1+'ASSUM 1'!I32)^(J$5-'ASSUM 1'!I27)*J$7/12*1000</f>
        <v>1893.4549629110109</v>
      </c>
      <c r="K12" s="268">
        <f ca="1">('ASSUM 1'!H32)*(1+'ASSUM 1'!I32)^(K$5-'ASSUM 1'!I27)*K$7/12*1000</f>
        <v>1944.578246909608</v>
      </c>
      <c r="L12" s="268">
        <f ca="1">('ASSUM 1'!H32)*(1+'ASSUM 1'!I32)^(L$5-'ASSUM 1'!I27)*L$7/12*1000</f>
        <v>1997.0818595761673</v>
      </c>
      <c r="M12" s="268">
        <f ca="1">('ASSUM 1'!H32)*(1+'ASSUM 1'!I32)^(M$5-'ASSUM 1'!I27)*M$7/12*1000</f>
        <v>2051.0030697847237</v>
      </c>
      <c r="N12" s="268">
        <f ca="1">('ASSUM 1'!H32)*(1+'ASSUM 1'!I32)^(N$5-'ASSUM 1'!I27)*N$7/12*1000</f>
        <v>2106.3801526689108</v>
      </c>
      <c r="O12" s="268">
        <f ca="1">('ASSUM 1'!H32)*(1+'ASSUM 1'!I32)^(O$5-'ASSUM 1'!I27)*O$7/12*1000</f>
        <v>2163.2524167909714</v>
      </c>
      <c r="P12" s="268">
        <f ca="1">('ASSUM 1'!H32)*(1+'ASSUM 1'!I32)^(P$5-'ASSUM 1'!I27)*P$7/12*1000</f>
        <v>2221.6602320443276</v>
      </c>
      <c r="Q12" s="268">
        <f ca="1">('ASSUM 1'!H32)*(1+'ASSUM 1'!I32)^(Q$5-'ASSUM 1'!I27)*Q$7/12*1000</f>
        <v>2281.6450583095238</v>
      </c>
      <c r="R12" s="268">
        <f ca="1">('ASSUM 1'!H32)*(1+'ASSUM 1'!I32)^(R$5-'ASSUM 1'!I27)*R$7/12*1000</f>
        <v>2343.2494748838808</v>
      </c>
      <c r="S12" s="268">
        <f ca="1">('ASSUM 1'!H32)*(1+'ASSUM 1'!I32)^(S$5-'ASSUM 1'!I27)*S$7/12*1000</f>
        <v>2406.5172107057451</v>
      </c>
      <c r="T12" s="268">
        <f ca="1">('ASSUM 1'!H32)*(1+'ASSUM 1'!I32)^(T$5-'ASSUM 1'!I27)*T$7/12*1000</f>
        <v>2471.4931753948003</v>
      </c>
      <c r="U12" s="268">
        <f ca="1">('ASSUM 1'!H32)*(1+'ASSUM 1'!I32)^(U$5-'ASSUM 1'!I27)*U$7/12*1000</f>
        <v>2538.2234911304604</v>
      </c>
      <c r="V12" s="268">
        <f ca="1">('ASSUM 1'!H32)*(1+'ASSUM 1'!I32)^(V$5-'ASSUM 1'!I27)*V$7/12*1000</f>
        <v>2606.7555253909818</v>
      </c>
    </row>
    <row r="13" spans="1:22" ht="15.6">
      <c r="A13" s="267" t="str">
        <f>'ASSUM 1'!F33</f>
        <v xml:space="preserve">   Variable Costs mills/kw</v>
      </c>
      <c r="B13" s="267"/>
      <c r="C13" s="846">
        <f ca="1">('ASSUM 1'!$H33)*(1+'ASSUM 1'!$I33)^(C$5-'ASSUM 1'!$I$27)*Tariff!C17</f>
        <v>120.25499490241425</v>
      </c>
      <c r="D13" s="268">
        <f ca="1">('ASSUM 1'!$H33)*(1+'ASSUM 1'!$I33)^(D$5-'ASSUM 1'!$I$27)*Tariff!D17</f>
        <v>411.44055248779011</v>
      </c>
      <c r="E13" s="268">
        <f ca="1">('ASSUM 1'!$H33)*(1+'ASSUM 1'!$I33)^(E$5-'ASSUM 1'!$I$27)*Tariff!E17</f>
        <v>458.9775301332395</v>
      </c>
      <c r="F13" s="268">
        <f ca="1">('ASSUM 1'!$H33)*(1+'ASSUM 1'!$I33)^(F$5-'ASSUM 1'!$I$27)*Tariff!F17</f>
        <v>486.22686103123624</v>
      </c>
      <c r="G13" s="268">
        <f ca="1">('ASSUM 1'!$H33)*(1+'ASSUM 1'!$I33)^(G$5-'ASSUM 1'!$I$27)*Tariff!G17</f>
        <v>474.91625930541232</v>
      </c>
      <c r="H13" s="268">
        <f ca="1">('ASSUM 1'!$H33)*(1+'ASSUM 1'!$I33)^(H$5-'ASSUM 1'!$I$27)*Tariff!H17</f>
        <v>463.41350416593616</v>
      </c>
      <c r="I13" s="268">
        <f ca="1">('ASSUM 1'!$H33)*(1+'ASSUM 1'!$I33)^(I$5-'ASSUM 1'!$I$27)*Tariff!I17</f>
        <v>490.97539219378996</v>
      </c>
      <c r="J13" s="268">
        <f ca="1">('ASSUM 1'!$H33)*(1+'ASSUM 1'!$I33)^(J$5-'ASSUM 1'!$I$27)*Tariff!J17</f>
        <v>517.139063426863</v>
      </c>
      <c r="K13" s="268">
        <f ca="1">('ASSUM 1'!$H33)*(1+'ASSUM 1'!$I33)^(K$5-'ASSUM 1'!$I$27)*Tariff!K17</f>
        <v>526.99799539905928</v>
      </c>
      <c r="L13" s="268">
        <f ca="1">('ASSUM 1'!$H33)*(1+'ASSUM 1'!$I33)^(L$5-'ASSUM 1'!$I$27)*Tariff!L17</f>
        <v>532.44116858828158</v>
      </c>
      <c r="M13" s="268">
        <f ca="1">('ASSUM 1'!$H33)*(1+'ASSUM 1'!$I33)^(M$5-'ASSUM 1'!$I$27)*Tariff!M17</f>
        <v>542.48870360831086</v>
      </c>
      <c r="N13" s="268">
        <f ca="1">('ASSUM 1'!$H33)*(1+'ASSUM 1'!$I33)^(N$5-'ASSUM 1'!$I$27)*Tariff!N17</f>
        <v>549.27326079062163</v>
      </c>
      <c r="O13" s="268">
        <f ca="1">('ASSUM 1'!$H33)*(1+'ASSUM 1'!$I33)^(O$5-'ASSUM 1'!$I$27)*Tariff!O17</f>
        <v>580.36675793683435</v>
      </c>
      <c r="P13" s="268">
        <f ca="1">('ASSUM 1'!$H33)*(1+'ASSUM 1'!$I33)^(P$5-'ASSUM 1'!$I$27)*Tariff!P17</f>
        <v>585.44141441491877</v>
      </c>
      <c r="Q13" s="268">
        <f ca="1">('ASSUM 1'!$H33)*(1+'ASSUM 1'!$I33)^(Q$5-'ASSUM 1'!$I$27)*Tariff!Q17</f>
        <v>608.54066088161153</v>
      </c>
      <c r="R13" s="268">
        <f ca="1">('ASSUM 1'!$H33)*(1+'ASSUM 1'!$I33)^(R$5-'ASSUM 1'!$I$27)*Tariff!R17</f>
        <v>607.47286496280128</v>
      </c>
      <c r="S13" s="268">
        <f ca="1">('ASSUM 1'!$H33)*(1+'ASSUM 1'!$I33)^(S$5-'ASSUM 1'!$I$27)*Tariff!S17</f>
        <v>629.71284504303196</v>
      </c>
      <c r="T13" s="268">
        <f ca="1">('ASSUM 1'!$H33)*(1+'ASSUM 1'!$I33)^(T$5-'ASSUM 1'!$I$27)*Tariff!T17</f>
        <v>642.83540739205682</v>
      </c>
      <c r="U13" s="268">
        <f ca="1">('ASSUM 1'!$H33)*(1+'ASSUM 1'!$I33)^(U$5-'ASSUM 1'!$I$27)*Tariff!U17</f>
        <v>661.55637318672632</v>
      </c>
      <c r="V13" s="268">
        <f ca="1">('ASSUM 1'!$H33)*(1+'ASSUM 1'!$I33)^(V$5-'ASSUM 1'!$I$27)*Tariff!V17</f>
        <v>656.82471843033113</v>
      </c>
    </row>
    <row r="14" spans="1:22" ht="15.6">
      <c r="A14" s="267" t="str">
        <f>'ASSUM 1'!F34</f>
        <v xml:space="preserve">   Maintenance Reserve</v>
      </c>
      <c r="B14" s="267"/>
      <c r="C14" s="846">
        <f ca="1">('ASSUM 1'!$H34)*(1+'ASSUM 1'!$I34)^(C$5-'ASSUM 1'!$I$27)*C$7/12*1000*Tariff!C10/'ASSUM 1'!$D$7</f>
        <v>359.45</v>
      </c>
      <c r="D14" s="268">
        <f ca="1">('ASSUM 1'!$H34)*(1+'ASSUM 1'!$I34)^(D$5-'ASSUM 1'!$I$27)*D$7/12*1000*Tariff!D10/'ASSUM 1'!$D$7</f>
        <v>1447.0881879999997</v>
      </c>
      <c r="E14" s="268">
        <f ca="1">('ASSUM 1'!$H34)*(1+'ASSUM 1'!$I34)^(E$5-'ASSUM 1'!$I$27)*E$7/12*1000*Tariff!E10/'ASSUM 1'!$D$7</f>
        <v>1486.1595690759998</v>
      </c>
      <c r="F14" s="268">
        <f ca="1">('ASSUM 1'!$H34)*(1+'ASSUM 1'!$I34)^(F$5-'ASSUM 1'!$I$27)*F$7/12*1000*Tariff!F10/'ASSUM 1'!$D$7</f>
        <v>1526.2858774410513</v>
      </c>
      <c r="G14" s="268">
        <f ca="1">('ASSUM 1'!$H34)*(1+'ASSUM 1'!$I34)^(G$5-'ASSUM 1'!$I$27)*G$7/12*1000*Tariff!G10/'ASSUM 1'!$D$7</f>
        <v>1567.4955961319592</v>
      </c>
      <c r="H14" s="268">
        <f ca="1">('ASSUM 1'!$H34)*(1+'ASSUM 1'!$I34)^(H$5-'ASSUM 1'!$I$27)*H$7/12*1000*Tariff!H10/'ASSUM 1'!$D$7</f>
        <v>1609.8179772275221</v>
      </c>
      <c r="I14" s="268">
        <f ca="1">('ASSUM 1'!$H34)*(1+'ASSUM 1'!$I34)^(I$5-'ASSUM 1'!$I$27)*I$7/12*1000*Tariff!I10/'ASSUM 1'!$D$7</f>
        <v>1653.2830626126649</v>
      </c>
      <c r="J14" s="268">
        <f ca="1">('ASSUM 1'!$H34)*(1+'ASSUM 1'!$I34)^(J$5-'ASSUM 1'!$I$27)*J$7/12*1000*Tariff!J10/'ASSUM 1'!$D$7</f>
        <v>1697.9217053032069</v>
      </c>
      <c r="K14" s="268">
        <f ca="1">('ASSUM 1'!$H34)*(1+'ASSUM 1'!$I34)^(K$5-'ASSUM 1'!$I$27)*K$7/12*1000*Tariff!K10/'ASSUM 1'!$D$7</f>
        <v>1743.7655913463932</v>
      </c>
      <c r="L14" s="268">
        <f ca="1">('ASSUM 1'!$H34)*(1+'ASSUM 1'!$I34)^(L$5-'ASSUM 1'!$I$27)*L$7/12*1000*Tariff!L10/'ASSUM 1'!$D$7</f>
        <v>1790.8472623127454</v>
      </c>
      <c r="M14" s="268">
        <f ca="1">('ASSUM 1'!$H34)*(1+'ASSUM 1'!$I34)^(M$5-'ASSUM 1'!$I$27)*M$7/12*1000*Tariff!M10/'ASSUM 1'!$D$7</f>
        <v>1839.2001383951899</v>
      </c>
      <c r="N14" s="268">
        <f ca="1">('ASSUM 1'!$H34)*(1+'ASSUM 1'!$I34)^(N$5-'ASSUM 1'!$I$27)*N$7/12*1000*Tariff!N10/'ASSUM 1'!$D$7</f>
        <v>1888.8585421318598</v>
      </c>
      <c r="O14" s="268">
        <f ca="1">('ASSUM 1'!$H34)*(1+'ASSUM 1'!$I34)^(O$5-'ASSUM 1'!$I$27)*O$7/12*1000*Tariff!O10/'ASSUM 1'!$D$7</f>
        <v>1939.8577227694198</v>
      </c>
      <c r="P14" s="268">
        <f ca="1">('ASSUM 1'!$H34)*(1+'ASSUM 1'!$I34)^(P$5-'ASSUM 1'!$I$27)*P$7/12*1000*Tariff!P10/'ASSUM 1'!$D$7</f>
        <v>1992.2338812841938</v>
      </c>
      <c r="Q14" s="268">
        <f ca="1">('ASSUM 1'!$H34)*(1+'ASSUM 1'!$I34)^(Q$5-'ASSUM 1'!$I$27)*Q$7/12*1000*Tariff!Q10/'ASSUM 1'!$D$7</f>
        <v>2046.0241960788671</v>
      </c>
      <c r="R14" s="268">
        <f ca="1">('ASSUM 1'!$H34)*(1+'ASSUM 1'!$I34)^(R$5-'ASSUM 1'!$I$27)*R$7/12*1000*Tariff!R10/'ASSUM 1'!$D$7</f>
        <v>2101.2668493729961</v>
      </c>
      <c r="S14" s="268">
        <f ca="1">('ASSUM 1'!$H34)*(1+'ASSUM 1'!$I34)^(S$5-'ASSUM 1'!$I$27)*S$7/12*1000*Tariff!S10/'ASSUM 1'!$D$7</f>
        <v>2158.0010543060666</v>
      </c>
      <c r="T14" s="268">
        <f ca="1">('ASSUM 1'!$H34)*(1+'ASSUM 1'!$I34)^(T$5-'ASSUM 1'!$I$27)*T$7/12*1000*Tariff!T10/'ASSUM 1'!$D$7</f>
        <v>2216.2670827723305</v>
      </c>
      <c r="U14" s="268">
        <f ca="1">('ASSUM 1'!$H34)*(1+'ASSUM 1'!$I34)^(U$5-'ASSUM 1'!$I$27)*U$7/12*1000*Tariff!U10/'ASSUM 1'!$D$7</f>
        <v>2276.1062940071829</v>
      </c>
      <c r="V14" s="268">
        <f ca="1">('ASSUM 1'!$H34)*(1+'ASSUM 1'!$I34)^(V$5-'ASSUM 1'!$I$27)*V$7/12*1000*Tariff!V10/'ASSUM 1'!$D$7</f>
        <v>2337.5611639453764</v>
      </c>
    </row>
    <row r="15" spans="1:22" ht="15.6">
      <c r="A15" s="267" t="str">
        <f>'ASSUM 1'!F35</f>
        <v xml:space="preserve">   O&amp;M Fee</v>
      </c>
      <c r="B15" s="267"/>
      <c r="C15" s="268">
        <f ca="1">('ASSUM 1'!H35)*(1+'ASSUM 1'!I35)^(C$5-'ASSUM 1'!I27)*C$7/12*1000</f>
        <v>179.72499999999999</v>
      </c>
      <c r="D15" s="268">
        <f ca="1">('ASSUM 1'!H35)*(1+'ASSUM 1'!I35)^(D$5-'ASSUM 1'!I27)*D$7/12*1000*D7/12</f>
        <v>316.41869999999994</v>
      </c>
      <c r="E15" s="268">
        <f ca="1">('ASSUM 1'!H35)*(1+'ASSUM 1'!I35)^(E$5-'ASSUM 1'!I27)*E$7/12*1000*E7/12</f>
        <v>324.96200489999995</v>
      </c>
      <c r="F15" s="268">
        <f ca="1">('ASSUM 1'!H35)*(1+'ASSUM 1'!I35)^(F$5-'ASSUM 1'!I27)*F$7/12*1000*F7/12</f>
        <v>333.73597903229984</v>
      </c>
      <c r="G15" s="268">
        <f ca="1">('ASSUM 1'!H35)*(1+'ASSUM 1'!I35)^(G$5-'ASSUM 1'!I27)*G$7/12*1000*G7/12</f>
        <v>342.74685046617191</v>
      </c>
      <c r="H15" s="268">
        <f ca="1">('ASSUM 1'!H35)*(1+'ASSUM 1'!I35)^(H$5-'ASSUM 1'!I27)*H$7/12*1000*H7/12</f>
        <v>352.00101542875854</v>
      </c>
      <c r="I15" s="268">
        <f ca="1">('ASSUM 1'!H35)*(1+'ASSUM 1'!I35)^(I$5-'ASSUM 1'!I27)*I$7/12*1000*I7/12</f>
        <v>361.50504284533491</v>
      </c>
      <c r="J15" s="268">
        <f ca="1">('ASSUM 1'!H35)*(1+'ASSUM 1'!I35)^(J$5-'ASSUM 1'!I27)*J$7/12*1000*J7/12</f>
        <v>371.26567900215895</v>
      </c>
      <c r="K15" s="268">
        <f ca="1">('ASSUM 1'!H35)*(1+'ASSUM 1'!I35)^(K$5-'ASSUM 1'!I27)*K$7/12*1000*K7/12</f>
        <v>381.28985233521718</v>
      </c>
      <c r="L15" s="268">
        <f ca="1">('ASSUM 1'!H35)*(1+'ASSUM 1'!I35)^(L$5-'ASSUM 1'!I27)*L$7/12*1000*L7/12</f>
        <v>391.58467834826814</v>
      </c>
      <c r="M15" s="268">
        <f ca="1">('ASSUM 1'!H35)*(1+'ASSUM 1'!I35)^(M$5-'ASSUM 1'!I27)*M$7/12*1000*M7/12</f>
        <v>402.15746466367119</v>
      </c>
      <c r="N15" s="268">
        <f ca="1">('ASSUM 1'!H35)*(1+'ASSUM 1'!I35)^(N$5-'ASSUM 1'!I27)*N$7/12*1000*N7/12</f>
        <v>413.01571620959038</v>
      </c>
      <c r="O15" s="268">
        <f ca="1">('ASSUM 1'!H35)*(1+'ASSUM 1'!I35)^(O$5-'ASSUM 1'!I27)*O$7/12*1000*O7/12</f>
        <v>424.16714054724929</v>
      </c>
      <c r="P15" s="268">
        <f ca="1">('ASSUM 1'!H35)*(1+'ASSUM 1'!I35)^(P$5-'ASSUM 1'!I27)*P$7/12*1000*P7/12</f>
        <v>435.61965334202495</v>
      </c>
      <c r="Q15" s="268">
        <f ca="1">('ASSUM 1'!H35)*(1+'ASSUM 1'!I35)^(Q$5-'ASSUM 1'!I27)*Q$7/12*1000*Q7/12</f>
        <v>447.38138398225965</v>
      </c>
      <c r="R15" s="268">
        <f ca="1">('ASSUM 1'!H35)*(1+'ASSUM 1'!I35)^(R$5-'ASSUM 1'!I27)*R$7/12*1000*R7/12</f>
        <v>459.46068134978054</v>
      </c>
      <c r="S15" s="268">
        <f ca="1">('ASSUM 1'!H35)*(1+'ASSUM 1'!I35)^(S$5-'ASSUM 1'!I27)*S$7/12*1000*S7/12</f>
        <v>471.86611974622457</v>
      </c>
      <c r="T15" s="268">
        <f ca="1">('ASSUM 1'!H35)*(1+'ASSUM 1'!I35)^(T$5-'ASSUM 1'!I27)*T$7/12*1000*T7/12</f>
        <v>484.60650497937257</v>
      </c>
      <c r="U15" s="268">
        <f ca="1">('ASSUM 1'!H35)*(1+'ASSUM 1'!I35)^(U$5-'ASSUM 1'!I27)*U$7/12*1000*U7/12</f>
        <v>497.69088061381564</v>
      </c>
      <c r="V15" s="268">
        <f ca="1">('ASSUM 1'!H35)*(1+'ASSUM 1'!I35)^(V$5-'ASSUM 1'!I27)*V$7/12*1000*V7/12</f>
        <v>511.1285343903885</v>
      </c>
    </row>
    <row r="16" spans="1:22" ht="15.6">
      <c r="A16" s="267" t="str">
        <f>'ASSUM 1'!F36</f>
        <v xml:space="preserve">   TPS Parts Co. </v>
      </c>
      <c r="B16" s="267"/>
      <c r="C16" s="846">
        <f ca="1">('ASSUM 1'!H36)*(1+'ASSUM 1'!I36)^(C$5-'ASSUM 1'!I27)*C$7/12*1000</f>
        <v>325.62555295992695</v>
      </c>
      <c r="D16" s="268">
        <f ca="1">('ASSUM 1'!H36)*(1+'ASSUM 1'!I36)^(D$5-'ASSUM 1'!I27)*D$7/12*1000</f>
        <v>558.21523364558902</v>
      </c>
      <c r="E16" s="268">
        <f ca="1">('ASSUM 1'!H36)*(1+'ASSUM 1'!I36)^(E$5-'ASSUM 1'!I27)*E$7/12*1000</f>
        <v>558.21523364558902</v>
      </c>
      <c r="F16" s="268">
        <f ca="1">('ASSUM 1'!H36)*(1+'ASSUM 1'!I36)^(F$5-'ASSUM 1'!I27)*F$7/12*1000</f>
        <v>558.21523364558902</v>
      </c>
      <c r="G16" s="268">
        <f ca="1">('ASSUM 1'!H36)*(1+'ASSUM 1'!I36)^(G$5-'ASSUM 1'!I27)*G$7/12*1000</f>
        <v>558.21523364558902</v>
      </c>
      <c r="H16" s="268">
        <f ca="1">('ASSUM 1'!H36)*(1+'ASSUM 1'!I36)^(H$5-'ASSUM 1'!I27)*H$7/12*1000</f>
        <v>558.21523364558902</v>
      </c>
      <c r="I16" s="268">
        <f ca="1">('ASSUM 1'!H36)*(1+'ASSUM 1'!I36)^(I$5-'ASSUM 1'!I27)*I$7/12*1000</f>
        <v>558.21523364558902</v>
      </c>
      <c r="J16" s="268">
        <f ca="1">('ASSUM 1'!H36)*(1+'ASSUM 1'!I36)^(J$5-'ASSUM 1'!I27)*J$7/12*1000</f>
        <v>558.21523364558902</v>
      </c>
      <c r="K16" s="268">
        <f ca="1">('ASSUM 1'!H36)*(1+'ASSUM 1'!I36)^(K$5-'ASSUM 1'!I27)*K$7/12*1000</f>
        <v>558.21523364558902</v>
      </c>
      <c r="L16" s="268">
        <f ca="1">('ASSUM 1'!H36)*(1+'ASSUM 1'!I36)^(L$5-'ASSUM 1'!I27)*L$7/12*1000</f>
        <v>558.21523364558902</v>
      </c>
      <c r="M16" s="268">
        <f ca="1">('ASSUM 1'!H36)*(1+'ASSUM 1'!I36)^(M$5-'ASSUM 1'!I27)*M$7/12*1000</f>
        <v>558.21523364558902</v>
      </c>
      <c r="N16" s="268">
        <f ca="1">('ASSUM 1'!H36)*(1+'ASSUM 1'!I36)^(N$5-'ASSUM 1'!I27)*N$7/12*1000</f>
        <v>558.21523364558902</v>
      </c>
      <c r="O16" s="268">
        <f ca="1">('ASSUM 1'!H36)*(1+'ASSUM 1'!I36)^(O$5-'ASSUM 1'!I27)*O$7/12*1000</f>
        <v>558.21523364558902</v>
      </c>
      <c r="P16" s="268">
        <f ca="1">('ASSUM 1'!H36)*(1+'ASSUM 1'!I36)^(P$5-'ASSUM 1'!I27)*P$7/12*1000</f>
        <v>558.21523364558902</v>
      </c>
      <c r="Q16" s="268">
        <f ca="1">('ASSUM 1'!H36)*(1+'ASSUM 1'!I36)^(Q$5-'ASSUM 1'!I27)*Q$7/12*1000</f>
        <v>558.21523364558902</v>
      </c>
      <c r="R16" s="268">
        <f ca="1">('ASSUM 1'!H36)*(1+'ASSUM 1'!I36)^(R$5-'ASSUM 1'!I27)*R$7/12*1000</f>
        <v>558.21523364558902</v>
      </c>
      <c r="S16" s="268">
        <f ca="1">('ASSUM 1'!H36)*(1+'ASSUM 1'!I36)^(S$5-'ASSUM 1'!I27)*S$7/12*1000</f>
        <v>558.21523364558902</v>
      </c>
      <c r="T16" s="268">
        <f ca="1">('ASSUM 1'!H36)*(1+'ASSUM 1'!I36)^(T$5-'ASSUM 1'!I27)*T$7/12*1000</f>
        <v>558.21523364558902</v>
      </c>
      <c r="U16" s="268">
        <f ca="1">('ASSUM 1'!H36)*(1+'ASSUM 1'!I36)^(U$5-'ASSUM 1'!I27)*U$7/12*1000</f>
        <v>558.21523364558902</v>
      </c>
      <c r="V16" s="268">
        <f ca="1">('ASSUM 1'!H36)*(1+'ASSUM 1'!I36)^(V$5-'ASSUM 1'!I27)*V$7/12*1000</f>
        <v>558.21523364558902</v>
      </c>
    </row>
    <row r="17" spans="1:22" ht="15.6">
      <c r="A17" s="267" t="str">
        <f>'ASSUM 1'!F37</f>
        <v xml:space="preserve">   Other</v>
      </c>
      <c r="B17" s="267"/>
      <c r="C17" s="574">
        <f ca="1">('ASSUM 1'!H37)*(1+'ASSUM 1'!I37)^(C$5-'ASSUM 1'!I27)*C$7/12*1000</f>
        <v>0</v>
      </c>
      <c r="D17" s="574">
        <f ca="1">('ASSUM 1'!H37)*(1+'ASSUM 1'!I37)^(D$5-'ASSUM 1'!I27)*D$7/12*1000</f>
        <v>0</v>
      </c>
      <c r="E17" s="574">
        <f ca="1">('ASSUM 1'!H37)*(1+'ASSUM 1'!I37)^(E$5-'ASSUM 1'!I27)*E$7/12*1000</f>
        <v>0</v>
      </c>
      <c r="F17" s="574">
        <f ca="1">('ASSUM 1'!H37)*(1+'ASSUM 1'!I37)^(F$5-'ASSUM 1'!I27)*F$7/12*1000</f>
        <v>0</v>
      </c>
      <c r="G17" s="574">
        <f ca="1">('ASSUM 1'!H37)*(1+'ASSUM 1'!I37)^(G$5-'ASSUM 1'!I27)*G$7/12*1000</f>
        <v>0</v>
      </c>
      <c r="H17" s="574">
        <f ca="1">('ASSUM 1'!H37)*(1+'ASSUM 1'!I37)^(H$5-'ASSUM 1'!I27)*H$7/12*1000</f>
        <v>0</v>
      </c>
      <c r="I17" s="574">
        <f ca="1">('ASSUM 1'!H37)*(1+'ASSUM 1'!I37)^(I$5-'ASSUM 1'!I27)*I$7/12*1000</f>
        <v>0</v>
      </c>
      <c r="J17" s="574">
        <f ca="1">('ASSUM 1'!H37)*(1+'ASSUM 1'!I37)^(J$5-'ASSUM 1'!I27)*J$7/12*1000</f>
        <v>0</v>
      </c>
      <c r="K17" s="574">
        <f ca="1">('ASSUM 1'!H37)*(1+'ASSUM 1'!I37)^(K$5-'ASSUM 1'!I27)*K$7/12*1000</f>
        <v>0</v>
      </c>
      <c r="L17" s="574">
        <f ca="1">('ASSUM 1'!H37)*(1+'ASSUM 1'!I37)^(L$5-'ASSUM 1'!I27)*L$7/12*1000</f>
        <v>0</v>
      </c>
      <c r="M17" s="574">
        <f ca="1">('ASSUM 1'!H37)*(1+'ASSUM 1'!I37)^(M$5-'ASSUM 1'!I27)*M$7/12*1000</f>
        <v>0</v>
      </c>
      <c r="N17" s="574">
        <f ca="1">('ASSUM 1'!H37)*(1+'ASSUM 1'!I37)^(N$5-'ASSUM 1'!I27)*N$7/12*1000</f>
        <v>0</v>
      </c>
      <c r="O17" s="574">
        <f ca="1">('ASSUM 1'!H37)*(1+'ASSUM 1'!I37)^(O$5-'ASSUM 1'!I27)*O$7/12*1000</f>
        <v>0</v>
      </c>
      <c r="P17" s="574">
        <f ca="1">('ASSUM 1'!H37)*(1+'ASSUM 1'!I37)^(P$5-'ASSUM 1'!I27)*P$7/12*1000</f>
        <v>0</v>
      </c>
      <c r="Q17" s="574">
        <f ca="1">('ASSUM 1'!H37)*(1+'ASSUM 1'!I37)^(Q$5-'ASSUM 1'!I27)*Q$7/12*1000</f>
        <v>0</v>
      </c>
      <c r="R17" s="574">
        <f ca="1">('ASSUM 1'!H37)*(1+'ASSUM 1'!I37)^(R$5-'ASSUM 1'!I27)*R$7/12*1000</f>
        <v>0</v>
      </c>
      <c r="S17" s="574">
        <f ca="1">('ASSUM 1'!H37)*(1+'ASSUM 1'!I37)^(S$5-'ASSUM 1'!I27)*S$7/12*1000</f>
        <v>0</v>
      </c>
      <c r="T17" s="574">
        <f ca="1">('ASSUM 1'!H37)*(1+'ASSUM 1'!I37)^(T$5-'ASSUM 1'!I27)*T$7/12*1000</f>
        <v>0</v>
      </c>
      <c r="U17" s="574">
        <f ca="1">('ASSUM 1'!H37)*(1+'ASSUM 1'!I37)^(U$5-'ASSUM 1'!I27)*U$7/12*1000</f>
        <v>0</v>
      </c>
      <c r="V17" s="574">
        <f ca="1">('ASSUM 1'!H37)*(1+'ASSUM 1'!I37)^(V$5-'ASSUM 1'!I27)*V$7/12*1000</f>
        <v>0</v>
      </c>
    </row>
    <row r="18" spans="1:22" ht="15.6">
      <c r="A18" s="267" t="s">
        <v>260</v>
      </c>
      <c r="B18" s="267"/>
      <c r="C18" s="268">
        <f ca="1">SUM(C11:C17)</f>
        <v>2061.1030478623411</v>
      </c>
      <c r="D18" s="268">
        <f t="shared" ref="D18:V18" ca="1" si="2">SUM(D11:D17)</f>
        <v>4979.7354441333791</v>
      </c>
      <c r="E18" s="268">
        <f t="shared" ca="1" si="2"/>
        <v>5135.5445725448271</v>
      </c>
      <c r="F18" s="268">
        <f t="shared" ca="1" si="2"/>
        <v>5273.9894022795052</v>
      </c>
      <c r="G18" s="268">
        <f t="shared" ca="1" si="2"/>
        <v>5376.8765778589532</v>
      </c>
      <c r="H18" s="268">
        <f t="shared" ca="1" si="2"/>
        <v>5482.6549400119911</v>
      </c>
      <c r="I18" s="268">
        <f t="shared" ca="1" si="2"/>
        <v>5630.6645354992579</v>
      </c>
      <c r="J18" s="268">
        <f t="shared" ca="1" si="2"/>
        <v>5780.5280022931474</v>
      </c>
      <c r="K18" s="268">
        <f t="shared" ca="1" si="2"/>
        <v>5917.4266243063003</v>
      </c>
      <c r="L18" s="268">
        <f t="shared" ca="1" si="2"/>
        <v>6053.339559167588</v>
      </c>
      <c r="M18" s="268">
        <f t="shared" ca="1" si="2"/>
        <v>6197.3795394248273</v>
      </c>
      <c r="N18" s="268">
        <f t="shared" ca="1" si="2"/>
        <v>6341.7743378657533</v>
      </c>
      <c r="O18" s="268">
        <f t="shared" ca="1" si="2"/>
        <v>6514.1935527845626</v>
      </c>
      <c r="P18" s="268">
        <f t="shared" ca="1" si="2"/>
        <v>6664.4097214151043</v>
      </c>
      <c r="Q18" s="268">
        <f t="shared" ca="1" si="2"/>
        <v>6836.5693008623712</v>
      </c>
      <c r="R18" s="268">
        <f t="shared" ca="1" si="2"/>
        <v>6988.5864669146094</v>
      </c>
      <c r="S18" s="268">
        <f t="shared" ca="1" si="2"/>
        <v>7168.0447029391062</v>
      </c>
      <c r="T18" s="268">
        <f t="shared" ca="1" si="2"/>
        <v>7342.6304141428946</v>
      </c>
      <c r="U18" s="268">
        <f t="shared" ca="1" si="2"/>
        <v>7527.1740338114059</v>
      </c>
      <c r="V18" s="268">
        <f t="shared" ca="1" si="2"/>
        <v>7692.7422445834436</v>
      </c>
    </row>
    <row r="19" spans="1:22" ht="15.6">
      <c r="A19" s="267"/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</row>
    <row r="20" spans="1:22" ht="15.6">
      <c r="A20" s="266" t="s">
        <v>410</v>
      </c>
      <c r="B20" s="267"/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7"/>
      <c r="V20" s="267"/>
    </row>
    <row r="21" spans="1:22" ht="15.6">
      <c r="A21" s="267" t="str">
        <f>'ASSUM 1'!F40</f>
        <v xml:space="preserve">   Marketing Fee</v>
      </c>
      <c r="B21" s="267"/>
      <c r="C21" s="848">
        <f ca="1">('ASSUM 1'!H40)*(1+'ASSUM 1'!I40)^(C$5-'ASSUM 1'!I27)*C$7/12*1000</f>
        <v>89.862499999999997</v>
      </c>
      <c r="D21" s="268">
        <f ca="1">('ASSUM 1'!H40)*(1+'ASSUM 1'!I40)^(D$5-'ASSUM 1'!I27)*D$7/12*1000</f>
        <v>158.20934999999997</v>
      </c>
      <c r="E21" s="268">
        <f ca="1">('ASSUM 1'!H40)*(1+'ASSUM 1'!I40)^(E$5-'ASSUM 1'!I27)*E$7/12*1000</f>
        <v>162.48100244999998</v>
      </c>
      <c r="F21" s="268">
        <f ca="1">('ASSUM 1'!H40)*(1+'ASSUM 1'!I40)^(F$5-'ASSUM 1'!I27)*F$7/12*1000</f>
        <v>166.86798951614992</v>
      </c>
      <c r="G21" s="268">
        <f ca="1">('ASSUM 1'!H40)*(1+'ASSUM 1'!I40)^(G$5-'ASSUM 1'!I27)*G$7/12*1000</f>
        <v>171.37342523308595</v>
      </c>
      <c r="H21" s="268">
        <f ca="1">('ASSUM 1'!H40)*(1+'ASSUM 1'!I40)^(H$5-'ASSUM 1'!I27)*H$7/12*1000</f>
        <v>176.00050771437927</v>
      </c>
      <c r="I21" s="268">
        <f ca="1">('ASSUM 1'!H40)*(1+'ASSUM 1'!I40)^(I$5-'ASSUM 1'!I27)*I$7/12*1000</f>
        <v>180.75252142266748</v>
      </c>
      <c r="J21" s="268">
        <f ca="1">('ASSUM 1'!H40)*(1+'ASSUM 1'!I40)^(J$5-'ASSUM 1'!I27)*J$7/12*1000</f>
        <v>185.63283950107947</v>
      </c>
      <c r="K21" s="268">
        <f ca="1">('ASSUM 1'!H40)*(1+'ASSUM 1'!I40)^(K$5-'ASSUM 1'!I27)*K$7/12*1000</f>
        <v>190.64492616760862</v>
      </c>
      <c r="L21" s="268">
        <f ca="1">('ASSUM 1'!H40)*(1+'ASSUM 1'!I40)^(L$5-'ASSUM 1'!I27)*L$7/12*1000</f>
        <v>195.79233917413404</v>
      </c>
      <c r="M21" s="268">
        <f ca="1">('ASSUM 1'!H40)*(1+'ASSUM 1'!I40)^(M$5-'ASSUM 1'!I27)*M$7/12*1000</f>
        <v>201.07873233183562</v>
      </c>
      <c r="N21" s="268">
        <f ca="1">('ASSUM 1'!H40)*(1+'ASSUM 1'!I40)^(N$5-'ASSUM 1'!I27)*N$7/12*1000</f>
        <v>206.50785810479519</v>
      </c>
      <c r="O21" s="268">
        <f ca="1">('ASSUM 1'!H40)*(1+'ASSUM 1'!I40)^(O$5-'ASSUM 1'!I27)*O$7/12*1000</f>
        <v>212.08357027362464</v>
      </c>
      <c r="P21" s="268">
        <f ca="1">('ASSUM 1'!H40)*(1+'ASSUM 1'!I40)^(P$5-'ASSUM 1'!I27)*P$7/12*1000</f>
        <v>217.80982667101247</v>
      </c>
      <c r="Q21" s="268">
        <f ca="1">('ASSUM 1'!H40)*(1+'ASSUM 1'!I40)^(Q$5-'ASSUM 1'!I27)*Q$7/12*1000</f>
        <v>223.69069199112982</v>
      </c>
      <c r="R21" s="268">
        <f ca="1">('ASSUM 1'!H40)*(1+'ASSUM 1'!I40)^(R$5-'ASSUM 1'!I27)*R$7/12*1000</f>
        <v>229.73034067489027</v>
      </c>
      <c r="S21" s="268">
        <f ca="1">('ASSUM 1'!H40)*(1+'ASSUM 1'!I40)^(S$5-'ASSUM 1'!I27)*S$7/12*1000</f>
        <v>235.93305987311228</v>
      </c>
      <c r="T21" s="268">
        <f ca="1">('ASSUM 1'!H40)*(1+'ASSUM 1'!I40)^(T$5-'ASSUM 1'!I27)*T$7/12*1000</f>
        <v>242.30325248968629</v>
      </c>
      <c r="U21" s="268">
        <f ca="1">('ASSUM 1'!H40)*(1+'ASSUM 1'!I40)^(U$5-'ASSUM 1'!I27)*U$7/12*1000</f>
        <v>248.84544030690785</v>
      </c>
      <c r="V21" s="268">
        <f ca="1">('ASSUM 1'!H40)*(1+'ASSUM 1'!I40)^(V$5-'ASSUM 1'!I27)*V$7/12*1000</f>
        <v>255.56426719519425</v>
      </c>
    </row>
    <row r="22" spans="1:22" ht="15.6">
      <c r="A22" s="267" t="str">
        <f>'ASSUM 1'!F41</f>
        <v xml:space="preserve">   Property Tax</v>
      </c>
      <c r="B22" s="267"/>
      <c r="C22" s="268">
        <f t="shared" ref="C22:V22" ca="1" si="3">C59</f>
        <v>1.875</v>
      </c>
      <c r="D22" s="268">
        <f t="shared" ca="1" si="3"/>
        <v>612.73671120519998</v>
      </c>
      <c r="E22" s="268">
        <f t="shared" ca="1" si="3"/>
        <v>612.73671120519998</v>
      </c>
      <c r="F22" s="268">
        <f t="shared" ca="1" si="3"/>
        <v>365.40005099476804</v>
      </c>
      <c r="G22" s="268">
        <f t="shared" ca="1" si="3"/>
        <v>365.40005099476804</v>
      </c>
      <c r="H22" s="268">
        <f t="shared" ca="1" si="3"/>
        <v>365.40005099476804</v>
      </c>
      <c r="I22" s="268">
        <f t="shared" ca="1" si="3"/>
        <v>365.40005099476804</v>
      </c>
      <c r="J22" s="268">
        <f t="shared" ca="1" si="3"/>
        <v>365.40005099476804</v>
      </c>
      <c r="K22" s="268">
        <f t="shared" ca="1" si="3"/>
        <v>365.40005099476804</v>
      </c>
      <c r="L22" s="268">
        <f t="shared" ca="1" si="3"/>
        <v>365.40005099476804</v>
      </c>
      <c r="M22" s="268">
        <f t="shared" ca="1" si="3"/>
        <v>365.40005099476804</v>
      </c>
      <c r="N22" s="268">
        <f t="shared" ca="1" si="3"/>
        <v>365.40005099476804</v>
      </c>
      <c r="O22" s="268">
        <f t="shared" ca="1" si="3"/>
        <v>365.40005099476804</v>
      </c>
      <c r="P22" s="268">
        <f t="shared" ca="1" si="3"/>
        <v>365.40005099476804</v>
      </c>
      <c r="Q22" s="268">
        <f t="shared" ca="1" si="3"/>
        <v>365.40005099476804</v>
      </c>
      <c r="R22" s="268">
        <f t="shared" ca="1" si="3"/>
        <v>365.40005099476804</v>
      </c>
      <c r="S22" s="268">
        <f t="shared" ca="1" si="3"/>
        <v>365.40005099476804</v>
      </c>
      <c r="T22" s="268">
        <f t="shared" ca="1" si="3"/>
        <v>365.40005099476804</v>
      </c>
      <c r="U22" s="268">
        <f t="shared" ca="1" si="3"/>
        <v>365.40005099476804</v>
      </c>
      <c r="V22" s="268">
        <f t="shared" ca="1" si="3"/>
        <v>365.40005099476804</v>
      </c>
    </row>
    <row r="23" spans="1:22" ht="15.6">
      <c r="A23" s="267" t="str">
        <f>'ASSUM 1'!F42</f>
        <v xml:space="preserve">   Operating Insurance</v>
      </c>
      <c r="B23" s="267"/>
      <c r="C23" s="268">
        <f>'Co IS'!C13*1000/100*'ASSUM 1'!H42/1000</f>
        <v>88.776336177924293</v>
      </c>
      <c r="D23" s="268">
        <f>'Co IS'!D13*1000/100*'ASSUM 1'!H42/1000</f>
        <v>248.50335382152616</v>
      </c>
      <c r="E23" s="268">
        <f>'Co IS'!E13*1000/100*'ASSUM 1'!H42/1000</f>
        <v>247.45921281380723</v>
      </c>
      <c r="F23" s="268">
        <f>'Co IS'!F13*1000/100*'ASSUM 1'!H42/1000</f>
        <v>256.93039795307823</v>
      </c>
      <c r="G23" s="268">
        <f>'Co IS'!G13*1000/100*'ASSUM 1'!H42/1000</f>
        <v>258.76993926047396</v>
      </c>
      <c r="H23" s="268">
        <f>'Co IS'!H13*1000/100*'ASSUM 1'!H42/1000</f>
        <v>206.85674903268068</v>
      </c>
      <c r="I23" s="268">
        <f>'Co IS'!I13*1000/100*'ASSUM 1'!H42/1000</f>
        <v>252.36057917290557</v>
      </c>
      <c r="J23" s="268">
        <f>'Co IS'!J13*1000/100*'ASSUM 1'!H42/1000</f>
        <v>302.65792734887128</v>
      </c>
      <c r="K23" s="268">
        <f>'Co IS'!K13*1000/100*'ASSUM 1'!H42/1000</f>
        <v>307.10400655636886</v>
      </c>
      <c r="L23" s="268">
        <f>'Co IS'!L13*1000/100*'ASSUM 1'!H42/1000</f>
        <v>295.05510582727072</v>
      </c>
      <c r="M23" s="268">
        <f>'Co IS'!M13*1000/100*'ASSUM 1'!H42/1000</f>
        <v>300.68477657811218</v>
      </c>
      <c r="N23" s="268">
        <f>'Co IS'!N13*1000/100*'ASSUM 1'!H42/1000</f>
        <v>291.03401717738711</v>
      </c>
      <c r="O23" s="268">
        <f>'Co IS'!O13*1000/100*'ASSUM 1'!H42/1000</f>
        <v>294.2343159280943</v>
      </c>
      <c r="P23" s="268">
        <f>'Co IS'!P13*1000/100*'ASSUM 1'!H42/1000</f>
        <v>276.50156456176882</v>
      </c>
      <c r="Q23" s="268">
        <f>'Co IS'!Q13*1000/100*'ASSUM 1'!H42/1000</f>
        <v>312.28490526237573</v>
      </c>
      <c r="R23" s="268">
        <f>'Co IS'!R13*1000/100*'ASSUM 1'!H42/1000</f>
        <v>348.34800020379129</v>
      </c>
      <c r="S23" s="268">
        <f>'Co IS'!S13*1000/100*'ASSUM 1'!H42/1000</f>
        <v>384.86641324744699</v>
      </c>
      <c r="T23" s="268">
        <f>'Co IS'!T13*1000/100*'ASSUM 1'!H42/1000</f>
        <v>390.39235487160926</v>
      </c>
      <c r="U23" s="268">
        <f>'Co IS'!U13*1000/100*'ASSUM 1'!H42/1000</f>
        <v>405.20016372973572</v>
      </c>
      <c r="V23" s="268">
        <f>'Co IS'!V13*1000/100*'ASSUM 1'!H42/1000</f>
        <v>355.67402595430053</v>
      </c>
    </row>
    <row r="24" spans="1:22" ht="15.6">
      <c r="A24" s="267" t="str">
        <f>'ASSUM 1'!F43</f>
        <v xml:space="preserve">   Other</v>
      </c>
      <c r="B24" s="267"/>
      <c r="C24" s="268">
        <f ca="1">('ASSUM 1'!H43)*(1+'ASSUM 1'!I43)^(C$5-'ASSUM 1'!I27)*C$7/12*1000</f>
        <v>0</v>
      </c>
      <c r="D24" s="268">
        <f ca="1">('ASSUM 1'!H43)*(1+'ASSUM 1'!I43)^(D$5-'ASSUM 1'!I27)*D$7/12*1000</f>
        <v>0</v>
      </c>
      <c r="E24" s="268">
        <f ca="1">('ASSUM 1'!H43)*(1+'ASSUM 1'!I43)^(E$5-'ASSUM 1'!I27)*E$7/12*1000</f>
        <v>0</v>
      </c>
      <c r="F24" s="268">
        <f ca="1">('ASSUM 1'!H43)*(1+'ASSUM 1'!I43)^(F$5-'ASSUM 1'!I27)*F$7/12*1000</f>
        <v>0</v>
      </c>
      <c r="G24" s="268">
        <f ca="1">('ASSUM 1'!H43)*(1+'ASSUM 1'!I43)^(G$5-'ASSUM 1'!I27)*G$7/12*1000</f>
        <v>0</v>
      </c>
      <c r="H24" s="268">
        <f ca="1">('ASSUM 1'!H43)*(1+'ASSUM 1'!I43)^(H$5-'ASSUM 1'!I27)*H$7/12*1000</f>
        <v>0</v>
      </c>
      <c r="I24" s="268">
        <f ca="1">('ASSUM 1'!H43)*(1+'ASSUM 1'!I43)^(I$5-'ASSUM 1'!I27)*I$7/12*1000</f>
        <v>0</v>
      </c>
      <c r="J24" s="268">
        <f ca="1">('ASSUM 1'!H43)*(1+'ASSUM 1'!I43)^(J$5-'ASSUM 1'!I27)*J$7/12*1000</f>
        <v>0</v>
      </c>
      <c r="K24" s="268">
        <f ca="1">('ASSUM 1'!H43)*(1+'ASSUM 1'!I43)^(K$5-'ASSUM 1'!I27)*K$7/12*1000</f>
        <v>0</v>
      </c>
      <c r="L24" s="268">
        <f ca="1">('ASSUM 1'!H43)*(1+'ASSUM 1'!I43)^(L$5-'ASSUM 1'!I27)*L$7/12*1000</f>
        <v>0</v>
      </c>
      <c r="M24" s="268">
        <f ca="1">('ASSUM 1'!H43)*(1+'ASSUM 1'!I43)^(M$5-'ASSUM 1'!I27)*M$7/12*1000</f>
        <v>0</v>
      </c>
      <c r="N24" s="268">
        <f ca="1">('ASSUM 1'!H43)*(1+'ASSUM 1'!I43)^(N$5-'ASSUM 1'!I27)*N$7/12*1000</f>
        <v>0</v>
      </c>
      <c r="O24" s="268">
        <f ca="1">('ASSUM 1'!H43)*(1+'ASSUM 1'!I43)^(O$5-'ASSUM 1'!I27)*O$7/12*1000</f>
        <v>0</v>
      </c>
      <c r="P24" s="268">
        <f ca="1">('ASSUM 1'!H43)*(1+'ASSUM 1'!I43)^(P$5-'ASSUM 1'!I27)*P$7/12*1000</f>
        <v>0</v>
      </c>
      <c r="Q24" s="268">
        <f ca="1">('ASSUM 1'!H43)*(1+'ASSUM 1'!I43)^(Q$5-'ASSUM 1'!I27)*Q$7/12*1000</f>
        <v>0</v>
      </c>
      <c r="R24" s="268">
        <f ca="1">('ASSUM 1'!H43)*(1+'ASSUM 1'!I43)^(R$5-'ASSUM 1'!I27)*R$7/12*1000</f>
        <v>0</v>
      </c>
      <c r="S24" s="268">
        <f ca="1">('ASSUM 1'!H43)*(1+'ASSUM 1'!I43)^(S$5-'ASSUM 1'!I27)*S$7/12*1000</f>
        <v>0</v>
      </c>
      <c r="T24" s="268">
        <f ca="1">('ASSUM 1'!H43)*(1+'ASSUM 1'!I43)^(T$5-'ASSUM 1'!I27)*T$7/12*1000</f>
        <v>0</v>
      </c>
      <c r="U24" s="268">
        <f ca="1">('ASSUM 1'!H43)*(1+'ASSUM 1'!I43)^(U$5-'ASSUM 1'!I27)*U$7/12*1000</f>
        <v>0</v>
      </c>
      <c r="V24" s="268">
        <f ca="1">('ASSUM 1'!H43)*(1+'ASSUM 1'!I43)^(V$5-'ASSUM 1'!I27)*V$7/12*1000</f>
        <v>0</v>
      </c>
    </row>
    <row r="25" spans="1:22" ht="15.6">
      <c r="A25" s="267" t="str">
        <f>'ASSUM 1'!F44</f>
        <v xml:space="preserve">   Other</v>
      </c>
      <c r="B25" s="267"/>
      <c r="C25" s="268">
        <f ca="1">('ASSUM 1'!H44)*(1+'ASSUM 1'!I44)^(C$5-'ASSUM 1'!I27)*C$7/12*1000</f>
        <v>0</v>
      </c>
      <c r="D25" s="268">
        <f ca="1">('ASSUM 1'!H44)*(1+'ASSUM 1'!I44)^(D$5-'ASSUM 1'!I27)*D$7/12*1000</f>
        <v>0</v>
      </c>
      <c r="E25" s="268">
        <f ca="1">('ASSUM 1'!H44)*(1+'ASSUM 1'!I44)^(E$5-'ASSUM 1'!I27)*E$7/12*1000</f>
        <v>0</v>
      </c>
      <c r="F25" s="268">
        <f ca="1">('ASSUM 1'!H44)*(1+'ASSUM 1'!I44)^(F$5-'ASSUM 1'!I27)*F$7/12*1000</f>
        <v>0</v>
      </c>
      <c r="G25" s="268">
        <f ca="1">('ASSUM 1'!H44)*(1+'ASSUM 1'!I44)^(G$5-'ASSUM 1'!I27)*G$7/12*1000</f>
        <v>0</v>
      </c>
      <c r="H25" s="268">
        <f ca="1">('ASSUM 1'!H44)*(1+'ASSUM 1'!I44)^(H$5-'ASSUM 1'!I27)*H$7/12*1000</f>
        <v>0</v>
      </c>
      <c r="I25" s="268">
        <f ca="1">('ASSUM 1'!H44)*(1+'ASSUM 1'!I44)^(I$5-'ASSUM 1'!I27)*I$7/12*1000</f>
        <v>0</v>
      </c>
      <c r="J25" s="268">
        <f ca="1">('ASSUM 1'!H44)*(1+'ASSUM 1'!I44)^(J$5-'ASSUM 1'!I27)*J$7/12*1000</f>
        <v>0</v>
      </c>
      <c r="K25" s="268">
        <f ca="1">('ASSUM 1'!H44)*(1+'ASSUM 1'!I44)^(K$5-'ASSUM 1'!I27)*K$7/12*1000</f>
        <v>0</v>
      </c>
      <c r="L25" s="268">
        <f ca="1">('ASSUM 1'!H44)*(1+'ASSUM 1'!I44)^(L$5-'ASSUM 1'!I27)*L$7/12*1000</f>
        <v>0</v>
      </c>
      <c r="M25" s="268">
        <f ca="1">('ASSUM 1'!H44)*(1+'ASSUM 1'!I44)^(M$5-'ASSUM 1'!I27)*M$7/12*1000</f>
        <v>0</v>
      </c>
      <c r="N25" s="268">
        <f ca="1">('ASSUM 1'!H44)*(1+'ASSUM 1'!I44)^(N$5-'ASSUM 1'!I27)*N$7/12*1000</f>
        <v>0</v>
      </c>
      <c r="O25" s="268">
        <f ca="1">('ASSUM 1'!H44)*(1+'ASSUM 1'!I44)^(O$5-'ASSUM 1'!I27)*O$7/12*1000</f>
        <v>0</v>
      </c>
      <c r="P25" s="268">
        <f ca="1">('ASSUM 1'!H44)*(1+'ASSUM 1'!I44)^(P$5-'ASSUM 1'!I27)*P$7/12*1000</f>
        <v>0</v>
      </c>
      <c r="Q25" s="268">
        <f ca="1">('ASSUM 1'!H44)*(1+'ASSUM 1'!I44)^(Q$5-'ASSUM 1'!I27)*Q$7/12*1000</f>
        <v>0</v>
      </c>
      <c r="R25" s="268">
        <f ca="1">('ASSUM 1'!H44)*(1+'ASSUM 1'!I44)^(R$5-'ASSUM 1'!I27)*R$7/12*1000</f>
        <v>0</v>
      </c>
      <c r="S25" s="268">
        <f ca="1">('ASSUM 1'!H44)*(1+'ASSUM 1'!I44)^(S$5-'ASSUM 1'!I27)*S$7/12*1000</f>
        <v>0</v>
      </c>
      <c r="T25" s="268">
        <f ca="1">('ASSUM 1'!H44)*(1+'ASSUM 1'!I44)^(T$5-'ASSUM 1'!I27)*T$7/12*1000</f>
        <v>0</v>
      </c>
      <c r="U25" s="268">
        <f ca="1">('ASSUM 1'!H44)*(1+'ASSUM 1'!I44)^(U$5-'ASSUM 1'!I27)*U$7/12*1000</f>
        <v>0</v>
      </c>
      <c r="V25" s="268">
        <f ca="1">('ASSUM 1'!H44)*(1+'ASSUM 1'!I44)^(V$5-'ASSUM 1'!I27)*V$7/12*1000</f>
        <v>0</v>
      </c>
    </row>
    <row r="26" spans="1:22" ht="15.6">
      <c r="A26" s="267" t="str">
        <f>'ASSUM 1'!F45</f>
        <v xml:space="preserve">   Other</v>
      </c>
      <c r="B26" s="267"/>
      <c r="C26" s="268">
        <f ca="1">('ASSUM 1'!H45)*(1+'ASSUM 1'!I45)^(C$5-'ASSUM 1'!I27)*C$7/12*1000</f>
        <v>0</v>
      </c>
      <c r="D26" s="268">
        <f ca="1">('ASSUM 1'!H45)*(1+'ASSUM 1'!I45)^(D$5-'ASSUM 1'!I27)*D$7/12*1000</f>
        <v>0</v>
      </c>
      <c r="E26" s="268">
        <f ca="1">('ASSUM 1'!H45)*(1+'ASSUM 1'!I45)^(E$5-'ASSUM 1'!I27)*E$7/12*1000</f>
        <v>0</v>
      </c>
      <c r="F26" s="268">
        <f ca="1">('ASSUM 1'!H45)*(1+'ASSUM 1'!I45)^(F$5-'ASSUM 1'!I27)*F$7/12*1000</f>
        <v>0</v>
      </c>
      <c r="G26" s="268">
        <f ca="1">('ASSUM 1'!H45)*(1+'ASSUM 1'!I45)^(G$5-'ASSUM 1'!I27)*G$7/12*1000</f>
        <v>0</v>
      </c>
      <c r="H26" s="268">
        <f ca="1">('ASSUM 1'!H45)*(1+'ASSUM 1'!I45)^(H$5-'ASSUM 1'!I27)*H$7/12*1000</f>
        <v>0</v>
      </c>
      <c r="I26" s="268">
        <f ca="1">('ASSUM 1'!H45)*(1+'ASSUM 1'!I45)^(I$5-'ASSUM 1'!I27)*I$7/12*1000</f>
        <v>0</v>
      </c>
      <c r="J26" s="268">
        <f ca="1">('ASSUM 1'!H45)*(1+'ASSUM 1'!I45)^(J$5-'ASSUM 1'!I27)*J$7/12*1000</f>
        <v>0</v>
      </c>
      <c r="K26" s="268">
        <f ca="1">('ASSUM 1'!H45)*(1+'ASSUM 1'!I45)^(K$5-'ASSUM 1'!I27)*K$7/12*1000</f>
        <v>0</v>
      </c>
      <c r="L26" s="268">
        <f ca="1">('ASSUM 1'!H45)*(1+'ASSUM 1'!I45)^(L$5-'ASSUM 1'!I27)*L$7/12*1000</f>
        <v>0</v>
      </c>
      <c r="M26" s="268">
        <f ca="1">('ASSUM 1'!H45)*(1+'ASSUM 1'!I45)^(M$5-'ASSUM 1'!I27)*M$7/12*1000</f>
        <v>0</v>
      </c>
      <c r="N26" s="268">
        <f ca="1">('ASSUM 1'!H45)*(1+'ASSUM 1'!I45)^(N$5-'ASSUM 1'!I27)*N$7/12*1000</f>
        <v>0</v>
      </c>
      <c r="O26" s="268">
        <f ca="1">('ASSUM 1'!H45)*(1+'ASSUM 1'!I45)^(O$5-'ASSUM 1'!I27)*O$7/12*1000</f>
        <v>0</v>
      </c>
      <c r="P26" s="268">
        <f ca="1">('ASSUM 1'!H45)*(1+'ASSUM 1'!I45)^(P$5-'ASSUM 1'!I27)*P$7/12*1000</f>
        <v>0</v>
      </c>
      <c r="Q26" s="268">
        <f ca="1">('ASSUM 1'!H45)*(1+'ASSUM 1'!I45)^(Q$5-'ASSUM 1'!I27)*Q$7/12*1000</f>
        <v>0</v>
      </c>
      <c r="R26" s="268">
        <f ca="1">('ASSUM 1'!H45)*(1+'ASSUM 1'!I45)^(R$5-'ASSUM 1'!I27)*R$7/12*1000</f>
        <v>0</v>
      </c>
      <c r="S26" s="268">
        <f ca="1">('ASSUM 1'!H45)*(1+'ASSUM 1'!I45)^(S$5-'ASSUM 1'!I27)*S$7/12*1000</f>
        <v>0</v>
      </c>
      <c r="T26" s="268">
        <f ca="1">('ASSUM 1'!H45)*(1+'ASSUM 1'!I45)^(T$5-'ASSUM 1'!I27)*T$7/12*1000</f>
        <v>0</v>
      </c>
      <c r="U26" s="268">
        <f ca="1">('ASSUM 1'!H45)*(1+'ASSUM 1'!I45)^(U$5-'ASSUM 1'!I27)*U$7/12*1000</f>
        <v>0</v>
      </c>
      <c r="V26" s="268">
        <f ca="1">('ASSUM 1'!H45)*(1+'ASSUM 1'!I45)^(V$5-'ASSUM 1'!I27)*V$7/12*1000</f>
        <v>0</v>
      </c>
    </row>
    <row r="27" spans="1:22" ht="15.6">
      <c r="A27" s="267" t="str">
        <f>'ASSUM 1'!F46</f>
        <v xml:space="preserve">   Other</v>
      </c>
      <c r="B27" s="267"/>
      <c r="C27" s="268">
        <f ca="1">('ASSUM 1'!H46)*(1+'ASSUM 1'!I46)^(C$5-'ASSUM 1'!I27)*C$7/12*1000</f>
        <v>0</v>
      </c>
      <c r="D27" s="268">
        <f ca="1">('ASSUM 1'!H46)*(1+'ASSUM 1'!I46)^(D$5-'ASSUM 1'!I27)*D$7/12*1000</f>
        <v>0</v>
      </c>
      <c r="E27" s="268">
        <f ca="1">('ASSUM 1'!H46)*(1+'ASSUM 1'!I46)^(E$5-'ASSUM 1'!I27)*E$7/12*1000</f>
        <v>0</v>
      </c>
      <c r="F27" s="268">
        <f ca="1">('ASSUM 1'!H46)*(1+'ASSUM 1'!I46)^(F$5-'ASSUM 1'!I27)*F$7/12*1000</f>
        <v>0</v>
      </c>
      <c r="G27" s="268">
        <f ca="1">('ASSUM 1'!H46)*(1+'ASSUM 1'!I46)^(G$5-'ASSUM 1'!I27)*G$7/12*1000</f>
        <v>0</v>
      </c>
      <c r="H27" s="268">
        <f ca="1">('ASSUM 1'!H46)*(1+'ASSUM 1'!I46)^(H$5-'ASSUM 1'!I27)*H$7/12*1000</f>
        <v>0</v>
      </c>
      <c r="I27" s="268">
        <f ca="1">('ASSUM 1'!H46)*(1+'ASSUM 1'!I46)^(I$5-'ASSUM 1'!I27)*I$7/12*1000</f>
        <v>0</v>
      </c>
      <c r="J27" s="268">
        <f ca="1">('ASSUM 1'!H46)*(1+'ASSUM 1'!I46)^(J$5-'ASSUM 1'!I27)*J$7/12*1000</f>
        <v>0</v>
      </c>
      <c r="K27" s="268">
        <f ca="1">('ASSUM 1'!H46)*(1+'ASSUM 1'!I46)^(K$5-'ASSUM 1'!I27)*K$7/12*1000</f>
        <v>0</v>
      </c>
      <c r="L27" s="268">
        <f ca="1">('ASSUM 1'!H46)*(1+'ASSUM 1'!I46)^(L$5-'ASSUM 1'!I27)*L$7/12*1000</f>
        <v>0</v>
      </c>
      <c r="M27" s="268">
        <f ca="1">('ASSUM 1'!H46)*(1+'ASSUM 1'!I46)^(M$5-'ASSUM 1'!I27)*M$7/12*1000</f>
        <v>0</v>
      </c>
      <c r="N27" s="268">
        <f ca="1">('ASSUM 1'!H46)*(1+'ASSUM 1'!I46)^(N$5-'ASSUM 1'!I27)*N$7/12*1000</f>
        <v>0</v>
      </c>
      <c r="O27" s="268">
        <f ca="1">('ASSUM 1'!H46)*(1+'ASSUM 1'!I46)^(O$5-'ASSUM 1'!I27)*O$7/12*1000</f>
        <v>0</v>
      </c>
      <c r="P27" s="268">
        <f ca="1">('ASSUM 1'!H46)*(1+'ASSUM 1'!I46)^(P$5-'ASSUM 1'!I27)*P$7/12*1000</f>
        <v>0</v>
      </c>
      <c r="Q27" s="268">
        <f ca="1">('ASSUM 1'!H46)*(1+'ASSUM 1'!I46)^(Q$5-'ASSUM 1'!I27)*Q$7/12*1000</f>
        <v>0</v>
      </c>
      <c r="R27" s="268">
        <f ca="1">('ASSUM 1'!H46)*(1+'ASSUM 1'!I46)^(R$5-'ASSUM 1'!I27)*R$7/12*1000</f>
        <v>0</v>
      </c>
      <c r="S27" s="268">
        <f ca="1">('ASSUM 1'!H46)*(1+'ASSUM 1'!I46)^(S$5-'ASSUM 1'!I27)*S$7/12*1000</f>
        <v>0</v>
      </c>
      <c r="T27" s="268">
        <f ca="1">('ASSUM 1'!H46)*(1+'ASSUM 1'!I46)^(T$5-'ASSUM 1'!I27)*T$7/12*1000</f>
        <v>0</v>
      </c>
      <c r="U27" s="268">
        <f ca="1">('ASSUM 1'!H46)*(1+'ASSUM 1'!I46)^(U$5-'ASSUM 1'!I27)*U$7/12*1000</f>
        <v>0</v>
      </c>
      <c r="V27" s="268">
        <f ca="1">('ASSUM 1'!H46)*(1+'ASSUM 1'!I46)^(V$5-'ASSUM 1'!I27)*V$7/12*1000</f>
        <v>0</v>
      </c>
    </row>
    <row r="28" spans="1:22" ht="15.6">
      <c r="A28" s="267" t="str">
        <f>'ASSUM 1'!F47</f>
        <v xml:space="preserve">   Other</v>
      </c>
      <c r="B28" s="267"/>
      <c r="C28" s="268">
        <f ca="1">('ASSUM 1'!H47)*(1+'ASSUM 1'!I47)^(C$5-'ASSUM 1'!I27)*C$7/12*1000</f>
        <v>0</v>
      </c>
      <c r="D28" s="268">
        <f ca="1">('ASSUM 1'!H47)*(1+'ASSUM 1'!I47)^(D$5-'ASSUM 1'!I27)*D$7/12*1000</f>
        <v>0</v>
      </c>
      <c r="E28" s="268">
        <f ca="1">('ASSUM 1'!H47)*(1+'ASSUM 1'!I47)^(E$5-'ASSUM 1'!I27)*E$7/12*1000</f>
        <v>0</v>
      </c>
      <c r="F28" s="268">
        <f ca="1">('ASSUM 1'!H47)*(1+'ASSUM 1'!I47)^(F$5-'ASSUM 1'!I27)*F$7/12*1000</f>
        <v>0</v>
      </c>
      <c r="G28" s="268">
        <f ca="1">('ASSUM 1'!H47)*(1+'ASSUM 1'!I47)^(G$5-'ASSUM 1'!I27)*G$7/12*1000</f>
        <v>0</v>
      </c>
      <c r="H28" s="268">
        <f ca="1">('ASSUM 1'!H47)*(1+'ASSUM 1'!I47)^(H$5-'ASSUM 1'!I27)*H$7/12*1000</f>
        <v>0</v>
      </c>
      <c r="I28" s="268">
        <f ca="1">('ASSUM 1'!H47)*(1+'ASSUM 1'!I47)^(I$5-'ASSUM 1'!I27)*I$7/12*1000</f>
        <v>0</v>
      </c>
      <c r="J28" s="268">
        <f ca="1">('ASSUM 1'!H47)*(1+'ASSUM 1'!I47)^(J$5-'ASSUM 1'!I27)*J$7/12*1000</f>
        <v>0</v>
      </c>
      <c r="K28" s="268">
        <f ca="1">('ASSUM 1'!H47)*(1+'ASSUM 1'!I47)^(K$5-'ASSUM 1'!I27)*K$7/12*1000</f>
        <v>0</v>
      </c>
      <c r="L28" s="268">
        <f ca="1">('ASSUM 1'!H47)*(1+'ASSUM 1'!I47)^(L$5-'ASSUM 1'!I27)*L$7/12*1000</f>
        <v>0</v>
      </c>
      <c r="M28" s="268">
        <f ca="1">('ASSUM 1'!H47)*(1+'ASSUM 1'!I47)^(M$5-'ASSUM 1'!I27)*M$7/12*1000</f>
        <v>0</v>
      </c>
      <c r="N28" s="268">
        <f ca="1">('ASSUM 1'!H47)*(1+'ASSUM 1'!I47)^(N$5-'ASSUM 1'!I27)*N$7/12*1000</f>
        <v>0</v>
      </c>
      <c r="O28" s="268">
        <f ca="1">('ASSUM 1'!H47)*(1+'ASSUM 1'!I47)^(O$5-'ASSUM 1'!I27)*O$7/12*1000</f>
        <v>0</v>
      </c>
      <c r="P28" s="268">
        <f ca="1">('ASSUM 1'!H47)*(1+'ASSUM 1'!I47)^(P$5-'ASSUM 1'!I27)*P$7/12*1000</f>
        <v>0</v>
      </c>
      <c r="Q28" s="268">
        <f ca="1">('ASSUM 1'!H47)*(1+'ASSUM 1'!I47)^(Q$5-'ASSUM 1'!I27)*Q$7/12*1000</f>
        <v>0</v>
      </c>
      <c r="R28" s="268">
        <f ca="1">('ASSUM 1'!H47)*(1+'ASSUM 1'!I47)^(R$5-'ASSUM 1'!I27)*R$7/12*1000</f>
        <v>0</v>
      </c>
      <c r="S28" s="268">
        <f ca="1">('ASSUM 1'!H47)*(1+'ASSUM 1'!I47)^(S$5-'ASSUM 1'!I27)*S$7/12*1000</f>
        <v>0</v>
      </c>
      <c r="T28" s="268">
        <f ca="1">('ASSUM 1'!H47)*(1+'ASSUM 1'!I47)^(T$5-'ASSUM 1'!I27)*T$7/12*1000</f>
        <v>0</v>
      </c>
      <c r="U28" s="268">
        <f ca="1">('ASSUM 1'!H47)*(1+'ASSUM 1'!I47)^(U$5-'ASSUM 1'!I27)*U$7/12*1000</f>
        <v>0</v>
      </c>
      <c r="V28" s="268">
        <f ca="1">('ASSUM 1'!H47)*(1+'ASSUM 1'!I47)^(V$5-'ASSUM 1'!I27)*V$7/12*1000</f>
        <v>0</v>
      </c>
    </row>
    <row r="29" spans="1:22" ht="15.6">
      <c r="A29" s="267" t="str">
        <f>'ASSUM 1'!F48</f>
        <v xml:space="preserve">   Other</v>
      </c>
      <c r="B29" s="267"/>
      <c r="C29" s="268">
        <f ca="1">('ASSUM 1'!H48)*(1+'ASSUM 1'!I48)^(C$5-'ASSUM 1'!I27)*C$7/12*1000</f>
        <v>0</v>
      </c>
      <c r="D29" s="268">
        <f ca="1">('ASSUM 1'!H48)*(1+'ASSUM 1'!I48)^(D$5-'ASSUM 1'!I27)*D$7/12*1000</f>
        <v>0</v>
      </c>
      <c r="E29" s="268">
        <f ca="1">('ASSUM 1'!H48)*(1+'ASSUM 1'!I48)^(E$5-'ASSUM 1'!I27)*E$7/12*1000</f>
        <v>0</v>
      </c>
      <c r="F29" s="268">
        <f ca="1">('ASSUM 1'!H48)*(1+'ASSUM 1'!I48)^(F$5-'ASSUM 1'!I27)*F$7/12*1000</f>
        <v>0</v>
      </c>
      <c r="G29" s="268">
        <f ca="1">('ASSUM 1'!H48)*(1+'ASSUM 1'!I48)^(G$5-'ASSUM 1'!I27)*G$7/12*1000</f>
        <v>0</v>
      </c>
      <c r="H29" s="268">
        <f ca="1">('ASSUM 1'!H48)*(1+'ASSUM 1'!I48)^(H$5-'ASSUM 1'!I27)*H$7/12*1000</f>
        <v>0</v>
      </c>
      <c r="I29" s="268">
        <f ca="1">('ASSUM 1'!H48)*(1+'ASSUM 1'!I48)^(I$5-'ASSUM 1'!I27)*I$7/12*1000</f>
        <v>0</v>
      </c>
      <c r="J29" s="268">
        <f ca="1">('ASSUM 1'!H48)*(1+'ASSUM 1'!I48)^(J$5-'ASSUM 1'!I27)*J$7/12*1000</f>
        <v>0</v>
      </c>
      <c r="K29" s="268">
        <f ca="1">('ASSUM 1'!H48)*(1+'ASSUM 1'!I48)^(K$5-'ASSUM 1'!I27)*K$7/12*1000</f>
        <v>0</v>
      </c>
      <c r="L29" s="268">
        <f ca="1">('ASSUM 1'!H48)*(1+'ASSUM 1'!I48)^(L$5-'ASSUM 1'!I27)*L$7/12*1000</f>
        <v>0</v>
      </c>
      <c r="M29" s="268">
        <f ca="1">('ASSUM 1'!H48)*(1+'ASSUM 1'!I48)^(M$5-'ASSUM 1'!I27)*M$7/12*1000</f>
        <v>0</v>
      </c>
      <c r="N29" s="268">
        <f ca="1">('ASSUM 1'!H48)*(1+'ASSUM 1'!I48)^(N$5-'ASSUM 1'!I27)*N$7/12*1000</f>
        <v>0</v>
      </c>
      <c r="O29" s="268">
        <f ca="1">('ASSUM 1'!H48)*(1+'ASSUM 1'!I48)^(O$5-'ASSUM 1'!I27)*O$7/12*1000</f>
        <v>0</v>
      </c>
      <c r="P29" s="268">
        <f ca="1">('ASSUM 1'!H48)*(1+'ASSUM 1'!I48)^(P$5-'ASSUM 1'!I27)*P$7/12*1000</f>
        <v>0</v>
      </c>
      <c r="Q29" s="268">
        <f ca="1">('ASSUM 1'!H48)*(1+'ASSUM 1'!I48)^(Q$5-'ASSUM 1'!I27)*Q$7/12*1000</f>
        <v>0</v>
      </c>
      <c r="R29" s="268">
        <f ca="1">('ASSUM 1'!H48)*(1+'ASSUM 1'!I48)^(R$5-'ASSUM 1'!I27)*R$7/12*1000</f>
        <v>0</v>
      </c>
      <c r="S29" s="268">
        <f ca="1">('ASSUM 1'!H48)*(1+'ASSUM 1'!I48)^(S$5-'ASSUM 1'!I27)*S$7/12*1000</f>
        <v>0</v>
      </c>
      <c r="T29" s="268">
        <f ca="1">('ASSUM 1'!H48)*(1+'ASSUM 1'!I48)^(T$5-'ASSUM 1'!I27)*T$7/12*1000</f>
        <v>0</v>
      </c>
      <c r="U29" s="268">
        <f ca="1">('ASSUM 1'!H48)*(1+'ASSUM 1'!I48)^(U$5-'ASSUM 1'!I27)*U$7/12*1000</f>
        <v>0</v>
      </c>
      <c r="V29" s="268">
        <f ca="1">('ASSUM 1'!H48)*(1+'ASSUM 1'!I48)^(V$5-'ASSUM 1'!I27)*V$7/12*1000</f>
        <v>0</v>
      </c>
    </row>
    <row r="30" spans="1:22" ht="15.6">
      <c r="A30" s="267" t="str">
        <f>'ASSUM 1'!F49</f>
        <v xml:space="preserve">   Other</v>
      </c>
      <c r="B30" s="267"/>
      <c r="C30" s="268">
        <f ca="1">('ASSUM 1'!H49)*(1+'ASSUM 1'!I49)^(C$5-'ASSUM 1'!I27)*C$7/12*1000</f>
        <v>0</v>
      </c>
      <c r="D30" s="268">
        <f ca="1">('ASSUM 1'!H49)*(1+'ASSUM 1'!I49)^(D$5-'ASSUM 1'!I27)*D$7/12*1000</f>
        <v>0</v>
      </c>
      <c r="E30" s="268">
        <f ca="1">('ASSUM 1'!H49)*(1+'ASSUM 1'!I49)^(E$5-'ASSUM 1'!I27)*E$7/12*1000</f>
        <v>0</v>
      </c>
      <c r="F30" s="268">
        <f ca="1">('ASSUM 1'!H49)*(1+'ASSUM 1'!I49)^(F$5-'ASSUM 1'!I27)*F$7/12*1000</f>
        <v>0</v>
      </c>
      <c r="G30" s="268">
        <f ca="1">('ASSUM 1'!H49)*(1+'ASSUM 1'!I49)^(G$5-'ASSUM 1'!I27)*G$7/12*1000</f>
        <v>0</v>
      </c>
      <c r="H30" s="268">
        <f ca="1">('ASSUM 1'!H49)*(1+'ASSUM 1'!I49)^(H$5-'ASSUM 1'!I27)*H$7/12*1000</f>
        <v>0</v>
      </c>
      <c r="I30" s="268">
        <f ca="1">('ASSUM 1'!H49)*(1+'ASSUM 1'!I49)^(I$5-'ASSUM 1'!I27)*I$7/12*1000</f>
        <v>0</v>
      </c>
      <c r="J30" s="268">
        <f ca="1">('ASSUM 1'!H49)*(1+'ASSUM 1'!I49)^(J$5-'ASSUM 1'!I27)*J$7/12*1000</f>
        <v>0</v>
      </c>
      <c r="K30" s="268">
        <f ca="1">('ASSUM 1'!H49)*(1+'ASSUM 1'!I49)^(K$5-'ASSUM 1'!I27)*K$7/12*1000</f>
        <v>0</v>
      </c>
      <c r="L30" s="268">
        <f ca="1">('ASSUM 1'!H49)*(1+'ASSUM 1'!I49)^(L$5-'ASSUM 1'!I27)*L$7/12*1000</f>
        <v>0</v>
      </c>
      <c r="M30" s="268">
        <f ca="1">('ASSUM 1'!H49)*(1+'ASSUM 1'!I49)^(M$5-'ASSUM 1'!I27)*M$7/12*1000</f>
        <v>0</v>
      </c>
      <c r="N30" s="268">
        <f ca="1">('ASSUM 1'!H49)*(1+'ASSUM 1'!I49)^(N$5-'ASSUM 1'!I27)*N$7/12*1000</f>
        <v>0</v>
      </c>
      <c r="O30" s="268">
        <f ca="1">('ASSUM 1'!H49)*(1+'ASSUM 1'!I49)^(O$5-'ASSUM 1'!I27)*O$7/12*1000</f>
        <v>0</v>
      </c>
      <c r="P30" s="268">
        <f ca="1">('ASSUM 1'!H49)*(1+'ASSUM 1'!I49)^(P$5-'ASSUM 1'!I27)*P$7/12*1000</f>
        <v>0</v>
      </c>
      <c r="Q30" s="268">
        <f ca="1">('ASSUM 1'!H49)*(1+'ASSUM 1'!I49)^(Q$5-'ASSUM 1'!I27)*Q$7/12*1000</f>
        <v>0</v>
      </c>
      <c r="R30" s="268">
        <f ca="1">('ASSUM 1'!H49)*(1+'ASSUM 1'!I49)^(R$5-'ASSUM 1'!I27)*R$7/12*1000</f>
        <v>0</v>
      </c>
      <c r="S30" s="268">
        <f ca="1">('ASSUM 1'!H49)*(1+'ASSUM 1'!I49)^(S$5-'ASSUM 1'!I27)*S$7/12*1000</f>
        <v>0</v>
      </c>
      <c r="T30" s="268">
        <f ca="1">('ASSUM 1'!H49)*(1+'ASSUM 1'!I49)^(T$5-'ASSUM 1'!I27)*T$7/12*1000</f>
        <v>0</v>
      </c>
      <c r="U30" s="268">
        <f ca="1">('ASSUM 1'!H49)*(1+'ASSUM 1'!I49)^(U$5-'ASSUM 1'!I27)*U$7/12*1000</f>
        <v>0</v>
      </c>
      <c r="V30" s="268">
        <f ca="1">('ASSUM 1'!H49)*(1+'ASSUM 1'!I49)^(V$5-'ASSUM 1'!I27)*V$7/12*1000</f>
        <v>0</v>
      </c>
    </row>
    <row r="31" spans="1:22" ht="15.6">
      <c r="A31" s="267" t="str">
        <f>'ASSUM 1'!F50</f>
        <v xml:space="preserve">   Other</v>
      </c>
      <c r="B31" s="267"/>
      <c r="C31" s="270">
        <f ca="1">('ASSUM 1'!H50)*(1+'ASSUM 1'!I50)^(C$5-'ASSUM 1'!I27)*C$7/12*1000</f>
        <v>0</v>
      </c>
      <c r="D31" s="270">
        <f ca="1">('ASSUM 1'!H50)*(1+'ASSUM 1'!I50)^(D$5-'ASSUM 1'!I27)*D$7/12*1000</f>
        <v>0</v>
      </c>
      <c r="E31" s="270">
        <f ca="1">('ASSUM 1'!H50)*(1+'ASSUM 1'!I50)^(E$5-'ASSUM 1'!I27)*E$7/12*1000</f>
        <v>0</v>
      </c>
      <c r="F31" s="270">
        <f ca="1">('ASSUM 1'!H50)*(1+'ASSUM 1'!I50)^(F$5-'ASSUM 1'!I27)*F$7/12*1000</f>
        <v>0</v>
      </c>
      <c r="G31" s="270">
        <f ca="1">('ASSUM 1'!H50)*(1+'ASSUM 1'!I50)^(G$5-'ASSUM 1'!I27)*G$7/12*1000</f>
        <v>0</v>
      </c>
      <c r="H31" s="270">
        <f ca="1">('ASSUM 1'!H50)*(1+'ASSUM 1'!I50)^(H$5-'ASSUM 1'!I27)*H$7/12*1000</f>
        <v>0</v>
      </c>
      <c r="I31" s="270">
        <f ca="1">('ASSUM 1'!H50)*(1+'ASSUM 1'!I50)^(I$5-'ASSUM 1'!I27)*I$7/12*1000</f>
        <v>0</v>
      </c>
      <c r="J31" s="270">
        <f ca="1">('ASSUM 1'!H50)*(1+'ASSUM 1'!I50)^(J$5-'ASSUM 1'!I27)*J$7/12*1000</f>
        <v>0</v>
      </c>
      <c r="K31" s="270">
        <f ca="1">('ASSUM 1'!H50)*(1+'ASSUM 1'!I50)^(K$5-'ASSUM 1'!I27)*K$7/12*1000</f>
        <v>0</v>
      </c>
      <c r="L31" s="270">
        <f ca="1">('ASSUM 1'!H50)*(1+'ASSUM 1'!I50)^(L$5-'ASSUM 1'!I27)*L$7/12*1000</f>
        <v>0</v>
      </c>
      <c r="M31" s="270">
        <f ca="1">('ASSUM 1'!H50)*(1+'ASSUM 1'!I50)^(M$5-'ASSUM 1'!I27)*M$7/12*1000</f>
        <v>0</v>
      </c>
      <c r="N31" s="270">
        <f ca="1">('ASSUM 1'!H50)*(1+'ASSUM 1'!I50)^(N$5-'ASSUM 1'!I27)*N$7/12*1000</f>
        <v>0</v>
      </c>
      <c r="O31" s="270">
        <f ca="1">('ASSUM 1'!H50)*(1+'ASSUM 1'!I50)^(O$5-'ASSUM 1'!I27)*O$7/12*1000</f>
        <v>0</v>
      </c>
      <c r="P31" s="270">
        <f ca="1">('ASSUM 1'!H50)*(1+'ASSUM 1'!I50)^(P$5-'ASSUM 1'!I27)*P$7/12*1000</f>
        <v>0</v>
      </c>
      <c r="Q31" s="270">
        <f ca="1">('ASSUM 1'!H50)*(1+'ASSUM 1'!I50)^(Q$5-'ASSUM 1'!I27)*Q$7/12*1000</f>
        <v>0</v>
      </c>
      <c r="R31" s="270">
        <f ca="1">('ASSUM 1'!H50)*(1+'ASSUM 1'!I50)^(R$5-'ASSUM 1'!I27)*R$7/12*1000</f>
        <v>0</v>
      </c>
      <c r="S31" s="270">
        <f ca="1">('ASSUM 1'!H50)*(1+'ASSUM 1'!I50)^(S$5-'ASSUM 1'!I27)*S$7/12*1000</f>
        <v>0</v>
      </c>
      <c r="T31" s="270">
        <f ca="1">('ASSUM 1'!H50)*(1+'ASSUM 1'!I50)^(T$5-'ASSUM 1'!I27)*T$7/12*1000</f>
        <v>0</v>
      </c>
      <c r="U31" s="270">
        <f ca="1">('ASSUM 1'!H50)*(1+'ASSUM 1'!I50)^(U$5-'ASSUM 1'!I27)*U$7/12*1000</f>
        <v>0</v>
      </c>
      <c r="V31" s="270">
        <f ca="1">('ASSUM 1'!H50)*(1+'ASSUM 1'!I50)^(V$5-'ASSUM 1'!I27)*V$7/12*1000</f>
        <v>0</v>
      </c>
    </row>
    <row r="32" spans="1:22" ht="15.6">
      <c r="A32" s="267" t="s">
        <v>261</v>
      </c>
      <c r="B32" s="267"/>
      <c r="C32" s="268">
        <f ca="1">SUM(C21:C31)</f>
        <v>180.5138361779243</v>
      </c>
      <c r="D32" s="268">
        <f t="shared" ref="D32:V32" ca="1" si="4">SUM(D21:D31)</f>
        <v>1019.4494150267261</v>
      </c>
      <c r="E32" s="268">
        <f t="shared" ca="1" si="4"/>
        <v>1022.6769264690072</v>
      </c>
      <c r="F32" s="268">
        <f t="shared" ca="1" si="4"/>
        <v>789.19843846399613</v>
      </c>
      <c r="G32" s="268">
        <f t="shared" ca="1" si="4"/>
        <v>795.54341548832792</v>
      </c>
      <c r="H32" s="268">
        <f t="shared" ca="1" si="4"/>
        <v>748.25730774182796</v>
      </c>
      <c r="I32" s="268">
        <f t="shared" ca="1" si="4"/>
        <v>798.51315159034107</v>
      </c>
      <c r="J32" s="268">
        <f t="shared" ca="1" si="4"/>
        <v>853.69081784471882</v>
      </c>
      <c r="K32" s="268">
        <f t="shared" ca="1" si="4"/>
        <v>863.14898371874551</v>
      </c>
      <c r="L32" s="268">
        <f t="shared" ca="1" si="4"/>
        <v>856.2474959961728</v>
      </c>
      <c r="M32" s="268">
        <f t="shared" ca="1" si="4"/>
        <v>867.16355990471584</v>
      </c>
      <c r="N32" s="268">
        <f t="shared" ca="1" si="4"/>
        <v>862.94192627695031</v>
      </c>
      <c r="O32" s="268">
        <f t="shared" ca="1" si="4"/>
        <v>871.7179371964869</v>
      </c>
      <c r="P32" s="268">
        <f t="shared" ca="1" si="4"/>
        <v>859.71144222754924</v>
      </c>
      <c r="Q32" s="268">
        <f t="shared" ca="1" si="4"/>
        <v>901.37564824827359</v>
      </c>
      <c r="R32" s="268">
        <f t="shared" ca="1" si="4"/>
        <v>943.47839187344971</v>
      </c>
      <c r="S32" s="268">
        <f t="shared" ca="1" si="4"/>
        <v>986.19952411532734</v>
      </c>
      <c r="T32" s="268">
        <f t="shared" ca="1" si="4"/>
        <v>998.0956583560635</v>
      </c>
      <c r="U32" s="268">
        <f t="shared" ca="1" si="4"/>
        <v>1019.4456550314117</v>
      </c>
      <c r="V32" s="268">
        <f t="shared" ca="1" si="4"/>
        <v>976.63834414426287</v>
      </c>
    </row>
    <row r="33" spans="1:255" ht="15.6">
      <c r="A33" s="271"/>
      <c r="B33" s="271"/>
      <c r="C33" s="271"/>
      <c r="D33" s="271"/>
      <c r="E33" s="271"/>
      <c r="F33" s="271"/>
      <c r="G33" s="271"/>
      <c r="H33" s="271"/>
      <c r="I33" s="271"/>
      <c r="J33" s="271"/>
      <c r="K33" s="271"/>
      <c r="L33" s="271"/>
      <c r="M33" s="271"/>
      <c r="N33" s="271"/>
      <c r="O33" s="271"/>
      <c r="P33" s="271"/>
      <c r="Q33" s="271"/>
      <c r="R33" s="271"/>
      <c r="S33" s="271"/>
      <c r="T33" s="271"/>
      <c r="U33" s="271"/>
      <c r="V33" s="271"/>
    </row>
    <row r="34" spans="1:255" ht="15.6">
      <c r="A34" s="271" t="s">
        <v>262</v>
      </c>
      <c r="B34" s="271"/>
      <c r="C34" s="272">
        <f t="shared" ref="C34:V34" ca="1" si="5">C18+C32</f>
        <v>2241.6168840402652</v>
      </c>
      <c r="D34" s="272">
        <f t="shared" ca="1" si="5"/>
        <v>5999.1848591601056</v>
      </c>
      <c r="E34" s="272">
        <f t="shared" ca="1" si="5"/>
        <v>6158.2214990138345</v>
      </c>
      <c r="F34" s="272">
        <f t="shared" ca="1" si="5"/>
        <v>6063.1878407435015</v>
      </c>
      <c r="G34" s="272">
        <f t="shared" ca="1" si="5"/>
        <v>6172.419993347281</v>
      </c>
      <c r="H34" s="272">
        <f t="shared" ca="1" si="5"/>
        <v>6230.9122477538194</v>
      </c>
      <c r="I34" s="272">
        <f t="shared" ca="1" si="5"/>
        <v>6429.1776870895992</v>
      </c>
      <c r="J34" s="272">
        <f t="shared" ca="1" si="5"/>
        <v>6634.2188201378667</v>
      </c>
      <c r="K34" s="272">
        <f t="shared" ca="1" si="5"/>
        <v>6780.5756080250458</v>
      </c>
      <c r="L34" s="272">
        <f t="shared" ca="1" si="5"/>
        <v>6909.5870551637609</v>
      </c>
      <c r="M34" s="272">
        <f t="shared" ca="1" si="5"/>
        <v>7064.5430993295431</v>
      </c>
      <c r="N34" s="272">
        <f t="shared" ca="1" si="5"/>
        <v>7204.7162641427039</v>
      </c>
      <c r="O34" s="272">
        <f t="shared" ca="1" si="5"/>
        <v>7385.9114899810493</v>
      </c>
      <c r="P34" s="272">
        <f t="shared" ca="1" si="5"/>
        <v>7524.1211636426533</v>
      </c>
      <c r="Q34" s="272">
        <f t="shared" ca="1" si="5"/>
        <v>7737.9449491106443</v>
      </c>
      <c r="R34" s="272">
        <f t="shared" ca="1" si="5"/>
        <v>7932.0648587880587</v>
      </c>
      <c r="S34" s="272">
        <f t="shared" ca="1" si="5"/>
        <v>8154.2442270544334</v>
      </c>
      <c r="T34" s="272">
        <f t="shared" ca="1" si="5"/>
        <v>8340.7260724989574</v>
      </c>
      <c r="U34" s="272">
        <f t="shared" ca="1" si="5"/>
        <v>8546.6196888428167</v>
      </c>
      <c r="V34" s="272">
        <f t="shared" ca="1" si="5"/>
        <v>8669.3805887277067</v>
      </c>
    </row>
    <row r="35" spans="1:255" s="842" customFormat="1" ht="28.5" hidden="1" customHeight="1">
      <c r="A35" s="842" t="s">
        <v>480</v>
      </c>
      <c r="C35" s="843">
        <f t="shared" ref="C35:H35" ca="1" si="6">(C34-C21-C11)/2</f>
        <v>896.15219202013247</v>
      </c>
      <c r="D35" s="843">
        <f t="shared" ca="1" si="6"/>
        <v>2604.0690545800526</v>
      </c>
      <c r="E35" s="843">
        <f t="shared" ca="1" si="6"/>
        <v>2672.9082433819171</v>
      </c>
      <c r="F35" s="843">
        <f t="shared" ca="1" si="6"/>
        <v>2614.4239465813762</v>
      </c>
      <c r="G35" s="843">
        <f t="shared" ca="1" si="6"/>
        <v>2657.7764335909255</v>
      </c>
      <c r="H35" s="843">
        <f t="shared" ca="1" si="6"/>
        <v>2675.4548545909615</v>
      </c>
      <c r="I35" s="843">
        <f t="shared" ref="I35:V35" ca="1" si="7">(I34-I21-I11)/2</f>
        <v>2762.707539988131</v>
      </c>
      <c r="J35" s="843">
        <f t="shared" ca="1" si="7"/>
        <v>2853.0273113162348</v>
      </c>
      <c r="K35" s="843">
        <f t="shared" ca="1" si="7"/>
        <v>2913.6754885935011</v>
      </c>
      <c r="L35" s="843">
        <f t="shared" ca="1" si="7"/>
        <v>2965.3126796465453</v>
      </c>
      <c r="M35" s="843">
        <f t="shared" ca="1" si="7"/>
        <v>3029.5747188351825</v>
      </c>
      <c r="N35" s="843">
        <f t="shared" ca="1" si="7"/>
        <v>3086.088486809364</v>
      </c>
      <c r="O35" s="843">
        <f t="shared" ca="1" si="7"/>
        <v>3162.7468193064628</v>
      </c>
      <c r="P35" s="843">
        <f t="shared" ca="1" si="7"/>
        <v>3217.5360151437958</v>
      </c>
      <c r="Q35" s="843">
        <f t="shared" ca="1" si="7"/>
        <v>3309.7457445774976</v>
      </c>
      <c r="R35" s="843">
        <f t="shared" ca="1" si="7"/>
        <v>3391.7065777068037</v>
      </c>
      <c r="S35" s="843">
        <f t="shared" ca="1" si="7"/>
        <v>3487.2894638444359</v>
      </c>
      <c r="T35" s="843">
        <f t="shared" ca="1" si="7"/>
        <v>3564.6049050252632</v>
      </c>
      <c r="U35" s="843">
        <f t="shared" ca="1" si="7"/>
        <v>3651.1962436541385</v>
      </c>
      <c r="V35" s="843">
        <f t="shared" ca="1" si="7"/>
        <v>3695.7796263758682</v>
      </c>
    </row>
    <row r="36" spans="1:255" s="842" customFormat="1" ht="28.5" customHeight="1">
      <c r="C36" s="843"/>
      <c r="D36" s="843"/>
      <c r="E36" s="843"/>
      <c r="F36" s="843"/>
      <c r="G36" s="843"/>
      <c r="H36" s="843"/>
      <c r="I36" s="843"/>
      <c r="J36" s="843"/>
      <c r="K36" s="843"/>
      <c r="L36" s="843"/>
      <c r="M36" s="843"/>
      <c r="N36" s="843"/>
      <c r="O36" s="843"/>
      <c r="P36" s="843"/>
      <c r="Q36" s="843"/>
      <c r="R36" s="843"/>
      <c r="S36" s="843"/>
      <c r="T36" s="843"/>
      <c r="U36" s="843"/>
      <c r="V36" s="843"/>
    </row>
    <row r="37" spans="1:255" s="842" customFormat="1" ht="15.75" customHeight="1">
      <c r="A37" s="842" t="s">
        <v>481</v>
      </c>
      <c r="C37" s="847">
        <f ca="1">C34-C13-C11-C16-C14+C44</f>
        <v>1076.8363361779241</v>
      </c>
      <c r="D37" s="847">
        <f ca="1">(D34-D13-D11-D16-D14+D44)/2</f>
        <v>1474.801742513363</v>
      </c>
      <c r="E37" s="847">
        <f t="shared" ref="E37:V37" ca="1" si="8">(E34-E13-E11-E16-E14+E44)/2</f>
        <v>1502.4725781795032</v>
      </c>
      <c r="F37" s="847">
        <f t="shared" ca="1" si="8"/>
        <v>1412.4939552805122</v>
      </c>
      <c r="G37" s="847">
        <f t="shared" ca="1" si="8"/>
        <v>1443.149601665988</v>
      </c>
      <c r="H37" s="847">
        <f t="shared" ca="1" si="8"/>
        <v>1447.7317509286274</v>
      </c>
      <c r="I37" s="847">
        <f t="shared" ca="1" si="8"/>
        <v>1501.8469564734423</v>
      </c>
      <c r="J37" s="847">
        <f t="shared" ca="1" si="8"/>
        <v>1559.205729878945</v>
      </c>
      <c r="K37" s="847">
        <f t="shared" ca="1" si="8"/>
        <v>1594.5085414817845</v>
      </c>
      <c r="L37" s="847">
        <f t="shared" ca="1" si="8"/>
        <v>1622.4570169603044</v>
      </c>
      <c r="M37" s="847">
        <f t="shared" ca="1" si="8"/>
        <v>1660.162047176555</v>
      </c>
      <c r="N37" s="847">
        <f t="shared" ca="1" si="8"/>
        <v>1691.1688975777263</v>
      </c>
      <c r="O37" s="847">
        <f t="shared" ca="1" si="8"/>
        <v>12004.584363641359</v>
      </c>
      <c r="P37" s="847">
        <f t="shared" ca="1" si="8"/>
        <v>1758.4956638069511</v>
      </c>
      <c r="Q37" s="847">
        <f t="shared" ca="1" si="8"/>
        <v>1815.2010452700283</v>
      </c>
      <c r="R37" s="847">
        <f t="shared" ca="1" si="8"/>
        <v>1873.0942740535556</v>
      </c>
      <c r="S37" s="847">
        <f t="shared" ca="1" si="8"/>
        <v>1932.2914272836481</v>
      </c>
      <c r="T37" s="847">
        <f t="shared" ca="1" si="8"/>
        <v>1977.0976693651182</v>
      </c>
      <c r="U37" s="847">
        <f t="shared" ca="1" si="8"/>
        <v>2027.6800133878435</v>
      </c>
      <c r="V37" s="847">
        <f t="shared" ca="1" si="8"/>
        <v>2047.2612019628168</v>
      </c>
    </row>
    <row r="38" spans="1:255" s="842" customFormat="1" ht="15.75" customHeight="1">
      <c r="C38" s="843"/>
      <c r="D38" s="843"/>
      <c r="E38" s="843"/>
      <c r="F38" s="843"/>
      <c r="G38" s="843"/>
      <c r="H38" s="843"/>
      <c r="I38" s="843"/>
      <c r="J38" s="843"/>
      <c r="K38" s="843"/>
      <c r="L38" s="843"/>
      <c r="M38" s="843"/>
    </row>
    <row r="39" spans="1:255" ht="15.6">
      <c r="A39" s="263" t="s">
        <v>263</v>
      </c>
      <c r="B39" s="263"/>
      <c r="C39" s="273">
        <f ca="1">C18/Tariff!C17</f>
        <v>3.5204405968705887E-2</v>
      </c>
      <c r="D39" s="273">
        <f ca="1">D18/Tariff!D17</f>
        <v>2.5531131306806322E-2</v>
      </c>
      <c r="E39" s="273">
        <f ca="1">E18/Tariff!E17</f>
        <v>2.424021149885075E-2</v>
      </c>
      <c r="F39" s="273">
        <f ca="1">F18/Tariff!F17</f>
        <v>2.4133042380569632E-2</v>
      </c>
      <c r="G39" s="273">
        <f ca="1">G18/Tariff!G17</f>
        <v>2.5869929365397667E-2</v>
      </c>
      <c r="H39" s="273">
        <f ca="1">H18/Tariff!H17</f>
        <v>2.776354290902255E-2</v>
      </c>
      <c r="I39" s="273">
        <f ca="1">I18/Tariff!I17</f>
        <v>2.7639044733087047E-2</v>
      </c>
      <c r="J39" s="273">
        <f ca="1">J18/Tariff!J17</f>
        <v>2.7666467371993134E-2</v>
      </c>
      <c r="K39" s="273">
        <f ca="1">K18/Tariff!K17</f>
        <v>2.8542230311872138E-2</v>
      </c>
      <c r="L39" s="273">
        <f ca="1">L18/Tariff!L17</f>
        <v>2.9679586078268764E-2</v>
      </c>
      <c r="M39" s="273">
        <f ca="1">M18/Tariff!M17</f>
        <v>3.062825611613243E-2</v>
      </c>
      <c r="N39" s="273">
        <f ca="1">N18/Tariff!N17</f>
        <v>3.1790521004949758E-2</v>
      </c>
      <c r="O39" s="273">
        <f ca="1">O18/Tariff!O17</f>
        <v>3.1739778504643254E-2</v>
      </c>
      <c r="P39" s="273">
        <f ca="1">P18/Tariff!P17</f>
        <v>3.3059360920835328E-2</v>
      </c>
      <c r="Q39" s="273">
        <f ca="1">Q18/Tariff!Q17</f>
        <v>3.3506978603307744E-2</v>
      </c>
      <c r="R39" s="273">
        <f ca="1">R18/Tariff!R17</f>
        <v>3.5238673582092886E-2</v>
      </c>
      <c r="S39" s="273">
        <f ca="1">S18/Tariff!S17</f>
        <v>3.5808463775921215E-2</v>
      </c>
      <c r="T39" s="273">
        <f ca="1">T18/Tariff!T17</f>
        <v>3.6901996181664169E-2</v>
      </c>
      <c r="U39" s="273">
        <f ca="1">U18/Tariff!U17</f>
        <v>3.7751440141833209E-2</v>
      </c>
      <c r="V39" s="273">
        <f ca="1">V18/Tariff!V17</f>
        <v>3.9908973770186817E-2</v>
      </c>
    </row>
    <row r="40" spans="1:255" ht="15.6">
      <c r="A40" s="263" t="s">
        <v>264</v>
      </c>
      <c r="B40" s="263"/>
      <c r="C40" s="273">
        <f ca="1">C34/Tariff!C17</f>
        <v>3.8287649370032678E-2</v>
      </c>
      <c r="D40" s="273">
        <f ca="1">D34/Tariff!D17</f>
        <v>3.0757854125255935E-2</v>
      </c>
      <c r="E40" s="273">
        <f ca="1">E34/Tariff!E17</f>
        <v>2.9067334434387689E-2</v>
      </c>
      <c r="F40" s="273">
        <f ca="1">F34/Tariff!F17</f>
        <v>2.7744304730452078E-2</v>
      </c>
      <c r="G40" s="273">
        <f ca="1">G34/Tariff!G17</f>
        <v>2.9697551530008588E-2</v>
      </c>
      <c r="H40" s="273">
        <f ca="1">H34/Tariff!H17</f>
        <v>3.1552633066579412E-2</v>
      </c>
      <c r="I40" s="273">
        <f ca="1">I34/Tariff!I17</f>
        <v>3.1558678122293543E-2</v>
      </c>
      <c r="J40" s="273">
        <f ca="1">J34/Tariff!J17</f>
        <v>3.1752358686471936E-2</v>
      </c>
      <c r="K40" s="273">
        <f ca="1">K34/Tariff!K17</f>
        <v>3.2705559855421298E-2</v>
      </c>
      <c r="L40" s="273">
        <f ca="1">L34/Tariff!L17</f>
        <v>3.3877776352137214E-2</v>
      </c>
      <c r="M40" s="273">
        <f ca="1">M34/Tariff!M17</f>
        <v>3.491389126859943E-2</v>
      </c>
      <c r="N40" s="273">
        <f ca="1">N34/Tariff!N17</f>
        <v>3.6116340873619437E-2</v>
      </c>
      <c r="O40" s="273">
        <f ca="1">O34/Tariff!O17</f>
        <v>3.5987139904169671E-2</v>
      </c>
      <c r="P40" s="273">
        <f ca="1">P34/Tariff!P17</f>
        <v>3.7324031318431691E-2</v>
      </c>
      <c r="Q40" s="273">
        <f ca="1">Q34/Tariff!Q17</f>
        <v>3.792474623357045E-2</v>
      </c>
      <c r="R40" s="273">
        <f ca="1">R34/Tariff!R17</f>
        <v>3.9995991423173352E-2</v>
      </c>
      <c r="S40" s="273">
        <f ca="1">S34/Tariff!S17</f>
        <v>4.0735091803315429E-2</v>
      </c>
      <c r="T40" s="273">
        <f ca="1">T34/Tariff!T17</f>
        <v>4.1918144359658821E-2</v>
      </c>
      <c r="U40" s="273">
        <f ca="1">U34/Tariff!U17</f>
        <v>4.2864320679854066E-2</v>
      </c>
      <c r="V40" s="273">
        <f ca="1">V34/Tariff!V17</f>
        <v>4.4975649972272755E-2</v>
      </c>
      <c r="W40" s="263"/>
      <c r="X40" s="263"/>
      <c r="Y40" s="263"/>
      <c r="Z40" s="263"/>
      <c r="AA40" s="263"/>
      <c r="AB40" s="263"/>
      <c r="AC40" s="263"/>
      <c r="AD40" s="263"/>
      <c r="AE40" s="263"/>
      <c r="AF40" s="263"/>
      <c r="AG40" s="263"/>
      <c r="AH40" s="263"/>
      <c r="AI40" s="263"/>
      <c r="AJ40" s="263"/>
      <c r="AK40" s="263"/>
      <c r="AL40" s="263"/>
      <c r="AM40" s="263"/>
      <c r="AN40" s="263"/>
      <c r="AO40" s="263"/>
      <c r="AP40" s="263"/>
      <c r="AQ40" s="263"/>
      <c r="AR40" s="263"/>
      <c r="AS40" s="263"/>
      <c r="AT40" s="263"/>
      <c r="AU40" s="263"/>
      <c r="AV40" s="263"/>
      <c r="AW40" s="263"/>
      <c r="AX40" s="263"/>
      <c r="AY40" s="263"/>
      <c r="AZ40" s="263"/>
      <c r="BA40" s="263"/>
      <c r="BB40" s="263"/>
      <c r="BC40" s="263"/>
      <c r="BD40" s="263"/>
      <c r="BE40" s="263"/>
      <c r="BF40" s="263"/>
      <c r="BG40" s="263"/>
      <c r="BH40" s="263"/>
      <c r="BI40" s="263"/>
      <c r="BJ40" s="263"/>
      <c r="BK40" s="263"/>
      <c r="BL40" s="263"/>
      <c r="BM40" s="263"/>
      <c r="BN40" s="263"/>
      <c r="BO40" s="263"/>
      <c r="BP40" s="263"/>
      <c r="BQ40" s="263"/>
      <c r="BR40" s="263"/>
      <c r="BS40" s="263"/>
      <c r="BT40" s="263"/>
      <c r="BU40" s="263"/>
      <c r="BV40" s="263"/>
      <c r="BW40" s="263"/>
      <c r="BX40" s="263"/>
      <c r="BY40" s="263"/>
      <c r="BZ40" s="263"/>
      <c r="CA40" s="263"/>
      <c r="CB40" s="263"/>
      <c r="CC40" s="263"/>
      <c r="CD40" s="263"/>
      <c r="CE40" s="263"/>
      <c r="CF40" s="263"/>
      <c r="CG40" s="263"/>
      <c r="CH40" s="263"/>
      <c r="CI40" s="263"/>
      <c r="CJ40" s="263"/>
      <c r="CK40" s="263"/>
      <c r="CL40" s="263"/>
      <c r="CM40" s="263"/>
      <c r="CN40" s="263"/>
      <c r="CO40" s="263"/>
      <c r="CP40" s="263"/>
      <c r="CQ40" s="263"/>
      <c r="CR40" s="263"/>
      <c r="CS40" s="263"/>
      <c r="CT40" s="263"/>
      <c r="CU40" s="263"/>
      <c r="CV40" s="263"/>
      <c r="CW40" s="263"/>
      <c r="CX40" s="263"/>
      <c r="CY40" s="263"/>
      <c r="CZ40" s="263"/>
      <c r="DA40" s="263"/>
      <c r="DB40" s="263"/>
      <c r="DC40" s="263"/>
      <c r="DD40" s="263"/>
      <c r="DE40" s="263"/>
      <c r="DF40" s="263"/>
      <c r="DG40" s="263"/>
      <c r="DH40" s="263"/>
      <c r="DI40" s="263"/>
      <c r="DJ40" s="263"/>
      <c r="DK40" s="263"/>
      <c r="DL40" s="263"/>
      <c r="DM40" s="263"/>
      <c r="DN40" s="263"/>
      <c r="DO40" s="263"/>
      <c r="DP40" s="263"/>
      <c r="DQ40" s="263"/>
      <c r="DR40" s="263"/>
      <c r="DS40" s="263"/>
      <c r="DT40" s="263"/>
      <c r="DU40" s="263"/>
      <c r="DV40" s="263"/>
      <c r="DW40" s="263"/>
      <c r="DX40" s="263"/>
      <c r="DY40" s="263"/>
      <c r="DZ40" s="263"/>
      <c r="EA40" s="263"/>
      <c r="EB40" s="263"/>
      <c r="EC40" s="263"/>
      <c r="ED40" s="263"/>
      <c r="EE40" s="263"/>
      <c r="EF40" s="263"/>
      <c r="EG40" s="263"/>
      <c r="EH40" s="263"/>
      <c r="EI40" s="263"/>
      <c r="EJ40" s="263"/>
      <c r="EK40" s="263"/>
      <c r="EL40" s="263"/>
      <c r="EM40" s="263"/>
      <c r="EN40" s="263"/>
      <c r="EO40" s="263"/>
      <c r="EP40" s="263"/>
      <c r="EQ40" s="263"/>
      <c r="ER40" s="263"/>
      <c r="ES40" s="263"/>
      <c r="ET40" s="263"/>
      <c r="EU40" s="263"/>
      <c r="EV40" s="263"/>
      <c r="EW40" s="263"/>
      <c r="EX40" s="263"/>
      <c r="EY40" s="263"/>
      <c r="EZ40" s="263"/>
      <c r="FA40" s="263"/>
      <c r="FB40" s="263"/>
      <c r="FC40" s="263"/>
      <c r="FD40" s="263"/>
      <c r="FE40" s="263"/>
      <c r="FF40" s="263"/>
      <c r="FG40" s="263"/>
      <c r="FH40" s="263"/>
      <c r="FI40" s="263"/>
      <c r="FJ40" s="263"/>
      <c r="FK40" s="263"/>
      <c r="FL40" s="263"/>
      <c r="FM40" s="263"/>
      <c r="FN40" s="263"/>
      <c r="FO40" s="263"/>
      <c r="FP40" s="263"/>
      <c r="FQ40" s="263"/>
      <c r="FR40" s="263"/>
      <c r="FS40" s="263"/>
      <c r="FT40" s="263"/>
      <c r="FU40" s="263"/>
      <c r="FV40" s="263"/>
      <c r="FW40" s="263"/>
      <c r="FX40" s="263"/>
      <c r="FY40" s="263"/>
      <c r="FZ40" s="263"/>
      <c r="GA40" s="263"/>
      <c r="GB40" s="263"/>
      <c r="GC40" s="263"/>
      <c r="GD40" s="263"/>
      <c r="GE40" s="263"/>
      <c r="GF40" s="263"/>
      <c r="GG40" s="263"/>
      <c r="GH40" s="263"/>
      <c r="GI40" s="263"/>
      <c r="GJ40" s="263"/>
      <c r="GK40" s="263"/>
      <c r="GL40" s="263"/>
      <c r="GM40" s="263"/>
      <c r="GN40" s="263"/>
      <c r="GO40" s="263"/>
      <c r="GP40" s="263"/>
      <c r="GQ40" s="263"/>
      <c r="GR40" s="263"/>
      <c r="GS40" s="263"/>
      <c r="GT40" s="263"/>
      <c r="GU40" s="263"/>
      <c r="GV40" s="263"/>
      <c r="GW40" s="263"/>
      <c r="GX40" s="263"/>
      <c r="GY40" s="263"/>
      <c r="GZ40" s="263"/>
      <c r="HA40" s="263"/>
      <c r="HB40" s="263"/>
      <c r="HC40" s="263"/>
      <c r="HD40" s="263"/>
      <c r="HE40" s="263"/>
      <c r="HF40" s="263"/>
      <c r="HG40" s="263"/>
      <c r="HH40" s="263"/>
      <c r="HI40" s="263"/>
      <c r="HJ40" s="263"/>
      <c r="HK40" s="263"/>
      <c r="HL40" s="263"/>
      <c r="HM40" s="263"/>
      <c r="HN40" s="263"/>
      <c r="HO40" s="263"/>
      <c r="HP40" s="263"/>
      <c r="HQ40" s="263"/>
      <c r="HR40" s="263"/>
      <c r="HS40" s="263"/>
      <c r="HT40" s="263"/>
      <c r="HU40" s="263"/>
      <c r="HV40" s="263"/>
      <c r="HW40" s="263"/>
      <c r="HX40" s="263"/>
      <c r="HY40" s="263"/>
      <c r="HZ40" s="263"/>
      <c r="IA40" s="263"/>
      <c r="IB40" s="263"/>
      <c r="IC40" s="263"/>
      <c r="ID40" s="263"/>
      <c r="IE40" s="263"/>
      <c r="IF40" s="263"/>
      <c r="IG40" s="263"/>
      <c r="IH40" s="263"/>
      <c r="II40" s="263"/>
      <c r="IJ40" s="263"/>
      <c r="IK40" s="263"/>
      <c r="IL40" s="263"/>
      <c r="IM40" s="263"/>
      <c r="IN40" s="263"/>
      <c r="IO40" s="263"/>
      <c r="IP40" s="263"/>
      <c r="IQ40" s="263"/>
      <c r="IR40" s="263"/>
      <c r="IS40" s="263"/>
      <c r="IT40" s="263"/>
      <c r="IU40" s="263"/>
    </row>
    <row r="41" spans="1:255" ht="15.6">
      <c r="A41" s="263"/>
      <c r="B41" s="263"/>
      <c r="C41" s="273"/>
      <c r="D41" s="273"/>
      <c r="E41" s="273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273"/>
      <c r="Q41" s="273"/>
      <c r="R41" s="273"/>
      <c r="S41" s="273"/>
      <c r="T41" s="273"/>
      <c r="U41" s="273"/>
      <c r="V41" s="27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</row>
    <row r="42" spans="1:255" ht="15.6">
      <c r="A42" s="274" t="s">
        <v>265</v>
      </c>
      <c r="B42" s="263"/>
      <c r="C42" s="263"/>
      <c r="D42" s="263"/>
      <c r="E42" s="263"/>
      <c r="F42" s="263"/>
      <c r="G42" s="263"/>
      <c r="H42" s="263"/>
      <c r="I42" s="263"/>
      <c r="J42" s="263"/>
      <c r="K42" s="263"/>
      <c r="L42" s="263"/>
      <c r="M42" s="263"/>
      <c r="N42" s="263"/>
      <c r="O42" s="263"/>
      <c r="P42" s="263"/>
      <c r="Q42" s="263"/>
      <c r="R42" s="263"/>
      <c r="S42" s="263"/>
      <c r="T42" s="263"/>
      <c r="U42" s="263"/>
      <c r="V42" s="263"/>
      <c r="W42" s="263"/>
      <c r="X42" s="263"/>
      <c r="Y42" s="263"/>
      <c r="Z42" s="263"/>
      <c r="AA42" s="263"/>
      <c r="AB42" s="263"/>
      <c r="AC42" s="263"/>
      <c r="AD42" s="263"/>
      <c r="AE42" s="263"/>
      <c r="AF42" s="263"/>
      <c r="AG42" s="263"/>
      <c r="AH42" s="263"/>
      <c r="AI42" s="263"/>
      <c r="AJ42" s="263"/>
      <c r="AK42" s="263"/>
      <c r="AL42" s="263"/>
      <c r="AM42" s="263"/>
      <c r="AN42" s="263"/>
      <c r="AO42" s="263"/>
      <c r="AP42" s="263"/>
      <c r="AQ42" s="263"/>
      <c r="AR42" s="263"/>
      <c r="AS42" s="263"/>
      <c r="AT42" s="263"/>
      <c r="AU42" s="263"/>
      <c r="AV42" s="263"/>
      <c r="AW42" s="263"/>
      <c r="AX42" s="263"/>
      <c r="AY42" s="263"/>
      <c r="AZ42" s="263"/>
      <c r="BA42" s="263"/>
      <c r="BB42" s="263"/>
      <c r="BC42" s="263"/>
      <c r="BD42" s="263"/>
      <c r="BE42" s="263"/>
      <c r="BF42" s="263"/>
      <c r="BG42" s="263"/>
      <c r="BH42" s="263"/>
      <c r="BI42" s="263"/>
      <c r="BJ42" s="263"/>
      <c r="BK42" s="263"/>
      <c r="BL42" s="263"/>
      <c r="BM42" s="263"/>
      <c r="BN42" s="263"/>
      <c r="BO42" s="263"/>
      <c r="BP42" s="263"/>
      <c r="BQ42" s="263"/>
      <c r="BR42" s="263"/>
      <c r="BS42" s="263"/>
      <c r="BT42" s="263"/>
      <c r="BU42" s="263"/>
      <c r="BV42" s="263"/>
      <c r="BW42" s="263"/>
      <c r="BX42" s="263"/>
      <c r="BY42" s="263"/>
      <c r="BZ42" s="263"/>
      <c r="CA42" s="263"/>
      <c r="CB42" s="263"/>
      <c r="CC42" s="263"/>
      <c r="CD42" s="263"/>
      <c r="CE42" s="263"/>
      <c r="CF42" s="263"/>
      <c r="CG42" s="263"/>
      <c r="CH42" s="263"/>
      <c r="CI42" s="263"/>
      <c r="CJ42" s="263"/>
      <c r="CK42" s="263"/>
      <c r="CL42" s="263"/>
      <c r="CM42" s="263"/>
      <c r="CN42" s="263"/>
      <c r="CO42" s="263"/>
      <c r="CP42" s="263"/>
      <c r="CQ42" s="263"/>
      <c r="CR42" s="263"/>
      <c r="CS42" s="263"/>
      <c r="CT42" s="263"/>
      <c r="CU42" s="263"/>
      <c r="CV42" s="263"/>
      <c r="CW42" s="263"/>
      <c r="CX42" s="263"/>
      <c r="CY42" s="263"/>
      <c r="CZ42" s="263"/>
      <c r="DA42" s="263"/>
      <c r="DB42" s="263"/>
      <c r="DC42" s="263"/>
      <c r="DD42" s="263"/>
      <c r="DE42" s="263"/>
      <c r="DF42" s="263"/>
      <c r="DG42" s="263"/>
      <c r="DH42" s="263"/>
      <c r="DI42" s="263"/>
      <c r="DJ42" s="263"/>
      <c r="DK42" s="263"/>
      <c r="DL42" s="263"/>
      <c r="DM42" s="263"/>
      <c r="DN42" s="263"/>
      <c r="DO42" s="263"/>
      <c r="DP42" s="263"/>
      <c r="DQ42" s="263"/>
      <c r="DR42" s="263"/>
      <c r="DS42" s="263"/>
      <c r="DT42" s="263"/>
      <c r="DU42" s="263"/>
      <c r="DV42" s="263"/>
      <c r="DW42" s="263"/>
      <c r="DX42" s="263"/>
      <c r="DY42" s="263"/>
      <c r="DZ42" s="263"/>
      <c r="EA42" s="263"/>
      <c r="EB42" s="263"/>
      <c r="EC42" s="263"/>
      <c r="ED42" s="263"/>
      <c r="EE42" s="263"/>
      <c r="EF42" s="263"/>
      <c r="EG42" s="263"/>
      <c r="EH42" s="263"/>
      <c r="EI42" s="263"/>
      <c r="EJ42" s="263"/>
      <c r="EK42" s="263"/>
      <c r="EL42" s="263"/>
      <c r="EM42" s="263"/>
      <c r="EN42" s="263"/>
      <c r="EO42" s="263"/>
      <c r="EP42" s="263"/>
      <c r="EQ42" s="263"/>
      <c r="ER42" s="263"/>
      <c r="ES42" s="263"/>
      <c r="ET42" s="263"/>
      <c r="EU42" s="263"/>
      <c r="EV42" s="263"/>
      <c r="EW42" s="263"/>
      <c r="EX42" s="263"/>
      <c r="EY42" s="263"/>
      <c r="EZ42" s="263"/>
      <c r="FA42" s="263"/>
      <c r="FB42" s="263"/>
      <c r="FC42" s="263"/>
      <c r="FD42" s="263"/>
      <c r="FE42" s="263"/>
      <c r="FF42" s="263"/>
      <c r="FG42" s="263"/>
      <c r="FH42" s="263"/>
      <c r="FI42" s="263"/>
      <c r="FJ42" s="263"/>
      <c r="FK42" s="263"/>
      <c r="FL42" s="263"/>
      <c r="FM42" s="263"/>
      <c r="FN42" s="263"/>
      <c r="FO42" s="263"/>
      <c r="FP42" s="263"/>
      <c r="FQ42" s="263"/>
      <c r="FR42" s="263"/>
      <c r="FS42" s="263"/>
      <c r="FT42" s="263"/>
      <c r="FU42" s="263"/>
      <c r="FV42" s="263"/>
      <c r="FW42" s="263"/>
      <c r="FX42" s="263"/>
      <c r="FY42" s="263"/>
      <c r="FZ42" s="263"/>
      <c r="GA42" s="263"/>
      <c r="GB42" s="263"/>
      <c r="GC42" s="263"/>
      <c r="GD42" s="263"/>
      <c r="GE42" s="263"/>
      <c r="GF42" s="263"/>
      <c r="GG42" s="263"/>
      <c r="GH42" s="263"/>
      <c r="GI42" s="263"/>
      <c r="GJ42" s="263"/>
      <c r="GK42" s="263"/>
      <c r="GL42" s="263"/>
      <c r="GM42" s="263"/>
      <c r="GN42" s="263"/>
      <c r="GO42" s="263"/>
      <c r="GP42" s="263"/>
      <c r="GQ42" s="263"/>
      <c r="GR42" s="263"/>
      <c r="GS42" s="263"/>
      <c r="GT42" s="263"/>
      <c r="GU42" s="263"/>
      <c r="GV42" s="263"/>
      <c r="GW42" s="263"/>
      <c r="GX42" s="263"/>
      <c r="GY42" s="263"/>
      <c r="GZ42" s="263"/>
      <c r="HA42" s="263"/>
      <c r="HB42" s="263"/>
      <c r="HC42" s="263"/>
      <c r="HD42" s="263"/>
      <c r="HE42" s="263"/>
      <c r="HF42" s="263"/>
      <c r="HG42" s="263"/>
      <c r="HH42" s="263"/>
      <c r="HI42" s="263"/>
      <c r="HJ42" s="263"/>
      <c r="HK42" s="263"/>
      <c r="HL42" s="263"/>
      <c r="HM42" s="263"/>
      <c r="HN42" s="263"/>
      <c r="HO42" s="263"/>
      <c r="HP42" s="263"/>
      <c r="HQ42" s="263"/>
      <c r="HR42" s="263"/>
      <c r="HS42" s="263"/>
      <c r="HT42" s="263"/>
      <c r="HU42" s="263"/>
      <c r="HV42" s="263"/>
      <c r="HW42" s="263"/>
      <c r="HX42" s="263"/>
      <c r="HY42" s="263"/>
      <c r="HZ42" s="263"/>
      <c r="IA42" s="263"/>
      <c r="IB42" s="263"/>
      <c r="IC42" s="263"/>
      <c r="ID42" s="263"/>
      <c r="IE42" s="263"/>
      <c r="IF42" s="263"/>
      <c r="IG42" s="263"/>
      <c r="IH42" s="263"/>
      <c r="II42" s="263"/>
      <c r="IJ42" s="263"/>
      <c r="IK42" s="263"/>
      <c r="IL42" s="263"/>
      <c r="IM42" s="263"/>
      <c r="IN42" s="263"/>
      <c r="IO42" s="263"/>
      <c r="IP42" s="263"/>
      <c r="IQ42" s="263"/>
      <c r="IR42" s="263"/>
      <c r="IS42" s="263"/>
      <c r="IT42" s="263"/>
      <c r="IU42" s="263"/>
    </row>
    <row r="43" spans="1:255" ht="15.6">
      <c r="A43" s="263" t="s">
        <v>266</v>
      </c>
      <c r="B43" s="263"/>
      <c r="C43" s="275">
        <f ca="1">C14</f>
        <v>359.45</v>
      </c>
      <c r="D43" s="275">
        <f t="shared" ref="D43:V43" ca="1" si="9">C45+D14</f>
        <v>1806.5381879999998</v>
      </c>
      <c r="E43" s="275">
        <f t="shared" ca="1" si="9"/>
        <v>3292.6977570759996</v>
      </c>
      <c r="F43" s="275">
        <f t="shared" ca="1" si="9"/>
        <v>4818.9836345170506</v>
      </c>
      <c r="G43" s="275">
        <f t="shared" ca="1" si="9"/>
        <v>6386.4792306490099</v>
      </c>
      <c r="H43" s="275">
        <f t="shared" ca="1" si="9"/>
        <v>7996.2972078765324</v>
      </c>
      <c r="I43" s="275">
        <f t="shared" ca="1" si="9"/>
        <v>9649.5802704891976</v>
      </c>
      <c r="J43" s="275">
        <f t="shared" ca="1" si="9"/>
        <v>11347.501975792404</v>
      </c>
      <c r="K43" s="275">
        <f t="shared" ca="1" si="9"/>
        <v>13091.267567138797</v>
      </c>
      <c r="L43" s="275">
        <f t="shared" ca="1" si="9"/>
        <v>14882.114829451542</v>
      </c>
      <c r="M43" s="275">
        <f t="shared" ca="1" si="9"/>
        <v>16721.314967846731</v>
      </c>
      <c r="N43" s="275">
        <f t="shared" ca="1" si="9"/>
        <v>18610.173509978591</v>
      </c>
      <c r="O43" s="275">
        <f t="shared" ca="1" si="9"/>
        <v>20550.03123274801</v>
      </c>
      <c r="P43" s="275">
        <f t="shared" ca="1" si="9"/>
        <v>1992.2338812841938</v>
      </c>
      <c r="Q43" s="275">
        <f t="shared" ca="1" si="9"/>
        <v>4038.2580773630607</v>
      </c>
      <c r="R43" s="275">
        <f t="shared" ca="1" si="9"/>
        <v>6139.5249267360568</v>
      </c>
      <c r="S43" s="275">
        <f t="shared" ca="1" si="9"/>
        <v>8297.525981042123</v>
      </c>
      <c r="T43" s="275">
        <f t="shared" ca="1" si="9"/>
        <v>10513.793063814453</v>
      </c>
      <c r="U43" s="275">
        <f t="shared" ca="1" si="9"/>
        <v>12789.899357821636</v>
      </c>
      <c r="V43" s="275">
        <f t="shared" ca="1" si="9"/>
        <v>15127.460521767012</v>
      </c>
      <c r="W43" s="263"/>
      <c r="X43" s="263"/>
      <c r="Y43" s="263"/>
      <c r="Z43" s="263"/>
      <c r="AA43" s="263"/>
      <c r="AB43" s="263"/>
      <c r="AC43" s="263"/>
      <c r="AD43" s="263"/>
      <c r="AE43" s="263"/>
      <c r="AF43" s="263"/>
      <c r="AG43" s="263"/>
      <c r="AH43" s="263"/>
      <c r="AI43" s="263"/>
      <c r="AJ43" s="263"/>
      <c r="AK43" s="263"/>
      <c r="AL43" s="263"/>
      <c r="AM43" s="263"/>
      <c r="AN43" s="263"/>
      <c r="AO43" s="263"/>
      <c r="AP43" s="263"/>
      <c r="AQ43" s="263"/>
      <c r="AR43" s="263"/>
      <c r="AS43" s="263"/>
      <c r="AT43" s="263"/>
      <c r="AU43" s="263"/>
      <c r="AV43" s="263"/>
      <c r="AW43" s="263"/>
      <c r="AX43" s="263"/>
      <c r="AY43" s="263"/>
      <c r="AZ43" s="263"/>
      <c r="BA43" s="263"/>
      <c r="BB43" s="263"/>
      <c r="BC43" s="263"/>
      <c r="BD43" s="263"/>
      <c r="BE43" s="263"/>
      <c r="BF43" s="263"/>
      <c r="BG43" s="263"/>
      <c r="BH43" s="263"/>
      <c r="BI43" s="263"/>
      <c r="BJ43" s="263"/>
      <c r="BK43" s="263"/>
      <c r="BL43" s="263"/>
      <c r="BM43" s="263"/>
      <c r="BN43" s="263"/>
      <c r="BO43" s="263"/>
      <c r="BP43" s="263"/>
      <c r="BQ43" s="263"/>
      <c r="BR43" s="263"/>
      <c r="BS43" s="263"/>
      <c r="BT43" s="263"/>
      <c r="BU43" s="263"/>
      <c r="BV43" s="263"/>
      <c r="BW43" s="263"/>
      <c r="BX43" s="263"/>
      <c r="BY43" s="263"/>
      <c r="BZ43" s="263"/>
      <c r="CA43" s="263"/>
      <c r="CB43" s="263"/>
      <c r="CC43" s="263"/>
      <c r="CD43" s="263"/>
      <c r="CE43" s="263"/>
      <c r="CF43" s="263"/>
      <c r="CG43" s="263"/>
      <c r="CH43" s="263"/>
      <c r="CI43" s="263"/>
      <c r="CJ43" s="263"/>
      <c r="CK43" s="263"/>
      <c r="CL43" s="263"/>
      <c r="CM43" s="263"/>
      <c r="CN43" s="263"/>
      <c r="CO43" s="263"/>
      <c r="CP43" s="263"/>
      <c r="CQ43" s="263"/>
      <c r="CR43" s="263"/>
      <c r="CS43" s="263"/>
      <c r="CT43" s="263"/>
      <c r="CU43" s="263"/>
      <c r="CV43" s="263"/>
      <c r="CW43" s="263"/>
      <c r="CX43" s="263"/>
      <c r="CY43" s="263"/>
      <c r="CZ43" s="263"/>
      <c r="DA43" s="263"/>
      <c r="DB43" s="263"/>
      <c r="DC43" s="263"/>
      <c r="DD43" s="263"/>
      <c r="DE43" s="263"/>
      <c r="DF43" s="263"/>
      <c r="DG43" s="263"/>
      <c r="DH43" s="263"/>
      <c r="DI43" s="263"/>
      <c r="DJ43" s="263"/>
      <c r="DK43" s="263"/>
      <c r="DL43" s="263"/>
      <c r="DM43" s="263"/>
      <c r="DN43" s="263"/>
      <c r="DO43" s="263"/>
      <c r="DP43" s="263"/>
      <c r="DQ43" s="263"/>
      <c r="DR43" s="263"/>
      <c r="DS43" s="263"/>
      <c r="DT43" s="263"/>
      <c r="DU43" s="263"/>
      <c r="DV43" s="263"/>
      <c r="DW43" s="263"/>
      <c r="DX43" s="263"/>
      <c r="DY43" s="263"/>
      <c r="DZ43" s="263"/>
      <c r="EA43" s="263"/>
      <c r="EB43" s="263"/>
      <c r="EC43" s="263"/>
      <c r="ED43" s="263"/>
      <c r="EE43" s="263"/>
      <c r="EF43" s="263"/>
      <c r="EG43" s="263"/>
      <c r="EH43" s="263"/>
      <c r="EI43" s="263"/>
      <c r="EJ43" s="263"/>
      <c r="EK43" s="263"/>
      <c r="EL43" s="263"/>
      <c r="EM43" s="263"/>
      <c r="EN43" s="263"/>
      <c r="EO43" s="263"/>
      <c r="EP43" s="263"/>
      <c r="EQ43" s="263"/>
      <c r="ER43" s="263"/>
      <c r="ES43" s="263"/>
      <c r="ET43" s="263"/>
      <c r="EU43" s="263"/>
      <c r="EV43" s="263"/>
      <c r="EW43" s="263"/>
      <c r="EX43" s="263"/>
      <c r="EY43" s="263"/>
      <c r="EZ43" s="263"/>
      <c r="FA43" s="263"/>
      <c r="FB43" s="263"/>
      <c r="FC43" s="263"/>
      <c r="FD43" s="263"/>
      <c r="FE43" s="263"/>
      <c r="FF43" s="263"/>
      <c r="FG43" s="263"/>
      <c r="FH43" s="263"/>
      <c r="FI43" s="263"/>
      <c r="FJ43" s="263"/>
      <c r="FK43" s="263"/>
      <c r="FL43" s="263"/>
      <c r="FM43" s="263"/>
      <c r="FN43" s="263"/>
      <c r="FO43" s="263"/>
      <c r="FP43" s="263"/>
      <c r="FQ43" s="263"/>
      <c r="FR43" s="263"/>
      <c r="FS43" s="263"/>
      <c r="FT43" s="263"/>
      <c r="FU43" s="263"/>
      <c r="FV43" s="263"/>
      <c r="FW43" s="263"/>
      <c r="FX43" s="263"/>
      <c r="FY43" s="263"/>
      <c r="FZ43" s="263"/>
      <c r="GA43" s="263"/>
      <c r="GB43" s="263"/>
      <c r="GC43" s="263"/>
      <c r="GD43" s="263"/>
      <c r="GE43" s="263"/>
      <c r="GF43" s="263"/>
      <c r="GG43" s="263"/>
      <c r="GH43" s="263"/>
      <c r="GI43" s="263"/>
      <c r="GJ43" s="263"/>
      <c r="GK43" s="263"/>
      <c r="GL43" s="263"/>
      <c r="GM43" s="263"/>
      <c r="GN43" s="263"/>
      <c r="GO43" s="263"/>
      <c r="GP43" s="263"/>
      <c r="GQ43" s="263"/>
      <c r="GR43" s="263"/>
      <c r="GS43" s="263"/>
      <c r="GT43" s="263"/>
      <c r="GU43" s="263"/>
      <c r="GV43" s="263"/>
      <c r="GW43" s="263"/>
      <c r="GX43" s="263"/>
      <c r="GY43" s="263"/>
      <c r="GZ43" s="263"/>
      <c r="HA43" s="263"/>
      <c r="HB43" s="263"/>
      <c r="HC43" s="263"/>
      <c r="HD43" s="263"/>
      <c r="HE43" s="263"/>
      <c r="HF43" s="263"/>
      <c r="HG43" s="263"/>
      <c r="HH43" s="263"/>
      <c r="HI43" s="263"/>
      <c r="HJ43" s="263"/>
      <c r="HK43" s="263"/>
      <c r="HL43" s="263"/>
      <c r="HM43" s="263"/>
      <c r="HN43" s="263"/>
      <c r="HO43" s="263"/>
      <c r="HP43" s="263"/>
      <c r="HQ43" s="263"/>
      <c r="HR43" s="263"/>
      <c r="HS43" s="263"/>
      <c r="HT43" s="263"/>
      <c r="HU43" s="263"/>
      <c r="HV43" s="263"/>
      <c r="HW43" s="263"/>
      <c r="HX43" s="263"/>
      <c r="HY43" s="263"/>
      <c r="HZ43" s="263"/>
      <c r="IA43" s="263"/>
      <c r="IB43" s="263"/>
      <c r="IC43" s="263"/>
      <c r="ID43" s="263"/>
      <c r="IE43" s="263"/>
      <c r="IF43" s="263"/>
      <c r="IG43" s="263"/>
      <c r="IH43" s="263"/>
      <c r="II43" s="263"/>
      <c r="IJ43" s="263"/>
      <c r="IK43" s="263"/>
      <c r="IL43" s="263"/>
      <c r="IM43" s="263"/>
      <c r="IN43" s="263"/>
      <c r="IO43" s="263"/>
      <c r="IP43" s="263"/>
      <c r="IQ43" s="263"/>
      <c r="IR43" s="263"/>
      <c r="IS43" s="263"/>
      <c r="IT43" s="263"/>
      <c r="IU43" s="263"/>
    </row>
    <row r="44" spans="1:255" ht="15.6">
      <c r="A44" s="263" t="s">
        <v>267</v>
      </c>
      <c r="B44" s="263"/>
      <c r="C44" s="275">
        <v>0</v>
      </c>
      <c r="D44" s="275"/>
      <c r="E44" s="275"/>
      <c r="F44" s="275"/>
      <c r="G44" s="275"/>
      <c r="H44" s="275"/>
      <c r="I44" s="275"/>
      <c r="J44" s="275"/>
      <c r="K44" s="275"/>
      <c r="L44" s="275"/>
      <c r="M44" s="275"/>
      <c r="N44" s="275"/>
      <c r="O44" s="275">
        <f ca="1">O43</f>
        <v>20550.03123274801</v>
      </c>
      <c r="P44" s="275"/>
      <c r="Q44" s="275"/>
      <c r="R44" s="275"/>
      <c r="S44" s="275"/>
      <c r="T44" s="275"/>
      <c r="U44" s="275"/>
      <c r="V44" s="275"/>
      <c r="W44" s="263"/>
      <c r="X44" s="263"/>
      <c r="Y44" s="263"/>
      <c r="Z44" s="263"/>
      <c r="AA44" s="263"/>
      <c r="AB44" s="263"/>
      <c r="AC44" s="263"/>
      <c r="AD44" s="263"/>
      <c r="AE44" s="263"/>
      <c r="AF44" s="263"/>
      <c r="AG44" s="263"/>
      <c r="AH44" s="263"/>
      <c r="AI44" s="263"/>
      <c r="AJ44" s="263"/>
      <c r="AK44" s="263"/>
      <c r="AL44" s="263"/>
      <c r="AM44" s="263"/>
      <c r="AN44" s="263"/>
      <c r="AO44" s="263"/>
      <c r="AP44" s="263"/>
      <c r="AQ44" s="263"/>
      <c r="AR44" s="263"/>
      <c r="AS44" s="263"/>
      <c r="AT44" s="263"/>
      <c r="AU44" s="263"/>
      <c r="AV44" s="263"/>
      <c r="AW44" s="263"/>
      <c r="AX44" s="263"/>
      <c r="AY44" s="263"/>
      <c r="AZ44" s="263"/>
      <c r="BA44" s="263"/>
      <c r="BB44" s="263"/>
      <c r="BC44" s="263"/>
      <c r="BD44" s="263"/>
      <c r="BE44" s="263"/>
      <c r="BF44" s="263"/>
      <c r="BG44" s="263"/>
      <c r="BH44" s="263"/>
      <c r="BI44" s="263"/>
      <c r="BJ44" s="263"/>
      <c r="BK44" s="263"/>
      <c r="BL44" s="263"/>
      <c r="BM44" s="263"/>
      <c r="BN44" s="263"/>
      <c r="BO44" s="263"/>
      <c r="BP44" s="263"/>
      <c r="BQ44" s="263"/>
      <c r="BR44" s="263"/>
      <c r="BS44" s="263"/>
      <c r="BT44" s="263"/>
      <c r="BU44" s="263"/>
      <c r="BV44" s="263"/>
      <c r="BW44" s="263"/>
      <c r="BX44" s="263"/>
      <c r="BY44" s="263"/>
      <c r="BZ44" s="263"/>
      <c r="CA44" s="263"/>
      <c r="CB44" s="263"/>
      <c r="CC44" s="263"/>
      <c r="CD44" s="263"/>
      <c r="CE44" s="263"/>
      <c r="CF44" s="263"/>
      <c r="CG44" s="263"/>
      <c r="CH44" s="263"/>
      <c r="CI44" s="263"/>
      <c r="CJ44" s="263"/>
      <c r="CK44" s="263"/>
      <c r="CL44" s="263"/>
      <c r="CM44" s="263"/>
      <c r="CN44" s="263"/>
      <c r="CO44" s="263"/>
      <c r="CP44" s="263"/>
      <c r="CQ44" s="263"/>
      <c r="CR44" s="263"/>
      <c r="CS44" s="263"/>
      <c r="CT44" s="263"/>
      <c r="CU44" s="263"/>
      <c r="CV44" s="263"/>
      <c r="CW44" s="263"/>
      <c r="CX44" s="263"/>
      <c r="CY44" s="263"/>
      <c r="CZ44" s="263"/>
      <c r="DA44" s="263"/>
      <c r="DB44" s="263"/>
      <c r="DC44" s="263"/>
      <c r="DD44" s="263"/>
      <c r="DE44" s="263"/>
      <c r="DF44" s="263"/>
      <c r="DG44" s="263"/>
      <c r="DH44" s="263"/>
      <c r="DI44" s="263"/>
      <c r="DJ44" s="263"/>
      <c r="DK44" s="263"/>
      <c r="DL44" s="263"/>
      <c r="DM44" s="263"/>
      <c r="DN44" s="263"/>
      <c r="DO44" s="263"/>
      <c r="DP44" s="263"/>
      <c r="DQ44" s="263"/>
      <c r="DR44" s="263"/>
      <c r="DS44" s="263"/>
      <c r="DT44" s="263"/>
      <c r="DU44" s="263"/>
      <c r="DV44" s="263"/>
      <c r="DW44" s="263"/>
      <c r="DX44" s="263"/>
      <c r="DY44" s="263"/>
      <c r="DZ44" s="263"/>
      <c r="EA44" s="263"/>
      <c r="EB44" s="263"/>
      <c r="EC44" s="263"/>
      <c r="ED44" s="263"/>
      <c r="EE44" s="263"/>
      <c r="EF44" s="263"/>
      <c r="EG44" s="263"/>
      <c r="EH44" s="263"/>
      <c r="EI44" s="263"/>
      <c r="EJ44" s="263"/>
      <c r="EK44" s="263"/>
      <c r="EL44" s="263"/>
      <c r="EM44" s="263"/>
      <c r="EN44" s="263"/>
      <c r="EO44" s="263"/>
      <c r="EP44" s="263"/>
      <c r="EQ44" s="263"/>
      <c r="ER44" s="263"/>
      <c r="ES44" s="263"/>
      <c r="ET44" s="263"/>
      <c r="EU44" s="263"/>
      <c r="EV44" s="263"/>
      <c r="EW44" s="263"/>
      <c r="EX44" s="263"/>
      <c r="EY44" s="263"/>
      <c r="EZ44" s="263"/>
      <c r="FA44" s="263"/>
      <c r="FB44" s="263"/>
      <c r="FC44" s="263"/>
      <c r="FD44" s="263"/>
      <c r="FE44" s="263"/>
      <c r="FF44" s="263"/>
      <c r="FG44" s="263"/>
      <c r="FH44" s="263"/>
      <c r="FI44" s="263"/>
      <c r="FJ44" s="263"/>
      <c r="FK44" s="263"/>
      <c r="FL44" s="263"/>
      <c r="FM44" s="263"/>
      <c r="FN44" s="263"/>
      <c r="FO44" s="263"/>
      <c r="FP44" s="263"/>
      <c r="FQ44" s="263"/>
      <c r="FR44" s="263"/>
      <c r="FS44" s="263"/>
      <c r="FT44" s="263"/>
      <c r="FU44" s="263"/>
      <c r="FV44" s="263"/>
      <c r="FW44" s="263"/>
      <c r="FX44" s="263"/>
      <c r="FY44" s="263"/>
      <c r="FZ44" s="263"/>
      <c r="GA44" s="263"/>
      <c r="GB44" s="263"/>
      <c r="GC44" s="263"/>
      <c r="GD44" s="263"/>
      <c r="GE44" s="263"/>
      <c r="GF44" s="263"/>
      <c r="GG44" s="263"/>
      <c r="GH44" s="263"/>
      <c r="GI44" s="263"/>
      <c r="GJ44" s="263"/>
      <c r="GK44" s="263"/>
      <c r="GL44" s="263"/>
      <c r="GM44" s="263"/>
      <c r="GN44" s="263"/>
      <c r="GO44" s="263"/>
      <c r="GP44" s="263"/>
      <c r="GQ44" s="263"/>
      <c r="GR44" s="263"/>
      <c r="GS44" s="263"/>
      <c r="GT44" s="263"/>
      <c r="GU44" s="263"/>
      <c r="GV44" s="263"/>
      <c r="GW44" s="263"/>
      <c r="GX44" s="263"/>
      <c r="GY44" s="263"/>
      <c r="GZ44" s="263"/>
      <c r="HA44" s="263"/>
      <c r="HB44" s="263"/>
      <c r="HC44" s="263"/>
      <c r="HD44" s="263"/>
      <c r="HE44" s="263"/>
      <c r="HF44" s="263"/>
      <c r="HG44" s="263"/>
      <c r="HH44" s="263"/>
      <c r="HI44" s="263"/>
      <c r="HJ44" s="263"/>
      <c r="HK44" s="263"/>
      <c r="HL44" s="263"/>
      <c r="HM44" s="263"/>
      <c r="HN44" s="263"/>
      <c r="HO44" s="263"/>
      <c r="HP44" s="263"/>
      <c r="HQ44" s="263"/>
      <c r="HR44" s="263"/>
      <c r="HS44" s="263"/>
      <c r="HT44" s="263"/>
      <c r="HU44" s="263"/>
      <c r="HV44" s="263"/>
      <c r="HW44" s="263"/>
      <c r="HX44" s="263"/>
      <c r="HY44" s="263"/>
      <c r="HZ44" s="263"/>
      <c r="IA44" s="263"/>
      <c r="IB44" s="263"/>
      <c r="IC44" s="263"/>
      <c r="ID44" s="263"/>
      <c r="IE44" s="263"/>
      <c r="IF44" s="263"/>
      <c r="IG44" s="263"/>
      <c r="IH44" s="263"/>
      <c r="II44" s="263"/>
      <c r="IJ44" s="263"/>
      <c r="IK44" s="263"/>
      <c r="IL44" s="263"/>
      <c r="IM44" s="263"/>
      <c r="IN44" s="263"/>
      <c r="IO44" s="263"/>
      <c r="IP44" s="263"/>
      <c r="IQ44" s="263"/>
      <c r="IR44" s="263"/>
      <c r="IS44" s="263"/>
      <c r="IT44" s="263"/>
      <c r="IU44" s="263"/>
    </row>
    <row r="45" spans="1:255" ht="15.6">
      <c r="A45" s="263" t="s">
        <v>268</v>
      </c>
      <c r="B45" s="263"/>
      <c r="C45" s="275">
        <f t="shared" ref="C45:V45" ca="1" si="10">C43-C44</f>
        <v>359.45</v>
      </c>
      <c r="D45" s="275">
        <f t="shared" ca="1" si="10"/>
        <v>1806.5381879999998</v>
      </c>
      <c r="E45" s="275">
        <f t="shared" ca="1" si="10"/>
        <v>3292.6977570759996</v>
      </c>
      <c r="F45" s="275">
        <f t="shared" ca="1" si="10"/>
        <v>4818.9836345170506</v>
      </c>
      <c r="G45" s="275">
        <f t="shared" ca="1" si="10"/>
        <v>6386.4792306490099</v>
      </c>
      <c r="H45" s="275">
        <f t="shared" ca="1" si="10"/>
        <v>7996.2972078765324</v>
      </c>
      <c r="I45" s="275">
        <f t="shared" ca="1" si="10"/>
        <v>9649.5802704891976</v>
      </c>
      <c r="J45" s="275">
        <f t="shared" ca="1" si="10"/>
        <v>11347.501975792404</v>
      </c>
      <c r="K45" s="275">
        <f t="shared" ca="1" si="10"/>
        <v>13091.267567138797</v>
      </c>
      <c r="L45" s="275">
        <f t="shared" ca="1" si="10"/>
        <v>14882.114829451542</v>
      </c>
      <c r="M45" s="275">
        <f t="shared" ca="1" si="10"/>
        <v>16721.314967846731</v>
      </c>
      <c r="N45" s="275">
        <f t="shared" ca="1" si="10"/>
        <v>18610.173509978591</v>
      </c>
      <c r="O45" s="275">
        <f t="shared" ca="1" si="10"/>
        <v>0</v>
      </c>
      <c r="P45" s="275">
        <f t="shared" ca="1" si="10"/>
        <v>1992.2338812841938</v>
      </c>
      <c r="Q45" s="275">
        <f t="shared" ca="1" si="10"/>
        <v>4038.2580773630607</v>
      </c>
      <c r="R45" s="275">
        <f t="shared" ca="1" si="10"/>
        <v>6139.5249267360568</v>
      </c>
      <c r="S45" s="275">
        <f t="shared" ca="1" si="10"/>
        <v>8297.525981042123</v>
      </c>
      <c r="T45" s="275">
        <f t="shared" ca="1" si="10"/>
        <v>10513.793063814453</v>
      </c>
      <c r="U45" s="275">
        <f t="shared" ca="1" si="10"/>
        <v>12789.899357821636</v>
      </c>
      <c r="V45" s="275">
        <f t="shared" ca="1" si="10"/>
        <v>15127.460521767012</v>
      </c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3"/>
      <c r="AH45" s="263"/>
      <c r="AI45" s="263"/>
      <c r="AJ45" s="263"/>
      <c r="AK45" s="263"/>
      <c r="AL45" s="263"/>
      <c r="AM45" s="263"/>
      <c r="AN45" s="263"/>
      <c r="AO45" s="263"/>
      <c r="AP45" s="263"/>
      <c r="AQ45" s="263"/>
      <c r="AR45" s="263"/>
      <c r="AS45" s="263"/>
      <c r="AT45" s="263"/>
      <c r="AU45" s="263"/>
      <c r="AV45" s="263"/>
      <c r="AW45" s="263"/>
      <c r="AX45" s="263"/>
      <c r="AY45" s="263"/>
      <c r="AZ45" s="263"/>
      <c r="BA45" s="263"/>
      <c r="BB45" s="263"/>
      <c r="BC45" s="263"/>
      <c r="BD45" s="263"/>
      <c r="BE45" s="263"/>
      <c r="BF45" s="263"/>
      <c r="BG45" s="263"/>
      <c r="BH45" s="263"/>
      <c r="BI45" s="263"/>
      <c r="BJ45" s="263"/>
      <c r="BK45" s="263"/>
      <c r="BL45" s="263"/>
      <c r="BM45" s="263"/>
      <c r="BN45" s="263"/>
      <c r="BO45" s="263"/>
      <c r="BP45" s="263"/>
      <c r="BQ45" s="263"/>
      <c r="BR45" s="263"/>
      <c r="BS45" s="263"/>
      <c r="BT45" s="263"/>
      <c r="BU45" s="263"/>
      <c r="BV45" s="263"/>
      <c r="BW45" s="263"/>
      <c r="BX45" s="263"/>
      <c r="BY45" s="263"/>
      <c r="BZ45" s="263"/>
      <c r="CA45" s="263"/>
      <c r="CB45" s="263"/>
      <c r="CC45" s="263"/>
      <c r="CD45" s="263"/>
      <c r="CE45" s="263"/>
      <c r="CF45" s="263"/>
      <c r="CG45" s="263"/>
      <c r="CH45" s="263"/>
      <c r="CI45" s="263"/>
      <c r="CJ45" s="263"/>
      <c r="CK45" s="263"/>
      <c r="CL45" s="263"/>
      <c r="CM45" s="263"/>
      <c r="CN45" s="263"/>
      <c r="CO45" s="263"/>
      <c r="CP45" s="263"/>
      <c r="CQ45" s="263"/>
      <c r="CR45" s="263"/>
      <c r="CS45" s="263"/>
      <c r="CT45" s="263"/>
      <c r="CU45" s="263"/>
      <c r="CV45" s="263"/>
      <c r="CW45" s="263"/>
      <c r="CX45" s="263"/>
      <c r="CY45" s="263"/>
      <c r="CZ45" s="263"/>
      <c r="DA45" s="263"/>
      <c r="DB45" s="263"/>
      <c r="DC45" s="263"/>
      <c r="DD45" s="263"/>
      <c r="DE45" s="263"/>
      <c r="DF45" s="263"/>
      <c r="DG45" s="263"/>
      <c r="DH45" s="263"/>
      <c r="DI45" s="263"/>
      <c r="DJ45" s="263"/>
      <c r="DK45" s="263"/>
      <c r="DL45" s="263"/>
      <c r="DM45" s="263"/>
      <c r="DN45" s="263"/>
      <c r="DO45" s="263"/>
      <c r="DP45" s="263"/>
      <c r="DQ45" s="263"/>
      <c r="DR45" s="263"/>
      <c r="DS45" s="263"/>
      <c r="DT45" s="263"/>
      <c r="DU45" s="263"/>
      <c r="DV45" s="263"/>
      <c r="DW45" s="263"/>
      <c r="DX45" s="263"/>
      <c r="DY45" s="263"/>
      <c r="DZ45" s="263"/>
      <c r="EA45" s="263"/>
      <c r="EB45" s="263"/>
      <c r="EC45" s="263"/>
      <c r="ED45" s="263"/>
      <c r="EE45" s="263"/>
      <c r="EF45" s="263"/>
      <c r="EG45" s="263"/>
      <c r="EH45" s="263"/>
      <c r="EI45" s="263"/>
      <c r="EJ45" s="263"/>
      <c r="EK45" s="263"/>
      <c r="EL45" s="263"/>
      <c r="EM45" s="263"/>
      <c r="EN45" s="263"/>
      <c r="EO45" s="263"/>
      <c r="EP45" s="263"/>
      <c r="EQ45" s="263"/>
      <c r="ER45" s="263"/>
      <c r="ES45" s="263"/>
      <c r="ET45" s="263"/>
      <c r="EU45" s="263"/>
      <c r="EV45" s="263"/>
      <c r="EW45" s="263"/>
      <c r="EX45" s="263"/>
      <c r="EY45" s="263"/>
      <c r="EZ45" s="263"/>
      <c r="FA45" s="263"/>
      <c r="FB45" s="263"/>
      <c r="FC45" s="263"/>
      <c r="FD45" s="263"/>
      <c r="FE45" s="263"/>
      <c r="FF45" s="263"/>
      <c r="FG45" s="263"/>
      <c r="FH45" s="263"/>
      <c r="FI45" s="263"/>
      <c r="FJ45" s="263"/>
      <c r="FK45" s="263"/>
      <c r="FL45" s="263"/>
      <c r="FM45" s="263"/>
      <c r="FN45" s="263"/>
      <c r="FO45" s="263"/>
      <c r="FP45" s="263"/>
      <c r="FQ45" s="263"/>
      <c r="FR45" s="263"/>
      <c r="FS45" s="263"/>
      <c r="FT45" s="263"/>
      <c r="FU45" s="263"/>
      <c r="FV45" s="263"/>
      <c r="FW45" s="263"/>
      <c r="FX45" s="263"/>
      <c r="FY45" s="263"/>
      <c r="FZ45" s="263"/>
      <c r="GA45" s="263"/>
      <c r="GB45" s="263"/>
      <c r="GC45" s="263"/>
      <c r="GD45" s="263"/>
      <c r="GE45" s="263"/>
      <c r="GF45" s="263"/>
      <c r="GG45" s="263"/>
      <c r="GH45" s="263"/>
      <c r="GI45" s="263"/>
      <c r="GJ45" s="263"/>
      <c r="GK45" s="263"/>
      <c r="GL45" s="263"/>
      <c r="GM45" s="263"/>
      <c r="GN45" s="263"/>
      <c r="GO45" s="263"/>
      <c r="GP45" s="263"/>
      <c r="GQ45" s="263"/>
      <c r="GR45" s="263"/>
      <c r="GS45" s="263"/>
      <c r="GT45" s="263"/>
      <c r="GU45" s="263"/>
      <c r="GV45" s="263"/>
      <c r="GW45" s="263"/>
      <c r="GX45" s="263"/>
      <c r="GY45" s="263"/>
      <c r="GZ45" s="263"/>
      <c r="HA45" s="263"/>
      <c r="HB45" s="263"/>
      <c r="HC45" s="263"/>
      <c r="HD45" s="263"/>
      <c r="HE45" s="263"/>
      <c r="HF45" s="263"/>
      <c r="HG45" s="263"/>
      <c r="HH45" s="263"/>
      <c r="HI45" s="263"/>
      <c r="HJ45" s="263"/>
      <c r="HK45" s="263"/>
      <c r="HL45" s="263"/>
      <c r="HM45" s="263"/>
      <c r="HN45" s="263"/>
      <c r="HO45" s="263"/>
      <c r="HP45" s="263"/>
      <c r="HQ45" s="263"/>
      <c r="HR45" s="263"/>
      <c r="HS45" s="263"/>
      <c r="HT45" s="263"/>
      <c r="HU45" s="263"/>
      <c r="HV45" s="263"/>
      <c r="HW45" s="263"/>
      <c r="HX45" s="263"/>
      <c r="HY45" s="263"/>
      <c r="HZ45" s="263"/>
      <c r="IA45" s="263"/>
      <c r="IB45" s="263"/>
      <c r="IC45" s="263"/>
      <c r="ID45" s="263"/>
      <c r="IE45" s="263"/>
      <c r="IF45" s="263"/>
      <c r="IG45" s="263"/>
      <c r="IH45" s="263"/>
      <c r="II45" s="263"/>
      <c r="IJ45" s="263"/>
      <c r="IK45" s="263"/>
      <c r="IL45" s="263"/>
      <c r="IM45" s="263"/>
      <c r="IN45" s="263"/>
      <c r="IO45" s="263"/>
      <c r="IP45" s="263"/>
      <c r="IQ45" s="263"/>
      <c r="IR45" s="263"/>
      <c r="IS45" s="263"/>
      <c r="IT45" s="263"/>
      <c r="IU45" s="263"/>
    </row>
    <row r="46" spans="1:255" ht="15.6">
      <c r="A46" s="263" t="s">
        <v>269</v>
      </c>
      <c r="B46" s="263"/>
      <c r="C46" s="275">
        <f ca="1">C45*'ASSUM 1'!$S$43</f>
        <v>17.9725</v>
      </c>
      <c r="D46" s="275">
        <f ca="1">D45*'ASSUM 1'!$S$43</f>
        <v>90.326909399999991</v>
      </c>
      <c r="E46" s="275">
        <f ca="1">E45*'ASSUM 1'!$S$43</f>
        <v>164.6348878538</v>
      </c>
      <c r="F46" s="275">
        <f ca="1">F45*'ASSUM 1'!$S$43</f>
        <v>240.94918172585255</v>
      </c>
      <c r="G46" s="275">
        <f ca="1">G45*'ASSUM 1'!$S$43</f>
        <v>319.32396153245054</v>
      </c>
      <c r="H46" s="275">
        <f ca="1">H45*'ASSUM 1'!$S$43</f>
        <v>399.81486039382662</v>
      </c>
      <c r="I46" s="275">
        <f ca="1">I45*'ASSUM 1'!$S$43</f>
        <v>482.4790135244599</v>
      </c>
      <c r="J46" s="275">
        <f ca="1">J45*'ASSUM 1'!$S$43</f>
        <v>567.37509878962021</v>
      </c>
      <c r="K46" s="275">
        <f ca="1">K45*'ASSUM 1'!$S$43</f>
        <v>654.56337835693989</v>
      </c>
      <c r="L46" s="275">
        <f ca="1">L45*'ASSUM 1'!$S$43</f>
        <v>744.10574147257717</v>
      </c>
      <c r="M46" s="275">
        <f ca="1">M45*'ASSUM 1'!$S$43</f>
        <v>836.06574839233656</v>
      </c>
      <c r="N46" s="275">
        <f ca="1">N45*'ASSUM 1'!$S$43</f>
        <v>930.50867549892962</v>
      </c>
      <c r="O46" s="275">
        <f ca="1">O45*'ASSUM 1'!$S$43</f>
        <v>0</v>
      </c>
      <c r="P46" s="275">
        <f ca="1">P45*'ASSUM 1'!$S$43</f>
        <v>99.611694064209701</v>
      </c>
      <c r="Q46" s="275">
        <f ca="1">Q45*'ASSUM 1'!$S$43</f>
        <v>201.91290386815305</v>
      </c>
      <c r="R46" s="275">
        <f ca="1">R45*'ASSUM 1'!$S$43</f>
        <v>306.97624633680289</v>
      </c>
      <c r="S46" s="275">
        <f ca="1">S45*'ASSUM 1'!$S$43</f>
        <v>414.87629905210616</v>
      </c>
      <c r="T46" s="275">
        <f ca="1">T45*'ASSUM 1'!$S$43</f>
        <v>525.68965319072265</v>
      </c>
      <c r="U46" s="275">
        <f ca="1">U45*'ASSUM 1'!$S$43</f>
        <v>639.49496789108184</v>
      </c>
      <c r="V46" s="275">
        <f ca="1">V45*'ASSUM 1'!$S$43</f>
        <v>756.37302608835068</v>
      </c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  <c r="BJ46" s="263"/>
      <c r="BK46" s="263"/>
      <c r="BL46" s="263"/>
      <c r="BM46" s="263"/>
      <c r="BN46" s="263"/>
      <c r="BO46" s="263"/>
      <c r="BP46" s="263"/>
      <c r="BQ46" s="263"/>
      <c r="BR46" s="263"/>
      <c r="BS46" s="263"/>
      <c r="BT46" s="263"/>
      <c r="BU46" s="263"/>
      <c r="BV46" s="263"/>
      <c r="BW46" s="263"/>
      <c r="BX46" s="263"/>
      <c r="BY46" s="263"/>
      <c r="BZ46" s="263"/>
      <c r="CA46" s="263"/>
      <c r="CB46" s="263"/>
      <c r="CC46" s="263"/>
      <c r="CD46" s="263"/>
      <c r="CE46" s="263"/>
      <c r="CF46" s="263"/>
      <c r="CG46" s="263"/>
      <c r="CH46" s="263"/>
      <c r="CI46" s="263"/>
      <c r="CJ46" s="263"/>
      <c r="CK46" s="263"/>
      <c r="CL46" s="263"/>
      <c r="CM46" s="263"/>
      <c r="CN46" s="263"/>
      <c r="CO46" s="263"/>
      <c r="CP46" s="263"/>
      <c r="CQ46" s="263"/>
      <c r="CR46" s="263"/>
      <c r="CS46" s="263"/>
      <c r="CT46" s="263"/>
      <c r="CU46" s="263"/>
      <c r="CV46" s="263"/>
      <c r="CW46" s="263"/>
      <c r="CX46" s="263"/>
      <c r="CY46" s="263"/>
      <c r="CZ46" s="263"/>
      <c r="DA46" s="263"/>
      <c r="DB46" s="263"/>
      <c r="DC46" s="263"/>
      <c r="DD46" s="263"/>
      <c r="DE46" s="263"/>
      <c r="DF46" s="263"/>
      <c r="DG46" s="263"/>
      <c r="DH46" s="263"/>
      <c r="DI46" s="263"/>
      <c r="DJ46" s="263"/>
      <c r="DK46" s="263"/>
      <c r="DL46" s="263"/>
      <c r="DM46" s="263"/>
      <c r="DN46" s="263"/>
      <c r="DO46" s="263"/>
      <c r="DP46" s="263"/>
      <c r="DQ46" s="263"/>
      <c r="DR46" s="263"/>
      <c r="DS46" s="263"/>
      <c r="DT46" s="263"/>
      <c r="DU46" s="263"/>
      <c r="DV46" s="263"/>
      <c r="DW46" s="263"/>
      <c r="DX46" s="263"/>
      <c r="DY46" s="263"/>
      <c r="DZ46" s="263"/>
      <c r="EA46" s="263"/>
      <c r="EB46" s="263"/>
      <c r="EC46" s="263"/>
      <c r="ED46" s="263"/>
      <c r="EE46" s="263"/>
      <c r="EF46" s="263"/>
      <c r="EG46" s="263"/>
      <c r="EH46" s="263"/>
      <c r="EI46" s="263"/>
      <c r="EJ46" s="263"/>
      <c r="EK46" s="263"/>
      <c r="EL46" s="263"/>
      <c r="EM46" s="263"/>
      <c r="EN46" s="263"/>
      <c r="EO46" s="263"/>
      <c r="EP46" s="263"/>
      <c r="EQ46" s="263"/>
      <c r="ER46" s="263"/>
      <c r="ES46" s="263"/>
      <c r="ET46" s="263"/>
      <c r="EU46" s="263"/>
      <c r="EV46" s="263"/>
      <c r="EW46" s="263"/>
      <c r="EX46" s="263"/>
      <c r="EY46" s="263"/>
      <c r="EZ46" s="263"/>
      <c r="FA46" s="263"/>
      <c r="FB46" s="263"/>
      <c r="FC46" s="263"/>
      <c r="FD46" s="263"/>
      <c r="FE46" s="263"/>
      <c r="FF46" s="263"/>
      <c r="FG46" s="263"/>
      <c r="FH46" s="263"/>
      <c r="FI46" s="263"/>
      <c r="FJ46" s="263"/>
      <c r="FK46" s="263"/>
      <c r="FL46" s="263"/>
      <c r="FM46" s="263"/>
      <c r="FN46" s="263"/>
      <c r="FO46" s="263"/>
      <c r="FP46" s="263"/>
      <c r="FQ46" s="263"/>
      <c r="FR46" s="263"/>
      <c r="FS46" s="263"/>
      <c r="FT46" s="263"/>
      <c r="FU46" s="263"/>
      <c r="FV46" s="263"/>
      <c r="FW46" s="263"/>
      <c r="FX46" s="263"/>
      <c r="FY46" s="263"/>
      <c r="FZ46" s="263"/>
      <c r="GA46" s="263"/>
      <c r="GB46" s="263"/>
      <c r="GC46" s="263"/>
      <c r="GD46" s="263"/>
      <c r="GE46" s="263"/>
      <c r="GF46" s="263"/>
      <c r="GG46" s="263"/>
      <c r="GH46" s="263"/>
      <c r="GI46" s="263"/>
      <c r="GJ46" s="263"/>
      <c r="GK46" s="263"/>
      <c r="GL46" s="263"/>
      <c r="GM46" s="263"/>
      <c r="GN46" s="263"/>
      <c r="GO46" s="263"/>
      <c r="GP46" s="263"/>
      <c r="GQ46" s="263"/>
      <c r="GR46" s="263"/>
      <c r="GS46" s="263"/>
      <c r="GT46" s="263"/>
      <c r="GU46" s="263"/>
      <c r="GV46" s="263"/>
      <c r="GW46" s="263"/>
      <c r="GX46" s="263"/>
      <c r="GY46" s="263"/>
      <c r="GZ46" s="263"/>
      <c r="HA46" s="263"/>
      <c r="HB46" s="263"/>
      <c r="HC46" s="263"/>
      <c r="HD46" s="263"/>
      <c r="HE46" s="263"/>
      <c r="HF46" s="263"/>
      <c r="HG46" s="263"/>
      <c r="HH46" s="263"/>
      <c r="HI46" s="263"/>
      <c r="HJ46" s="263"/>
      <c r="HK46" s="263"/>
      <c r="HL46" s="263"/>
      <c r="HM46" s="263"/>
      <c r="HN46" s="263"/>
      <c r="HO46" s="263"/>
      <c r="HP46" s="263"/>
      <c r="HQ46" s="263"/>
      <c r="HR46" s="263"/>
      <c r="HS46" s="263"/>
      <c r="HT46" s="263"/>
      <c r="HU46" s="263"/>
      <c r="HV46" s="263"/>
      <c r="HW46" s="263"/>
      <c r="HX46" s="263"/>
      <c r="HY46" s="263"/>
      <c r="HZ46" s="263"/>
      <c r="IA46" s="263"/>
      <c r="IB46" s="263"/>
      <c r="IC46" s="263"/>
      <c r="ID46" s="263"/>
      <c r="IE46" s="263"/>
      <c r="IF46" s="263"/>
      <c r="IG46" s="263"/>
      <c r="IH46" s="263"/>
      <c r="II46" s="263"/>
      <c r="IJ46" s="263"/>
      <c r="IK46" s="263"/>
      <c r="IL46" s="263"/>
      <c r="IM46" s="263"/>
      <c r="IN46" s="263"/>
      <c r="IO46" s="263"/>
      <c r="IP46" s="263"/>
      <c r="IQ46" s="263"/>
      <c r="IR46" s="263"/>
      <c r="IS46" s="263"/>
      <c r="IT46" s="263"/>
      <c r="IU46" s="263"/>
    </row>
    <row r="47" spans="1:255" ht="15.6">
      <c r="A47" s="263"/>
      <c r="B47" s="263"/>
      <c r="C47" s="275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5"/>
      <c r="R47" s="275"/>
      <c r="S47" s="275"/>
      <c r="T47" s="275"/>
      <c r="U47" s="275"/>
      <c r="V47" s="275"/>
      <c r="W47" s="263"/>
      <c r="X47" s="263"/>
      <c r="Y47" s="263"/>
      <c r="Z47" s="263"/>
      <c r="AA47" s="263"/>
      <c r="AB47" s="263"/>
      <c r="AC47" s="263"/>
      <c r="AD47" s="263"/>
      <c r="AE47" s="263"/>
      <c r="AF47" s="263"/>
      <c r="AG47" s="263"/>
      <c r="AH47" s="263"/>
      <c r="AI47" s="263"/>
      <c r="AJ47" s="263"/>
      <c r="AK47" s="263"/>
      <c r="AL47" s="263"/>
      <c r="AM47" s="263"/>
      <c r="AN47" s="263"/>
      <c r="AO47" s="263"/>
      <c r="AP47" s="263"/>
      <c r="AQ47" s="263"/>
      <c r="AR47" s="263"/>
      <c r="AS47" s="263"/>
      <c r="AT47" s="263"/>
      <c r="AU47" s="263"/>
      <c r="AV47" s="263"/>
      <c r="AW47" s="263"/>
      <c r="AX47" s="263"/>
      <c r="AY47" s="263"/>
      <c r="AZ47" s="263"/>
      <c r="BA47" s="263"/>
      <c r="BB47" s="263"/>
      <c r="BC47" s="263"/>
      <c r="BD47" s="263"/>
      <c r="BE47" s="263"/>
      <c r="BF47" s="263"/>
      <c r="BG47" s="263"/>
      <c r="BH47" s="263"/>
      <c r="BI47" s="263"/>
      <c r="BJ47" s="263"/>
      <c r="BK47" s="263"/>
      <c r="BL47" s="263"/>
      <c r="BM47" s="263"/>
      <c r="BN47" s="263"/>
      <c r="BO47" s="263"/>
      <c r="BP47" s="263"/>
      <c r="BQ47" s="263"/>
      <c r="BR47" s="263"/>
      <c r="BS47" s="263"/>
      <c r="BT47" s="263"/>
      <c r="BU47" s="263"/>
      <c r="BV47" s="263"/>
      <c r="BW47" s="263"/>
      <c r="BX47" s="263"/>
      <c r="BY47" s="263"/>
      <c r="BZ47" s="263"/>
      <c r="CA47" s="263"/>
      <c r="CB47" s="263"/>
      <c r="CC47" s="263"/>
      <c r="CD47" s="263"/>
      <c r="CE47" s="263"/>
      <c r="CF47" s="263"/>
      <c r="CG47" s="263"/>
      <c r="CH47" s="263"/>
      <c r="CI47" s="263"/>
      <c r="CJ47" s="263"/>
      <c r="CK47" s="263"/>
      <c r="CL47" s="263"/>
      <c r="CM47" s="263"/>
      <c r="CN47" s="263"/>
      <c r="CO47" s="263"/>
      <c r="CP47" s="263"/>
      <c r="CQ47" s="263"/>
      <c r="CR47" s="263"/>
      <c r="CS47" s="263"/>
      <c r="CT47" s="263"/>
      <c r="CU47" s="263"/>
      <c r="CV47" s="263"/>
      <c r="CW47" s="263"/>
      <c r="CX47" s="263"/>
      <c r="CY47" s="263"/>
      <c r="CZ47" s="263"/>
      <c r="DA47" s="263"/>
      <c r="DB47" s="263"/>
      <c r="DC47" s="263"/>
      <c r="DD47" s="263"/>
      <c r="DE47" s="263"/>
      <c r="DF47" s="263"/>
      <c r="DG47" s="263"/>
      <c r="DH47" s="263"/>
      <c r="DI47" s="263"/>
      <c r="DJ47" s="263"/>
      <c r="DK47" s="263"/>
      <c r="DL47" s="263"/>
      <c r="DM47" s="263"/>
      <c r="DN47" s="263"/>
      <c r="DO47" s="263"/>
      <c r="DP47" s="263"/>
      <c r="DQ47" s="263"/>
      <c r="DR47" s="263"/>
      <c r="DS47" s="263"/>
      <c r="DT47" s="263"/>
      <c r="DU47" s="263"/>
      <c r="DV47" s="263"/>
      <c r="DW47" s="263"/>
      <c r="DX47" s="263"/>
      <c r="DY47" s="263"/>
      <c r="DZ47" s="263"/>
      <c r="EA47" s="263"/>
      <c r="EB47" s="263"/>
      <c r="EC47" s="263"/>
      <c r="ED47" s="263"/>
      <c r="EE47" s="263"/>
      <c r="EF47" s="263"/>
      <c r="EG47" s="263"/>
      <c r="EH47" s="263"/>
      <c r="EI47" s="263"/>
      <c r="EJ47" s="263"/>
      <c r="EK47" s="263"/>
      <c r="EL47" s="263"/>
      <c r="EM47" s="263"/>
      <c r="EN47" s="263"/>
      <c r="EO47" s="263"/>
      <c r="EP47" s="263"/>
      <c r="EQ47" s="263"/>
      <c r="ER47" s="263"/>
      <c r="ES47" s="263"/>
      <c r="ET47" s="263"/>
      <c r="EU47" s="263"/>
      <c r="EV47" s="263"/>
      <c r="EW47" s="263"/>
      <c r="EX47" s="263"/>
      <c r="EY47" s="263"/>
      <c r="EZ47" s="263"/>
      <c r="FA47" s="263"/>
      <c r="FB47" s="263"/>
      <c r="FC47" s="263"/>
      <c r="FD47" s="263"/>
      <c r="FE47" s="263"/>
      <c r="FF47" s="263"/>
      <c r="FG47" s="263"/>
      <c r="FH47" s="263"/>
      <c r="FI47" s="263"/>
      <c r="FJ47" s="263"/>
      <c r="FK47" s="263"/>
      <c r="FL47" s="263"/>
      <c r="FM47" s="263"/>
      <c r="FN47" s="263"/>
      <c r="FO47" s="263"/>
      <c r="FP47" s="263"/>
      <c r="FQ47" s="263"/>
      <c r="FR47" s="263"/>
      <c r="FS47" s="263"/>
      <c r="FT47" s="263"/>
      <c r="FU47" s="263"/>
      <c r="FV47" s="263"/>
      <c r="FW47" s="263"/>
      <c r="FX47" s="263"/>
      <c r="FY47" s="263"/>
      <c r="FZ47" s="263"/>
      <c r="GA47" s="263"/>
      <c r="GB47" s="263"/>
      <c r="GC47" s="263"/>
      <c r="GD47" s="263"/>
      <c r="GE47" s="263"/>
      <c r="GF47" s="263"/>
      <c r="GG47" s="263"/>
      <c r="GH47" s="263"/>
      <c r="GI47" s="263"/>
      <c r="GJ47" s="263"/>
      <c r="GK47" s="263"/>
      <c r="GL47" s="263"/>
      <c r="GM47" s="263"/>
      <c r="GN47" s="263"/>
      <c r="GO47" s="263"/>
      <c r="GP47" s="263"/>
      <c r="GQ47" s="263"/>
      <c r="GR47" s="263"/>
      <c r="GS47" s="263"/>
      <c r="GT47" s="263"/>
      <c r="GU47" s="263"/>
      <c r="GV47" s="263"/>
      <c r="GW47" s="263"/>
      <c r="GX47" s="263"/>
      <c r="GY47" s="263"/>
      <c r="GZ47" s="263"/>
      <c r="HA47" s="263"/>
      <c r="HB47" s="263"/>
      <c r="HC47" s="263"/>
      <c r="HD47" s="263"/>
      <c r="HE47" s="263"/>
      <c r="HF47" s="263"/>
      <c r="HG47" s="263"/>
      <c r="HH47" s="263"/>
      <c r="HI47" s="263"/>
      <c r="HJ47" s="263"/>
      <c r="HK47" s="263"/>
      <c r="HL47" s="263"/>
      <c r="HM47" s="263"/>
      <c r="HN47" s="263"/>
      <c r="HO47" s="263"/>
      <c r="HP47" s="263"/>
      <c r="HQ47" s="263"/>
      <c r="HR47" s="263"/>
      <c r="HS47" s="263"/>
      <c r="HT47" s="263"/>
      <c r="HU47" s="263"/>
      <c r="HV47" s="263"/>
      <c r="HW47" s="263"/>
      <c r="HX47" s="263"/>
      <c r="HY47" s="263"/>
      <c r="HZ47" s="263"/>
      <c r="IA47" s="263"/>
      <c r="IB47" s="263"/>
      <c r="IC47" s="263"/>
      <c r="ID47" s="263"/>
      <c r="IE47" s="263"/>
      <c r="IF47" s="263"/>
      <c r="IG47" s="263"/>
      <c r="IH47" s="263"/>
      <c r="II47" s="263"/>
      <c r="IJ47" s="263"/>
      <c r="IK47" s="263"/>
      <c r="IL47" s="263"/>
      <c r="IM47" s="263"/>
      <c r="IN47" s="263"/>
      <c r="IO47" s="263"/>
      <c r="IP47" s="263"/>
      <c r="IQ47" s="263"/>
      <c r="IR47" s="263"/>
      <c r="IS47" s="263"/>
      <c r="IT47" s="263"/>
      <c r="IU47" s="263"/>
    </row>
    <row r="48" spans="1:255" ht="15.6">
      <c r="A48" s="263" t="s">
        <v>270</v>
      </c>
      <c r="B48" s="263"/>
      <c r="C48" s="275">
        <f ca="1">SUM($C$16:C16)</f>
        <v>325.62555295992695</v>
      </c>
      <c r="D48" s="275">
        <f ca="1">SUM($C$16:D16)</f>
        <v>883.84078660551597</v>
      </c>
      <c r="E48" s="275">
        <f ca="1">SUM($C$16:E16)</f>
        <v>1442.0560202511051</v>
      </c>
      <c r="F48" s="275">
        <f ca="1">SUM($C$16:F16)</f>
        <v>2000.2712538966941</v>
      </c>
      <c r="G48" s="275">
        <f ca="1">SUM($C$16:G16)</f>
        <v>2558.4864875422832</v>
      </c>
      <c r="H48" s="275">
        <f ca="1">SUM($C$16:H16)</f>
        <v>3116.701721187872</v>
      </c>
      <c r="I48" s="275">
        <f ca="1">SUM($C$16:I16)</f>
        <v>3674.9169548334612</v>
      </c>
      <c r="J48" s="275">
        <f ca="1">SUM($C$16:J16)</f>
        <v>4233.1321884790505</v>
      </c>
      <c r="K48" s="275">
        <f ca="1">SUM($C$16:K16)</f>
        <v>4791.3474221246397</v>
      </c>
      <c r="L48" s="275">
        <f ca="1">SUM($C$16:L16)</f>
        <v>5349.562655770229</v>
      </c>
      <c r="M48" s="275">
        <f ca="1">SUM($C$16:M16)</f>
        <v>5907.7778894158182</v>
      </c>
      <c r="N48" s="275">
        <f ca="1">SUM($C$16:N16)</f>
        <v>6465.9931230614075</v>
      </c>
      <c r="O48" s="275">
        <f ca="1">SUM($C$16:O16)</f>
        <v>7024.2083567069967</v>
      </c>
      <c r="P48" s="275">
        <f ca="1">SUM($C$16:P16)</f>
        <v>7582.423590352586</v>
      </c>
      <c r="Q48" s="275">
        <f ca="1">SUM($C$16:Q16)</f>
        <v>8140.6388239981752</v>
      </c>
      <c r="R48" s="275">
        <f ca="1">SUM($C$16:R16)</f>
        <v>8698.8540576437645</v>
      </c>
      <c r="S48" s="275">
        <f ca="1">SUM($C$16:S16)</f>
        <v>9257.0692912893537</v>
      </c>
      <c r="T48" s="275">
        <f ca="1">SUM($C$16:T16)</f>
        <v>9815.284524934943</v>
      </c>
      <c r="U48" s="275">
        <f ca="1">SUM($C$16:U16)</f>
        <v>10373.499758580532</v>
      </c>
      <c r="V48" s="275">
        <f ca="1">SUM($C$16:V16)</f>
        <v>10931.714992226121</v>
      </c>
      <c r="W48" s="263"/>
      <c r="X48" s="263"/>
      <c r="Y48" s="263"/>
      <c r="Z48" s="263"/>
      <c r="AA48" s="263"/>
      <c r="AB48" s="263"/>
      <c r="AC48" s="263"/>
      <c r="AD48" s="263"/>
      <c r="AE48" s="263"/>
      <c r="AF48" s="263"/>
      <c r="AG48" s="263"/>
      <c r="AH48" s="263"/>
      <c r="AI48" s="263"/>
      <c r="AJ48" s="263"/>
      <c r="AK48" s="263"/>
      <c r="AL48" s="263"/>
      <c r="AM48" s="263"/>
      <c r="AN48" s="263"/>
      <c r="AO48" s="263"/>
      <c r="AP48" s="263"/>
      <c r="AQ48" s="263"/>
      <c r="AR48" s="263"/>
      <c r="AS48" s="263"/>
      <c r="AT48" s="263"/>
      <c r="AU48" s="263"/>
      <c r="AV48" s="263"/>
      <c r="AW48" s="263"/>
      <c r="AX48" s="263"/>
      <c r="AY48" s="263"/>
      <c r="AZ48" s="263"/>
      <c r="BA48" s="263"/>
      <c r="BB48" s="263"/>
      <c r="BC48" s="263"/>
      <c r="BD48" s="263"/>
      <c r="BE48" s="263"/>
      <c r="BF48" s="263"/>
      <c r="BG48" s="263"/>
      <c r="BH48" s="263"/>
      <c r="BI48" s="263"/>
      <c r="BJ48" s="263"/>
      <c r="BK48" s="263"/>
      <c r="BL48" s="263"/>
      <c r="BM48" s="263"/>
      <c r="BN48" s="263"/>
      <c r="BO48" s="263"/>
      <c r="BP48" s="263"/>
      <c r="BQ48" s="263"/>
      <c r="BR48" s="263"/>
      <c r="BS48" s="263"/>
      <c r="BT48" s="263"/>
      <c r="BU48" s="263"/>
      <c r="BV48" s="263"/>
      <c r="BW48" s="263"/>
      <c r="BX48" s="263"/>
      <c r="BY48" s="263"/>
      <c r="BZ48" s="263"/>
      <c r="CA48" s="263"/>
      <c r="CB48" s="263"/>
      <c r="CC48" s="263"/>
      <c r="CD48" s="263"/>
      <c r="CE48" s="263"/>
      <c r="CF48" s="263"/>
      <c r="CG48" s="263"/>
      <c r="CH48" s="263"/>
      <c r="CI48" s="263"/>
      <c r="CJ48" s="263"/>
      <c r="CK48" s="263"/>
      <c r="CL48" s="263"/>
      <c r="CM48" s="263"/>
      <c r="CN48" s="263"/>
      <c r="CO48" s="263"/>
      <c r="CP48" s="263"/>
      <c r="CQ48" s="263"/>
      <c r="CR48" s="263"/>
      <c r="CS48" s="263"/>
      <c r="CT48" s="263"/>
      <c r="CU48" s="263"/>
      <c r="CV48" s="263"/>
      <c r="CW48" s="263"/>
      <c r="CX48" s="263"/>
      <c r="CY48" s="263"/>
      <c r="CZ48" s="263"/>
      <c r="DA48" s="263"/>
      <c r="DB48" s="263"/>
      <c r="DC48" s="263"/>
      <c r="DD48" s="263"/>
      <c r="DE48" s="263"/>
      <c r="DF48" s="263"/>
      <c r="DG48" s="263"/>
      <c r="DH48" s="263"/>
      <c r="DI48" s="263"/>
      <c r="DJ48" s="263"/>
      <c r="DK48" s="263"/>
      <c r="DL48" s="263"/>
      <c r="DM48" s="263"/>
      <c r="DN48" s="263"/>
      <c r="DO48" s="263"/>
      <c r="DP48" s="263"/>
      <c r="DQ48" s="263"/>
      <c r="DR48" s="263"/>
      <c r="DS48" s="263"/>
      <c r="DT48" s="263"/>
      <c r="DU48" s="263"/>
      <c r="DV48" s="263"/>
      <c r="DW48" s="263"/>
      <c r="DX48" s="263"/>
      <c r="DY48" s="263"/>
      <c r="DZ48" s="263"/>
      <c r="EA48" s="263"/>
      <c r="EB48" s="263"/>
      <c r="EC48" s="263"/>
      <c r="ED48" s="263"/>
      <c r="EE48" s="263"/>
      <c r="EF48" s="263"/>
      <c r="EG48" s="263"/>
      <c r="EH48" s="263"/>
      <c r="EI48" s="263"/>
      <c r="EJ48" s="263"/>
      <c r="EK48" s="263"/>
      <c r="EL48" s="263"/>
      <c r="EM48" s="263"/>
      <c r="EN48" s="263"/>
      <c r="EO48" s="263"/>
      <c r="EP48" s="263"/>
      <c r="EQ48" s="263"/>
      <c r="ER48" s="263"/>
      <c r="ES48" s="263"/>
      <c r="ET48" s="263"/>
      <c r="EU48" s="263"/>
      <c r="EV48" s="263"/>
      <c r="EW48" s="263"/>
      <c r="EX48" s="263"/>
      <c r="EY48" s="263"/>
      <c r="EZ48" s="263"/>
      <c r="FA48" s="263"/>
      <c r="FB48" s="263"/>
      <c r="FC48" s="263"/>
      <c r="FD48" s="263"/>
      <c r="FE48" s="263"/>
      <c r="FF48" s="263"/>
      <c r="FG48" s="263"/>
      <c r="FH48" s="263"/>
      <c r="FI48" s="263"/>
      <c r="FJ48" s="263"/>
      <c r="FK48" s="263"/>
      <c r="FL48" s="263"/>
      <c r="FM48" s="263"/>
      <c r="FN48" s="263"/>
      <c r="FO48" s="263"/>
      <c r="FP48" s="263"/>
      <c r="FQ48" s="263"/>
      <c r="FR48" s="263"/>
      <c r="FS48" s="263"/>
      <c r="FT48" s="263"/>
      <c r="FU48" s="263"/>
      <c r="FV48" s="263"/>
      <c r="FW48" s="263"/>
      <c r="FX48" s="263"/>
      <c r="FY48" s="263"/>
      <c r="FZ48" s="263"/>
      <c r="GA48" s="263"/>
      <c r="GB48" s="263"/>
      <c r="GC48" s="263"/>
      <c r="GD48" s="263"/>
      <c r="GE48" s="263"/>
      <c r="GF48" s="263"/>
      <c r="GG48" s="263"/>
      <c r="GH48" s="263"/>
      <c r="GI48" s="263"/>
      <c r="GJ48" s="263"/>
      <c r="GK48" s="263"/>
      <c r="GL48" s="263"/>
      <c r="GM48" s="263"/>
      <c r="GN48" s="263"/>
      <c r="GO48" s="263"/>
      <c r="GP48" s="263"/>
      <c r="GQ48" s="263"/>
      <c r="GR48" s="263"/>
      <c r="GS48" s="263"/>
      <c r="GT48" s="263"/>
      <c r="GU48" s="263"/>
      <c r="GV48" s="263"/>
      <c r="GW48" s="263"/>
      <c r="GX48" s="263"/>
      <c r="GY48" s="263"/>
      <c r="GZ48" s="263"/>
      <c r="HA48" s="263"/>
      <c r="HB48" s="263"/>
      <c r="HC48" s="263"/>
      <c r="HD48" s="263"/>
      <c r="HE48" s="263"/>
      <c r="HF48" s="263"/>
      <c r="HG48" s="263"/>
      <c r="HH48" s="263"/>
      <c r="HI48" s="263"/>
      <c r="HJ48" s="263"/>
      <c r="HK48" s="263"/>
      <c r="HL48" s="263"/>
      <c r="HM48" s="263"/>
      <c r="HN48" s="263"/>
      <c r="HO48" s="263"/>
      <c r="HP48" s="263"/>
      <c r="HQ48" s="263"/>
      <c r="HR48" s="263"/>
      <c r="HS48" s="263"/>
      <c r="HT48" s="263"/>
      <c r="HU48" s="263"/>
      <c r="HV48" s="263"/>
      <c r="HW48" s="263"/>
      <c r="HX48" s="263"/>
      <c r="HY48" s="263"/>
      <c r="HZ48" s="263"/>
      <c r="IA48" s="263"/>
      <c r="IB48" s="263"/>
      <c r="IC48" s="263"/>
      <c r="ID48" s="263"/>
      <c r="IE48" s="263"/>
      <c r="IF48" s="263"/>
      <c r="IG48" s="263"/>
      <c r="IH48" s="263"/>
      <c r="II48" s="263"/>
      <c r="IJ48" s="263"/>
      <c r="IK48" s="263"/>
      <c r="IL48" s="263"/>
      <c r="IM48" s="263"/>
      <c r="IN48" s="263"/>
      <c r="IO48" s="263"/>
      <c r="IP48" s="263"/>
      <c r="IQ48" s="263"/>
      <c r="IR48" s="263"/>
      <c r="IS48" s="263"/>
      <c r="IT48" s="263"/>
      <c r="IU48" s="263"/>
    </row>
    <row r="49" spans="1:255" ht="15.6">
      <c r="A49" s="263"/>
      <c r="B49" s="263"/>
      <c r="C49" s="263"/>
      <c r="D49" s="263"/>
      <c r="E49" s="263"/>
      <c r="F49" s="263"/>
      <c r="G49" s="263"/>
      <c r="H49" s="263"/>
      <c r="I49" s="263"/>
      <c r="J49" s="263"/>
      <c r="K49" s="263"/>
      <c r="L49" s="263"/>
      <c r="M49" s="263"/>
      <c r="N49" s="263"/>
      <c r="O49" s="263"/>
      <c r="P49" s="263"/>
      <c r="Q49" s="263"/>
      <c r="R49" s="263"/>
      <c r="S49" s="263"/>
      <c r="T49" s="263"/>
      <c r="U49" s="263"/>
      <c r="V49" s="263"/>
      <c r="W49" s="263"/>
      <c r="X49" s="263"/>
      <c r="Y49" s="263"/>
      <c r="Z49" s="263"/>
      <c r="AA49" s="263"/>
      <c r="AB49" s="263"/>
      <c r="AC49" s="263"/>
      <c r="AD49" s="263"/>
      <c r="AE49" s="263"/>
      <c r="AF49" s="263"/>
      <c r="AG49" s="263"/>
      <c r="AH49" s="263"/>
      <c r="AI49" s="263"/>
      <c r="AJ49" s="263"/>
      <c r="AK49" s="263"/>
      <c r="AL49" s="263"/>
      <c r="AM49" s="263"/>
      <c r="AN49" s="263"/>
      <c r="AO49" s="263"/>
      <c r="AP49" s="263"/>
      <c r="AQ49" s="263"/>
      <c r="AR49" s="263"/>
      <c r="AS49" s="263"/>
      <c r="AT49" s="263"/>
      <c r="AU49" s="263"/>
      <c r="AV49" s="263"/>
      <c r="AW49" s="263"/>
      <c r="AX49" s="263"/>
      <c r="AY49" s="263"/>
      <c r="AZ49" s="263"/>
      <c r="BA49" s="263"/>
      <c r="BB49" s="263"/>
      <c r="BC49" s="263"/>
      <c r="BD49" s="263"/>
      <c r="BE49" s="263"/>
      <c r="BF49" s="263"/>
      <c r="BG49" s="263"/>
      <c r="BH49" s="263"/>
      <c r="BI49" s="263"/>
      <c r="BJ49" s="263"/>
      <c r="BK49" s="263"/>
      <c r="BL49" s="263"/>
      <c r="BM49" s="263"/>
      <c r="BN49" s="263"/>
      <c r="BO49" s="263"/>
      <c r="BP49" s="263"/>
      <c r="BQ49" s="263"/>
      <c r="BR49" s="263"/>
      <c r="BS49" s="263"/>
      <c r="BT49" s="263"/>
      <c r="BU49" s="263"/>
      <c r="BV49" s="263"/>
      <c r="BW49" s="263"/>
      <c r="BX49" s="263"/>
      <c r="BY49" s="263"/>
      <c r="BZ49" s="263"/>
      <c r="CA49" s="263"/>
      <c r="CB49" s="263"/>
      <c r="CC49" s="263"/>
      <c r="CD49" s="263"/>
      <c r="CE49" s="263"/>
      <c r="CF49" s="263"/>
      <c r="CG49" s="263"/>
      <c r="CH49" s="263"/>
      <c r="CI49" s="263"/>
      <c r="CJ49" s="263"/>
      <c r="CK49" s="263"/>
      <c r="CL49" s="263"/>
      <c r="CM49" s="263"/>
      <c r="CN49" s="263"/>
      <c r="CO49" s="263"/>
      <c r="CP49" s="263"/>
      <c r="CQ49" s="263"/>
      <c r="CR49" s="263"/>
      <c r="CS49" s="263"/>
      <c r="CT49" s="263"/>
      <c r="CU49" s="263"/>
      <c r="CV49" s="263"/>
      <c r="CW49" s="263"/>
      <c r="CX49" s="263"/>
      <c r="CY49" s="263"/>
      <c r="CZ49" s="263"/>
      <c r="DA49" s="263"/>
      <c r="DB49" s="263"/>
      <c r="DC49" s="263"/>
      <c r="DD49" s="263"/>
      <c r="DE49" s="263"/>
      <c r="DF49" s="263"/>
      <c r="DG49" s="263"/>
      <c r="DH49" s="263"/>
      <c r="DI49" s="263"/>
      <c r="DJ49" s="263"/>
      <c r="DK49" s="263"/>
      <c r="DL49" s="263"/>
      <c r="DM49" s="263"/>
      <c r="DN49" s="263"/>
      <c r="DO49" s="263"/>
      <c r="DP49" s="263"/>
      <c r="DQ49" s="263"/>
      <c r="DR49" s="263"/>
      <c r="DS49" s="263"/>
      <c r="DT49" s="263"/>
      <c r="DU49" s="263"/>
      <c r="DV49" s="263"/>
      <c r="DW49" s="263"/>
      <c r="DX49" s="263"/>
      <c r="DY49" s="263"/>
      <c r="DZ49" s="263"/>
      <c r="EA49" s="263"/>
      <c r="EB49" s="263"/>
      <c r="EC49" s="263"/>
      <c r="ED49" s="263"/>
      <c r="EE49" s="263"/>
      <c r="EF49" s="263"/>
      <c r="EG49" s="263"/>
      <c r="EH49" s="263"/>
      <c r="EI49" s="263"/>
      <c r="EJ49" s="263"/>
      <c r="EK49" s="263"/>
      <c r="EL49" s="263"/>
      <c r="EM49" s="263"/>
      <c r="EN49" s="263"/>
      <c r="EO49" s="263"/>
      <c r="EP49" s="263"/>
      <c r="EQ49" s="263"/>
      <c r="ER49" s="263"/>
      <c r="ES49" s="263"/>
      <c r="ET49" s="263"/>
      <c r="EU49" s="263"/>
      <c r="EV49" s="263"/>
      <c r="EW49" s="263"/>
      <c r="EX49" s="263"/>
      <c r="EY49" s="263"/>
      <c r="EZ49" s="263"/>
      <c r="FA49" s="263"/>
      <c r="FB49" s="263"/>
      <c r="FC49" s="263"/>
      <c r="FD49" s="263"/>
      <c r="FE49" s="263"/>
      <c r="FF49" s="263"/>
      <c r="FG49" s="263"/>
      <c r="FH49" s="263"/>
      <c r="FI49" s="263"/>
      <c r="FJ49" s="263"/>
      <c r="FK49" s="263"/>
      <c r="FL49" s="263"/>
      <c r="FM49" s="263"/>
      <c r="FN49" s="263"/>
      <c r="FO49" s="263"/>
      <c r="FP49" s="263"/>
      <c r="FQ49" s="263"/>
      <c r="FR49" s="263"/>
      <c r="FS49" s="263"/>
      <c r="FT49" s="263"/>
      <c r="FU49" s="263"/>
      <c r="FV49" s="263"/>
      <c r="FW49" s="263"/>
      <c r="FX49" s="263"/>
      <c r="FY49" s="263"/>
      <c r="FZ49" s="263"/>
      <c r="GA49" s="263"/>
      <c r="GB49" s="263"/>
      <c r="GC49" s="263"/>
      <c r="GD49" s="263"/>
      <c r="GE49" s="263"/>
      <c r="GF49" s="263"/>
      <c r="GG49" s="263"/>
      <c r="GH49" s="263"/>
      <c r="GI49" s="263"/>
      <c r="GJ49" s="263"/>
      <c r="GK49" s="263"/>
      <c r="GL49" s="263"/>
      <c r="GM49" s="263"/>
      <c r="GN49" s="263"/>
      <c r="GO49" s="263"/>
      <c r="GP49" s="263"/>
      <c r="GQ49" s="263"/>
      <c r="GR49" s="263"/>
      <c r="GS49" s="263"/>
      <c r="GT49" s="263"/>
      <c r="GU49" s="263"/>
      <c r="GV49" s="263"/>
      <c r="GW49" s="263"/>
      <c r="GX49" s="263"/>
      <c r="GY49" s="263"/>
      <c r="GZ49" s="263"/>
      <c r="HA49" s="263"/>
      <c r="HB49" s="263"/>
      <c r="HC49" s="263"/>
      <c r="HD49" s="263"/>
      <c r="HE49" s="263"/>
      <c r="HF49" s="263"/>
      <c r="HG49" s="263"/>
      <c r="HH49" s="263"/>
      <c r="HI49" s="263"/>
      <c r="HJ49" s="263"/>
      <c r="HK49" s="263"/>
      <c r="HL49" s="263"/>
      <c r="HM49" s="263"/>
      <c r="HN49" s="263"/>
      <c r="HO49" s="263"/>
      <c r="HP49" s="263"/>
      <c r="HQ49" s="263"/>
      <c r="HR49" s="263"/>
      <c r="HS49" s="263"/>
      <c r="HT49" s="263"/>
      <c r="HU49" s="263"/>
      <c r="HV49" s="263"/>
      <c r="HW49" s="263"/>
      <c r="HX49" s="263"/>
      <c r="HY49" s="263"/>
      <c r="HZ49" s="263"/>
      <c r="IA49" s="263"/>
      <c r="IB49" s="263"/>
      <c r="IC49" s="263"/>
      <c r="ID49" s="263"/>
      <c r="IE49" s="263"/>
      <c r="IF49" s="263"/>
      <c r="IG49" s="263"/>
      <c r="IH49" s="263"/>
      <c r="II49" s="263"/>
      <c r="IJ49" s="263"/>
      <c r="IK49" s="263"/>
      <c r="IL49" s="263"/>
      <c r="IM49" s="263"/>
      <c r="IN49" s="263"/>
      <c r="IO49" s="263"/>
      <c r="IP49" s="263"/>
      <c r="IQ49" s="263"/>
      <c r="IR49" s="263"/>
      <c r="IS49" s="263"/>
      <c r="IT49" s="263"/>
      <c r="IU49" s="263"/>
    </row>
    <row r="50" spans="1:255" ht="15.6">
      <c r="A50" s="274" t="s">
        <v>271</v>
      </c>
      <c r="B50" s="263"/>
      <c r="C50" s="263"/>
      <c r="D50" s="263"/>
      <c r="E50" s="263"/>
      <c r="F50" s="263"/>
      <c r="G50" s="263"/>
      <c r="H50" s="263"/>
      <c r="I50" s="263"/>
      <c r="J50" s="263"/>
      <c r="K50" s="263"/>
      <c r="L50" s="263"/>
      <c r="M50" s="263"/>
      <c r="N50" s="263"/>
      <c r="O50" s="263"/>
      <c r="P50" s="263"/>
      <c r="Q50" s="263"/>
      <c r="R50" s="263"/>
      <c r="S50" s="263"/>
      <c r="T50" s="263"/>
      <c r="U50" s="263"/>
      <c r="V50" s="263"/>
      <c r="W50" s="263"/>
      <c r="X50" s="263"/>
      <c r="Y50" s="263"/>
      <c r="Z50" s="263"/>
      <c r="AA50" s="263"/>
      <c r="AB50" s="263"/>
      <c r="AC50" s="263"/>
      <c r="AD50" s="263"/>
      <c r="AE50" s="263"/>
      <c r="AF50" s="263"/>
      <c r="AG50" s="263"/>
      <c r="AH50" s="263"/>
      <c r="AI50" s="263"/>
      <c r="AJ50" s="263"/>
      <c r="AK50" s="263"/>
      <c r="AL50" s="263"/>
      <c r="AM50" s="263"/>
      <c r="AN50" s="263"/>
      <c r="AO50" s="263"/>
      <c r="AP50" s="263"/>
      <c r="AQ50" s="263"/>
      <c r="AR50" s="263"/>
      <c r="AS50" s="263"/>
      <c r="AT50" s="263"/>
      <c r="AU50" s="263"/>
      <c r="AV50" s="263"/>
      <c r="AW50" s="263"/>
      <c r="AX50" s="263"/>
      <c r="AY50" s="263"/>
      <c r="AZ50" s="263"/>
      <c r="BA50" s="263"/>
      <c r="BB50" s="263"/>
      <c r="BC50" s="263"/>
      <c r="BD50" s="263"/>
      <c r="BE50" s="263"/>
      <c r="BF50" s="263"/>
      <c r="BG50" s="263"/>
      <c r="BH50" s="263"/>
      <c r="BI50" s="263"/>
      <c r="BJ50" s="263"/>
      <c r="BK50" s="263"/>
      <c r="BL50" s="263"/>
      <c r="BM50" s="263"/>
      <c r="BN50" s="263"/>
      <c r="BO50" s="263"/>
      <c r="BP50" s="263"/>
      <c r="BQ50" s="263"/>
      <c r="BR50" s="263"/>
      <c r="BS50" s="263"/>
      <c r="BT50" s="263"/>
      <c r="BU50" s="263"/>
      <c r="BV50" s="263"/>
      <c r="BW50" s="263"/>
      <c r="BX50" s="263"/>
      <c r="BY50" s="263"/>
      <c r="BZ50" s="263"/>
      <c r="CA50" s="263"/>
      <c r="CB50" s="263"/>
      <c r="CC50" s="263"/>
      <c r="CD50" s="263"/>
      <c r="CE50" s="263"/>
      <c r="CF50" s="263"/>
      <c r="CG50" s="263"/>
      <c r="CH50" s="263"/>
      <c r="CI50" s="263"/>
      <c r="CJ50" s="263"/>
      <c r="CK50" s="263"/>
      <c r="CL50" s="263"/>
      <c r="CM50" s="263"/>
      <c r="CN50" s="263"/>
      <c r="CO50" s="263"/>
      <c r="CP50" s="263"/>
      <c r="CQ50" s="263"/>
      <c r="CR50" s="263"/>
      <c r="CS50" s="263"/>
      <c r="CT50" s="263"/>
      <c r="CU50" s="263"/>
      <c r="CV50" s="263"/>
      <c r="CW50" s="263"/>
      <c r="CX50" s="263"/>
      <c r="CY50" s="263"/>
      <c r="CZ50" s="263"/>
      <c r="DA50" s="263"/>
      <c r="DB50" s="263"/>
      <c r="DC50" s="263"/>
      <c r="DD50" s="263"/>
      <c r="DE50" s="263"/>
      <c r="DF50" s="263"/>
      <c r="DG50" s="263"/>
      <c r="DH50" s="263"/>
      <c r="DI50" s="263"/>
      <c r="DJ50" s="263"/>
      <c r="DK50" s="263"/>
      <c r="DL50" s="263"/>
      <c r="DM50" s="263"/>
      <c r="DN50" s="263"/>
      <c r="DO50" s="263"/>
      <c r="DP50" s="263"/>
      <c r="DQ50" s="263"/>
      <c r="DR50" s="263"/>
      <c r="DS50" s="263"/>
      <c r="DT50" s="263"/>
      <c r="DU50" s="263"/>
      <c r="DV50" s="263"/>
      <c r="DW50" s="263"/>
      <c r="DX50" s="263"/>
      <c r="DY50" s="263"/>
      <c r="DZ50" s="263"/>
      <c r="EA50" s="263"/>
      <c r="EB50" s="263"/>
      <c r="EC50" s="263"/>
      <c r="ED50" s="263"/>
      <c r="EE50" s="263"/>
      <c r="EF50" s="263"/>
      <c r="EG50" s="263"/>
      <c r="EH50" s="263"/>
      <c r="EI50" s="263"/>
      <c r="EJ50" s="263"/>
      <c r="EK50" s="263"/>
      <c r="EL50" s="263"/>
      <c r="EM50" s="263"/>
      <c r="EN50" s="263"/>
      <c r="EO50" s="263"/>
      <c r="EP50" s="263"/>
      <c r="EQ50" s="263"/>
      <c r="ER50" s="263"/>
      <c r="ES50" s="263"/>
      <c r="ET50" s="263"/>
      <c r="EU50" s="263"/>
      <c r="EV50" s="263"/>
      <c r="EW50" s="263"/>
      <c r="EX50" s="263"/>
      <c r="EY50" s="263"/>
      <c r="EZ50" s="263"/>
      <c r="FA50" s="263"/>
      <c r="FB50" s="263"/>
      <c r="FC50" s="263"/>
      <c r="FD50" s="263"/>
      <c r="FE50" s="263"/>
      <c r="FF50" s="263"/>
      <c r="FG50" s="263"/>
      <c r="FH50" s="263"/>
      <c r="FI50" s="263"/>
      <c r="FJ50" s="263"/>
      <c r="FK50" s="263"/>
      <c r="FL50" s="263"/>
      <c r="FM50" s="263"/>
      <c r="FN50" s="263"/>
      <c r="FO50" s="263"/>
      <c r="FP50" s="263"/>
      <c r="FQ50" s="263"/>
      <c r="FR50" s="263"/>
      <c r="FS50" s="263"/>
      <c r="FT50" s="263"/>
      <c r="FU50" s="263"/>
      <c r="FV50" s="263"/>
      <c r="FW50" s="263"/>
      <c r="FX50" s="263"/>
      <c r="FY50" s="263"/>
      <c r="FZ50" s="263"/>
      <c r="GA50" s="263"/>
      <c r="GB50" s="263"/>
      <c r="GC50" s="263"/>
      <c r="GD50" s="263"/>
      <c r="GE50" s="263"/>
      <c r="GF50" s="263"/>
      <c r="GG50" s="263"/>
      <c r="GH50" s="263"/>
      <c r="GI50" s="263"/>
      <c r="GJ50" s="263"/>
      <c r="GK50" s="263"/>
      <c r="GL50" s="263"/>
      <c r="GM50" s="263"/>
      <c r="GN50" s="263"/>
      <c r="GO50" s="263"/>
      <c r="GP50" s="263"/>
      <c r="GQ50" s="263"/>
      <c r="GR50" s="263"/>
      <c r="GS50" s="263"/>
      <c r="GT50" s="263"/>
      <c r="GU50" s="263"/>
      <c r="GV50" s="263"/>
      <c r="GW50" s="263"/>
      <c r="GX50" s="263"/>
      <c r="GY50" s="263"/>
      <c r="GZ50" s="263"/>
      <c r="HA50" s="263"/>
      <c r="HB50" s="263"/>
      <c r="HC50" s="263"/>
      <c r="HD50" s="263"/>
      <c r="HE50" s="263"/>
      <c r="HF50" s="263"/>
      <c r="HG50" s="263"/>
      <c r="HH50" s="263"/>
      <c r="HI50" s="263"/>
      <c r="HJ50" s="263"/>
      <c r="HK50" s="263"/>
      <c r="HL50" s="263"/>
      <c r="HM50" s="263"/>
      <c r="HN50" s="263"/>
      <c r="HO50" s="263"/>
      <c r="HP50" s="263"/>
      <c r="HQ50" s="263"/>
      <c r="HR50" s="263"/>
      <c r="HS50" s="263"/>
      <c r="HT50" s="263"/>
      <c r="HU50" s="263"/>
      <c r="HV50" s="263"/>
      <c r="HW50" s="263"/>
      <c r="HX50" s="263"/>
      <c r="HY50" s="263"/>
      <c r="HZ50" s="263"/>
      <c r="IA50" s="263"/>
      <c r="IB50" s="263"/>
      <c r="IC50" s="263"/>
      <c r="ID50" s="263"/>
      <c r="IE50" s="263"/>
      <c r="IF50" s="263"/>
      <c r="IG50" s="263"/>
      <c r="IH50" s="263"/>
      <c r="II50" s="263"/>
      <c r="IJ50" s="263"/>
      <c r="IK50" s="263"/>
      <c r="IL50" s="263"/>
      <c r="IM50" s="263"/>
      <c r="IN50" s="263"/>
      <c r="IO50" s="263"/>
      <c r="IP50" s="263"/>
      <c r="IQ50" s="263"/>
      <c r="IR50" s="263"/>
      <c r="IS50" s="263"/>
      <c r="IT50" s="263"/>
      <c r="IU50" s="263"/>
    </row>
    <row r="51" spans="1:255" ht="15.6">
      <c r="A51" s="263" t="s">
        <v>272</v>
      </c>
      <c r="B51" s="263"/>
      <c r="C51" s="275">
        <f ca="1">IF(C6=1,0,+'BKDEPR 144A'!C15*1000)</f>
        <v>0</v>
      </c>
      <c r="D51" s="275">
        <f ca="1">IF(D6=1,0,+'BKDEPR 144A'!C15*1000)</f>
        <v>124665.655348</v>
      </c>
      <c r="E51" s="275">
        <f ca="1">IF(E6=1,0,+'BKDEPR 144A'!C15*1000)</f>
        <v>124665.655348</v>
      </c>
      <c r="F51" s="275">
        <f ca="1">IF(F6=1,0,+'BKDEPR 144A'!C15*1000)</f>
        <v>124665.655348</v>
      </c>
      <c r="G51" s="275">
        <f ca="1">IF(G6=1,0,+'BKDEPR 144A'!C15*1000)</f>
        <v>124665.655348</v>
      </c>
      <c r="H51" s="275">
        <f ca="1">IF(H6=1,0,+'BKDEPR 144A'!C15*1000)</f>
        <v>124665.655348</v>
      </c>
      <c r="I51" s="275">
        <f ca="1">IF(I6=1,0,+'BKDEPR 144A'!C15*1000)</f>
        <v>124665.655348</v>
      </c>
      <c r="J51" s="275">
        <f ca="1">IF(J6=1,0,+'BKDEPR 144A'!C15*1000)</f>
        <v>124665.655348</v>
      </c>
      <c r="K51" s="275">
        <f ca="1">IF(K6=1,0,+'BKDEPR 144A'!C15*1000)</f>
        <v>124665.655348</v>
      </c>
      <c r="L51" s="275">
        <f ca="1">IF(L6=1,0,+'BKDEPR 144A'!C15*1000)</f>
        <v>124665.655348</v>
      </c>
      <c r="M51" s="275">
        <f ca="1">IF(M6=1,0,+'BKDEPR 144A'!C15*1000)</f>
        <v>124665.655348</v>
      </c>
      <c r="N51" s="275">
        <f ca="1">IF(N6=1,0,+'BKDEPR 144A'!C15*1000)</f>
        <v>124665.655348</v>
      </c>
      <c r="O51" s="275">
        <f ca="1">IF(O6=1,0,+'BKDEPR 144A'!C15*1000)</f>
        <v>124665.655348</v>
      </c>
      <c r="P51" s="275">
        <f ca="1">IF(P6=1,0,+'BKDEPR 144A'!C15*1000)</f>
        <v>124665.655348</v>
      </c>
      <c r="Q51" s="275">
        <f ca="1">IF(Q6=1,0,+'BKDEPR 144A'!C15*1000)</f>
        <v>124665.655348</v>
      </c>
      <c r="R51" s="275">
        <f ca="1">IF(R6=1,0,+'BKDEPR 144A'!C15*1000)</f>
        <v>124665.655348</v>
      </c>
      <c r="S51" s="275">
        <f ca="1">IF(S6=1,0,+'BKDEPR 144A'!C15*1000)</f>
        <v>124665.655348</v>
      </c>
      <c r="T51" s="275">
        <f ca="1">IF(T6=1,0,+'BKDEPR 144A'!C15*1000)</f>
        <v>124665.655348</v>
      </c>
      <c r="U51" s="275">
        <f ca="1">IF(U6=1,0,+'BKDEPR 144A'!C15*1000)</f>
        <v>124665.655348</v>
      </c>
      <c r="V51" s="275">
        <f ca="1">IF(V6=1,0,+'BKDEPR 144A'!C15*1000)</f>
        <v>124665.655348</v>
      </c>
      <c r="W51" s="263"/>
      <c r="X51" s="263"/>
      <c r="Y51" s="263"/>
      <c r="Z51" s="263"/>
      <c r="AA51" s="263"/>
      <c r="AB51" s="263"/>
      <c r="AC51" s="263"/>
      <c r="AD51" s="263"/>
      <c r="AE51" s="263"/>
      <c r="AF51" s="263"/>
      <c r="AG51" s="263"/>
      <c r="AH51" s="263"/>
      <c r="AI51" s="263"/>
      <c r="AJ51" s="263"/>
      <c r="AK51" s="263"/>
      <c r="AL51" s="263"/>
      <c r="AM51" s="263"/>
      <c r="AN51" s="263"/>
      <c r="AO51" s="263"/>
      <c r="AP51" s="263"/>
      <c r="AQ51" s="263"/>
      <c r="AR51" s="263"/>
      <c r="AS51" s="263"/>
      <c r="AT51" s="263"/>
      <c r="AU51" s="263"/>
      <c r="AV51" s="263"/>
      <c r="AW51" s="263"/>
      <c r="AX51" s="263"/>
      <c r="AY51" s="263"/>
      <c r="AZ51" s="263"/>
      <c r="BA51" s="263"/>
      <c r="BB51" s="263"/>
      <c r="BC51" s="263"/>
      <c r="BD51" s="263"/>
      <c r="BE51" s="263"/>
      <c r="BF51" s="263"/>
      <c r="BG51" s="263"/>
      <c r="BH51" s="263"/>
      <c r="BI51" s="263"/>
      <c r="BJ51" s="263"/>
      <c r="BK51" s="263"/>
      <c r="BL51" s="263"/>
      <c r="BM51" s="263"/>
      <c r="BN51" s="263"/>
      <c r="BO51" s="263"/>
      <c r="BP51" s="263"/>
      <c r="BQ51" s="263"/>
      <c r="BR51" s="263"/>
      <c r="BS51" s="263"/>
      <c r="BT51" s="263"/>
      <c r="BU51" s="263"/>
      <c r="BV51" s="263"/>
      <c r="BW51" s="263"/>
      <c r="BX51" s="263"/>
      <c r="BY51" s="263"/>
      <c r="BZ51" s="263"/>
      <c r="CA51" s="263"/>
      <c r="CB51" s="263"/>
      <c r="CC51" s="263"/>
      <c r="CD51" s="263"/>
      <c r="CE51" s="263"/>
      <c r="CF51" s="263"/>
      <c r="CG51" s="263"/>
      <c r="CH51" s="263"/>
      <c r="CI51" s="263"/>
      <c r="CJ51" s="263"/>
      <c r="CK51" s="263"/>
      <c r="CL51" s="263"/>
      <c r="CM51" s="263"/>
      <c r="CN51" s="263"/>
      <c r="CO51" s="263"/>
      <c r="CP51" s="263"/>
      <c r="CQ51" s="263"/>
      <c r="CR51" s="263"/>
      <c r="CS51" s="263"/>
      <c r="CT51" s="263"/>
      <c r="CU51" s="263"/>
      <c r="CV51" s="263"/>
      <c r="CW51" s="263"/>
      <c r="CX51" s="263"/>
      <c r="CY51" s="263"/>
      <c r="CZ51" s="263"/>
      <c r="DA51" s="263"/>
      <c r="DB51" s="263"/>
      <c r="DC51" s="263"/>
      <c r="DD51" s="263"/>
      <c r="DE51" s="263"/>
      <c r="DF51" s="263"/>
      <c r="DG51" s="263"/>
      <c r="DH51" s="263"/>
      <c r="DI51" s="263"/>
      <c r="DJ51" s="263"/>
      <c r="DK51" s="263"/>
      <c r="DL51" s="263"/>
      <c r="DM51" s="263"/>
      <c r="DN51" s="263"/>
      <c r="DO51" s="263"/>
      <c r="DP51" s="263"/>
      <c r="DQ51" s="263"/>
      <c r="DR51" s="263"/>
      <c r="DS51" s="263"/>
      <c r="DT51" s="263"/>
      <c r="DU51" s="263"/>
      <c r="DV51" s="263"/>
      <c r="DW51" s="263"/>
      <c r="DX51" s="263"/>
      <c r="DY51" s="263"/>
      <c r="DZ51" s="263"/>
      <c r="EA51" s="263"/>
      <c r="EB51" s="263"/>
      <c r="EC51" s="263"/>
      <c r="ED51" s="263"/>
      <c r="EE51" s="263"/>
      <c r="EF51" s="263"/>
      <c r="EG51" s="263"/>
      <c r="EH51" s="263"/>
      <c r="EI51" s="263"/>
      <c r="EJ51" s="263"/>
      <c r="EK51" s="263"/>
      <c r="EL51" s="263"/>
      <c r="EM51" s="263"/>
      <c r="EN51" s="263"/>
      <c r="EO51" s="263"/>
      <c r="EP51" s="263"/>
      <c r="EQ51" s="263"/>
      <c r="ER51" s="263"/>
      <c r="ES51" s="263"/>
      <c r="ET51" s="263"/>
      <c r="EU51" s="263"/>
      <c r="EV51" s="263"/>
      <c r="EW51" s="263"/>
      <c r="EX51" s="263"/>
      <c r="EY51" s="263"/>
      <c r="EZ51" s="263"/>
      <c r="FA51" s="263"/>
      <c r="FB51" s="263"/>
      <c r="FC51" s="263"/>
      <c r="FD51" s="263"/>
      <c r="FE51" s="263"/>
      <c r="FF51" s="263"/>
      <c r="FG51" s="263"/>
      <c r="FH51" s="263"/>
      <c r="FI51" s="263"/>
      <c r="FJ51" s="263"/>
      <c r="FK51" s="263"/>
      <c r="FL51" s="263"/>
      <c r="FM51" s="263"/>
      <c r="FN51" s="263"/>
      <c r="FO51" s="263"/>
      <c r="FP51" s="263"/>
      <c r="FQ51" s="263"/>
      <c r="FR51" s="263"/>
      <c r="FS51" s="263"/>
      <c r="FT51" s="263"/>
      <c r="FU51" s="263"/>
      <c r="FV51" s="263"/>
      <c r="FW51" s="263"/>
      <c r="FX51" s="263"/>
      <c r="FY51" s="263"/>
      <c r="FZ51" s="263"/>
      <c r="GA51" s="263"/>
      <c r="GB51" s="263"/>
      <c r="GC51" s="263"/>
      <c r="GD51" s="263"/>
      <c r="GE51" s="263"/>
      <c r="GF51" s="263"/>
      <c r="GG51" s="263"/>
      <c r="GH51" s="263"/>
      <c r="GI51" s="263"/>
      <c r="GJ51" s="263"/>
      <c r="GK51" s="263"/>
      <c r="GL51" s="263"/>
      <c r="GM51" s="263"/>
      <c r="GN51" s="263"/>
      <c r="GO51" s="263"/>
      <c r="GP51" s="263"/>
      <c r="GQ51" s="263"/>
      <c r="GR51" s="263"/>
      <c r="GS51" s="263"/>
      <c r="GT51" s="263"/>
      <c r="GU51" s="263"/>
      <c r="GV51" s="263"/>
      <c r="GW51" s="263"/>
      <c r="GX51" s="263"/>
      <c r="GY51" s="263"/>
      <c r="GZ51" s="263"/>
      <c r="HA51" s="263"/>
      <c r="HB51" s="263"/>
      <c r="HC51" s="263"/>
      <c r="HD51" s="263"/>
      <c r="HE51" s="263"/>
      <c r="HF51" s="263"/>
      <c r="HG51" s="263"/>
      <c r="HH51" s="263"/>
      <c r="HI51" s="263"/>
      <c r="HJ51" s="263"/>
      <c r="HK51" s="263"/>
      <c r="HL51" s="263"/>
      <c r="HM51" s="263"/>
      <c r="HN51" s="263"/>
      <c r="HO51" s="263"/>
      <c r="HP51" s="263"/>
      <c r="HQ51" s="263"/>
      <c r="HR51" s="263"/>
      <c r="HS51" s="263"/>
      <c r="HT51" s="263"/>
      <c r="HU51" s="263"/>
      <c r="HV51" s="263"/>
      <c r="HW51" s="263"/>
      <c r="HX51" s="263"/>
      <c r="HY51" s="263"/>
      <c r="HZ51" s="263"/>
      <c r="IA51" s="263"/>
      <c r="IB51" s="263"/>
      <c r="IC51" s="263"/>
      <c r="ID51" s="263"/>
      <c r="IE51" s="263"/>
      <c r="IF51" s="263"/>
      <c r="IG51" s="263"/>
      <c r="IH51" s="263"/>
      <c r="II51" s="263"/>
      <c r="IJ51" s="263"/>
      <c r="IK51" s="263"/>
      <c r="IL51" s="263"/>
      <c r="IM51" s="263"/>
      <c r="IN51" s="263"/>
      <c r="IO51" s="263"/>
      <c r="IP51" s="263"/>
      <c r="IQ51" s="263"/>
      <c r="IR51" s="263"/>
      <c r="IS51" s="263"/>
      <c r="IT51" s="263"/>
      <c r="IU51" s="263"/>
    </row>
    <row r="52" spans="1:255" ht="15.6">
      <c r="A52" s="263" t="s">
        <v>273</v>
      </c>
      <c r="B52" s="263"/>
      <c r="C52" s="276">
        <f ca="1">IF(C6&lt;='ASSUM 1'!M42,'ASSUM 1'!N42/100,IF(C6&lt;='ASSUM 1'!M43,'ASSUM 1'!N43/100,'ASSUM 1'!N44/100))</f>
        <v>8.1000000000000013E-3</v>
      </c>
      <c r="D52" s="276">
        <f ca="1">IF(D6&lt;='ASSUM 1'!M42,'ASSUM 1'!#REF!/100,IF(D6&lt;='ASSUM 1'!M43,'ASSUM 1'!N43/100,'ASSUM 1'!N44/100))</f>
        <v>4.8999999999999998E-3</v>
      </c>
      <c r="E52" s="276">
        <f ca="1">IF(E6&lt;='ASSUM 1'!M42,#REF!/100,IF(E6&lt;='ASSUM 1'!M43,'ASSUM 1'!N43/100,'ASSUM 1'!N44/100))</f>
        <v>4.8999999999999998E-3</v>
      </c>
      <c r="F52" s="276">
        <f ca="1">IF(F6&lt;='ASSUM 1'!M42,#REF!/100,IF(F6&lt;='ASSUM 1'!M43,'ASSUM 1'!N43/100,'ASSUM 1'!N44/100))</f>
        <v>2.9160000000000002E-3</v>
      </c>
      <c r="G52" s="276">
        <f ca="1">IF(G6&lt;='ASSUM 1'!M42,#REF!/100,IF(G6&lt;='ASSUM 1'!M43,'ASSUM 1'!N43/100,'ASSUM 1'!N44/100))</f>
        <v>2.9160000000000002E-3</v>
      </c>
      <c r="H52" s="276">
        <f ca="1">IF(H6&lt;='ASSUM 1'!M42,#REF!/100,IF(H6&lt;='ASSUM 1'!M43,'ASSUM 1'!N43/100,'ASSUM 1'!N44/100))</f>
        <v>2.9160000000000002E-3</v>
      </c>
      <c r="I52" s="276">
        <f ca="1">IF(I6&lt;='ASSUM 1'!M42,#REF!/100,IF(I6&lt;='ASSUM 1'!M43,'ASSUM 1'!N43/100,'ASSUM 1'!N44/100))</f>
        <v>2.9160000000000002E-3</v>
      </c>
      <c r="J52" s="276">
        <f ca="1">IF(J6&lt;='ASSUM 1'!M42,'ASSUM 1'!O58/100,IF(J6&lt;='ASSUM 1'!M43,'ASSUM 1'!N43/100,'ASSUM 1'!N44/100))</f>
        <v>2.9160000000000002E-3</v>
      </c>
      <c r="K52" s="276">
        <f ca="1">IF(K6&lt;='ASSUM 1'!M42,'ASSUM 1'!P58/100,IF(K6&lt;='ASSUM 1'!M43,'ASSUM 1'!N43/100,'ASSUM 1'!N44/100))</f>
        <v>2.9160000000000002E-3</v>
      </c>
      <c r="L52" s="276">
        <f ca="1">IF(L6&lt;='ASSUM 1'!M42,#REF!/100,IF(L6&lt;='ASSUM 1'!M43,'ASSUM 1'!N43/100,'ASSUM 1'!N44/100))</f>
        <v>2.9160000000000002E-3</v>
      </c>
      <c r="M52" s="276">
        <f ca="1">IF(M6&lt;='ASSUM 1'!M42,'ASSUM 1'!Q58/100,IF(M6&lt;='ASSUM 1'!M43,'ASSUM 1'!N43/100,'ASSUM 1'!N44/100))</f>
        <v>2.9160000000000002E-3</v>
      </c>
      <c r="N52" s="276">
        <f ca="1">IF(N6&lt;='ASSUM 1'!M42,'ASSUM 1'!R58/100,IF(N6&lt;='ASSUM 1'!M43,'ASSUM 1'!N43/100,'ASSUM 1'!N44/100))</f>
        <v>2.9160000000000002E-3</v>
      </c>
      <c r="O52" s="276">
        <f ca="1">IF(O6&lt;='ASSUM 1'!M42,'ASSUM 1'!S58/100,IF(O6&lt;='ASSUM 1'!M43,'ASSUM 1'!N43/100,'ASSUM 1'!N44/100))</f>
        <v>2.9160000000000002E-3</v>
      </c>
      <c r="P52" s="276">
        <f ca="1">IF(P6&lt;='ASSUM 1'!M42,#REF!/100,IF(P6&lt;='ASSUM 1'!M43,'ASSUM 1'!N43/100,'ASSUM 1'!N44/100))</f>
        <v>2.9160000000000002E-3</v>
      </c>
      <c r="Q52" s="276">
        <f ca="1">IF(Q6&lt;='ASSUM 1'!M42,#REF!/100,IF(Q6&lt;='ASSUM 1'!M43,'ASSUM 1'!N43/100,'ASSUM 1'!N44/100))</f>
        <v>2.9160000000000002E-3</v>
      </c>
      <c r="R52" s="276">
        <f ca="1">IF(R6&lt;='ASSUM 1'!M42,'ASSUM 1'!T58/100,IF(R6&lt;='ASSUM 1'!M43,'ASSUM 1'!N43/100,'ASSUM 1'!N44/100))</f>
        <v>2.9160000000000002E-3</v>
      </c>
      <c r="S52" s="276">
        <f ca="1">IF(S6&lt;='ASSUM 1'!M42,'ASSUM 1'!#REF!/100,IF(S6&lt;='ASSUM 1'!M43,'ASSUM 1'!N43/100,'ASSUM 1'!N44/100))</f>
        <v>2.9160000000000002E-3</v>
      </c>
      <c r="T52" s="276">
        <f ca="1">IF(T6&lt;='ASSUM 1'!M42,'ASSUM 1'!#REF!/100,IF(T6&lt;='ASSUM 1'!M43,'ASSUM 1'!N43/100,'ASSUM 1'!N44/100))</f>
        <v>2.9160000000000002E-3</v>
      </c>
      <c r="U52" s="276">
        <f ca="1">IF(U6&lt;='ASSUM 1'!M42,'ASSUM 1'!#REF!/100,IF(U6&lt;='ASSUM 1'!M43,'ASSUM 1'!N43/100,'ASSUM 1'!N44/100))</f>
        <v>2.9160000000000002E-3</v>
      </c>
      <c r="V52" s="276">
        <f ca="1">IF(V6&lt;='ASSUM 1'!M42,'ASSUM 1'!#REF!/100,IF(V6&lt;='ASSUM 1'!M43,'ASSUM 1'!N43/100,'ASSUM 1'!N44/100))</f>
        <v>2.9160000000000002E-3</v>
      </c>
      <c r="W52" s="263"/>
      <c r="X52" s="263"/>
      <c r="Y52" s="263"/>
      <c r="Z52" s="263"/>
      <c r="AA52" s="263"/>
      <c r="AB52" s="263"/>
      <c r="AC52" s="263"/>
      <c r="AD52" s="263"/>
      <c r="AE52" s="263"/>
      <c r="AF52" s="263"/>
      <c r="AG52" s="263"/>
      <c r="AH52" s="263"/>
      <c r="AI52" s="263"/>
      <c r="AJ52" s="263"/>
      <c r="AK52" s="263"/>
      <c r="AL52" s="263"/>
      <c r="AM52" s="263"/>
      <c r="AN52" s="263"/>
      <c r="AO52" s="263"/>
      <c r="AP52" s="263"/>
      <c r="AQ52" s="263"/>
      <c r="AR52" s="263"/>
      <c r="AS52" s="263"/>
      <c r="AT52" s="263"/>
      <c r="AU52" s="263"/>
      <c r="AV52" s="263"/>
      <c r="AW52" s="263"/>
      <c r="AX52" s="263"/>
      <c r="AY52" s="263"/>
      <c r="AZ52" s="263"/>
      <c r="BA52" s="263"/>
      <c r="BB52" s="263"/>
      <c r="BC52" s="263"/>
      <c r="BD52" s="263"/>
      <c r="BE52" s="263"/>
      <c r="BF52" s="263"/>
      <c r="BG52" s="263"/>
      <c r="BH52" s="263"/>
      <c r="BI52" s="263"/>
      <c r="BJ52" s="263"/>
      <c r="BK52" s="263"/>
      <c r="BL52" s="263"/>
      <c r="BM52" s="263"/>
      <c r="BN52" s="263"/>
      <c r="BO52" s="263"/>
      <c r="BP52" s="263"/>
      <c r="BQ52" s="263"/>
      <c r="BR52" s="263"/>
      <c r="BS52" s="263"/>
      <c r="BT52" s="263"/>
      <c r="BU52" s="263"/>
      <c r="BV52" s="263"/>
      <c r="BW52" s="263"/>
      <c r="BX52" s="263"/>
      <c r="BY52" s="263"/>
      <c r="BZ52" s="263"/>
      <c r="CA52" s="263"/>
      <c r="CB52" s="263"/>
      <c r="CC52" s="263"/>
      <c r="CD52" s="263"/>
      <c r="CE52" s="263"/>
      <c r="CF52" s="263"/>
      <c r="CG52" s="263"/>
      <c r="CH52" s="263"/>
      <c r="CI52" s="263"/>
      <c r="CJ52" s="263"/>
      <c r="CK52" s="263"/>
      <c r="CL52" s="263"/>
      <c r="CM52" s="263"/>
      <c r="CN52" s="263"/>
      <c r="CO52" s="263"/>
      <c r="CP52" s="263"/>
      <c r="CQ52" s="263"/>
      <c r="CR52" s="263"/>
      <c r="CS52" s="263"/>
      <c r="CT52" s="263"/>
      <c r="CU52" s="263"/>
      <c r="CV52" s="263"/>
      <c r="CW52" s="263"/>
      <c r="CX52" s="263"/>
      <c r="CY52" s="263"/>
      <c r="CZ52" s="263"/>
      <c r="DA52" s="263"/>
      <c r="DB52" s="263"/>
      <c r="DC52" s="263"/>
      <c r="DD52" s="263"/>
      <c r="DE52" s="263"/>
      <c r="DF52" s="263"/>
      <c r="DG52" s="263"/>
      <c r="DH52" s="263"/>
      <c r="DI52" s="263"/>
      <c r="DJ52" s="263"/>
      <c r="DK52" s="263"/>
      <c r="DL52" s="263"/>
      <c r="DM52" s="263"/>
      <c r="DN52" s="263"/>
      <c r="DO52" s="263"/>
      <c r="DP52" s="263"/>
      <c r="DQ52" s="263"/>
      <c r="DR52" s="263"/>
      <c r="DS52" s="263"/>
      <c r="DT52" s="263"/>
      <c r="DU52" s="263"/>
      <c r="DV52" s="263"/>
      <c r="DW52" s="263"/>
      <c r="DX52" s="263"/>
      <c r="DY52" s="263"/>
      <c r="DZ52" s="263"/>
      <c r="EA52" s="263"/>
      <c r="EB52" s="263"/>
      <c r="EC52" s="263"/>
      <c r="ED52" s="263"/>
      <c r="EE52" s="263"/>
      <c r="EF52" s="263"/>
      <c r="EG52" s="263"/>
      <c r="EH52" s="263"/>
      <c r="EI52" s="263"/>
      <c r="EJ52" s="263"/>
      <c r="EK52" s="263"/>
      <c r="EL52" s="263"/>
      <c r="EM52" s="263"/>
      <c r="EN52" s="263"/>
      <c r="EO52" s="263"/>
      <c r="EP52" s="263"/>
      <c r="EQ52" s="263"/>
      <c r="ER52" s="263"/>
      <c r="ES52" s="263"/>
      <c r="ET52" s="263"/>
      <c r="EU52" s="263"/>
      <c r="EV52" s="263"/>
      <c r="EW52" s="263"/>
      <c r="EX52" s="263"/>
      <c r="EY52" s="263"/>
      <c r="EZ52" s="263"/>
      <c r="FA52" s="263"/>
      <c r="FB52" s="263"/>
      <c r="FC52" s="263"/>
      <c r="FD52" s="263"/>
      <c r="FE52" s="263"/>
      <c r="FF52" s="263"/>
      <c r="FG52" s="263"/>
      <c r="FH52" s="263"/>
      <c r="FI52" s="263"/>
      <c r="FJ52" s="263"/>
      <c r="FK52" s="263"/>
      <c r="FL52" s="263"/>
      <c r="FM52" s="263"/>
      <c r="FN52" s="263"/>
      <c r="FO52" s="263"/>
      <c r="FP52" s="263"/>
      <c r="FQ52" s="263"/>
      <c r="FR52" s="263"/>
      <c r="FS52" s="263"/>
      <c r="FT52" s="263"/>
      <c r="FU52" s="263"/>
      <c r="FV52" s="263"/>
      <c r="FW52" s="263"/>
      <c r="FX52" s="263"/>
      <c r="FY52" s="263"/>
      <c r="FZ52" s="263"/>
      <c r="GA52" s="263"/>
      <c r="GB52" s="263"/>
      <c r="GC52" s="263"/>
      <c r="GD52" s="263"/>
      <c r="GE52" s="263"/>
      <c r="GF52" s="263"/>
      <c r="GG52" s="263"/>
      <c r="GH52" s="263"/>
      <c r="GI52" s="263"/>
      <c r="GJ52" s="263"/>
      <c r="GK52" s="263"/>
      <c r="GL52" s="263"/>
      <c r="GM52" s="263"/>
      <c r="GN52" s="263"/>
      <c r="GO52" s="263"/>
      <c r="GP52" s="263"/>
      <c r="GQ52" s="263"/>
      <c r="GR52" s="263"/>
      <c r="GS52" s="263"/>
      <c r="GT52" s="263"/>
      <c r="GU52" s="263"/>
      <c r="GV52" s="263"/>
      <c r="GW52" s="263"/>
      <c r="GX52" s="263"/>
      <c r="GY52" s="263"/>
      <c r="GZ52" s="263"/>
      <c r="HA52" s="263"/>
      <c r="HB52" s="263"/>
      <c r="HC52" s="263"/>
      <c r="HD52" s="263"/>
      <c r="HE52" s="263"/>
      <c r="HF52" s="263"/>
      <c r="HG52" s="263"/>
      <c r="HH52" s="263"/>
      <c r="HI52" s="263"/>
      <c r="HJ52" s="263"/>
      <c r="HK52" s="263"/>
      <c r="HL52" s="263"/>
      <c r="HM52" s="263"/>
      <c r="HN52" s="263"/>
      <c r="HO52" s="263"/>
      <c r="HP52" s="263"/>
      <c r="HQ52" s="263"/>
      <c r="HR52" s="263"/>
      <c r="HS52" s="263"/>
      <c r="HT52" s="263"/>
      <c r="HU52" s="263"/>
      <c r="HV52" s="263"/>
      <c r="HW52" s="263"/>
      <c r="HX52" s="263"/>
      <c r="HY52" s="263"/>
      <c r="HZ52" s="263"/>
      <c r="IA52" s="263"/>
      <c r="IB52" s="263"/>
      <c r="IC52" s="263"/>
      <c r="ID52" s="263"/>
      <c r="IE52" s="263"/>
      <c r="IF52" s="263"/>
      <c r="IG52" s="263"/>
      <c r="IH52" s="263"/>
      <c r="II52" s="263"/>
      <c r="IJ52" s="263"/>
      <c r="IK52" s="263"/>
      <c r="IL52" s="263"/>
      <c r="IM52" s="263"/>
      <c r="IN52" s="263"/>
      <c r="IO52" s="263"/>
      <c r="IP52" s="263"/>
      <c r="IQ52" s="263"/>
      <c r="IR52" s="263"/>
      <c r="IS52" s="263"/>
      <c r="IT52" s="263"/>
      <c r="IU52" s="263"/>
    </row>
    <row r="53" spans="1:255" ht="15.6">
      <c r="A53" s="263" t="s">
        <v>274</v>
      </c>
      <c r="B53" s="263"/>
      <c r="C53" s="275">
        <f t="shared" ref="C53:V53" ca="1" si="11">C51*C52</f>
        <v>0</v>
      </c>
      <c r="D53" s="275">
        <f t="shared" ca="1" si="11"/>
        <v>610.86171120519998</v>
      </c>
      <c r="E53" s="275">
        <f t="shared" ca="1" si="11"/>
        <v>610.86171120519998</v>
      </c>
      <c r="F53" s="275">
        <f t="shared" ca="1" si="11"/>
        <v>363.52505099476804</v>
      </c>
      <c r="G53" s="275">
        <f t="shared" ca="1" si="11"/>
        <v>363.52505099476804</v>
      </c>
      <c r="H53" s="275">
        <f t="shared" ca="1" si="11"/>
        <v>363.52505099476804</v>
      </c>
      <c r="I53" s="275">
        <f t="shared" ca="1" si="11"/>
        <v>363.52505099476804</v>
      </c>
      <c r="J53" s="275">
        <f t="shared" ca="1" si="11"/>
        <v>363.52505099476804</v>
      </c>
      <c r="K53" s="275">
        <f t="shared" ca="1" si="11"/>
        <v>363.52505099476804</v>
      </c>
      <c r="L53" s="275">
        <f t="shared" ca="1" si="11"/>
        <v>363.52505099476804</v>
      </c>
      <c r="M53" s="275">
        <f t="shared" ca="1" si="11"/>
        <v>363.52505099476804</v>
      </c>
      <c r="N53" s="275">
        <f t="shared" ca="1" si="11"/>
        <v>363.52505099476804</v>
      </c>
      <c r="O53" s="275">
        <f t="shared" ca="1" si="11"/>
        <v>363.52505099476804</v>
      </c>
      <c r="P53" s="275">
        <f t="shared" ca="1" si="11"/>
        <v>363.52505099476804</v>
      </c>
      <c r="Q53" s="275">
        <f t="shared" ca="1" si="11"/>
        <v>363.52505099476804</v>
      </c>
      <c r="R53" s="275">
        <f t="shared" ca="1" si="11"/>
        <v>363.52505099476804</v>
      </c>
      <c r="S53" s="275">
        <f t="shared" ca="1" si="11"/>
        <v>363.52505099476804</v>
      </c>
      <c r="T53" s="275">
        <f t="shared" ca="1" si="11"/>
        <v>363.52505099476804</v>
      </c>
      <c r="U53" s="275">
        <f t="shared" ca="1" si="11"/>
        <v>363.52505099476804</v>
      </c>
      <c r="V53" s="275">
        <f t="shared" ca="1" si="11"/>
        <v>363.52505099476804</v>
      </c>
      <c r="W53" s="263"/>
      <c r="X53" s="263"/>
      <c r="Y53" s="263"/>
      <c r="Z53" s="263"/>
      <c r="AA53" s="263"/>
      <c r="AB53" s="263"/>
      <c r="AC53" s="263"/>
      <c r="AD53" s="263"/>
      <c r="AE53" s="263"/>
      <c r="AF53" s="263"/>
      <c r="AG53" s="263"/>
      <c r="AH53" s="263"/>
      <c r="AI53" s="263"/>
      <c r="AJ53" s="263"/>
      <c r="AK53" s="263"/>
      <c r="AL53" s="263"/>
      <c r="AM53" s="263"/>
      <c r="AN53" s="263"/>
      <c r="AO53" s="263"/>
      <c r="AP53" s="263"/>
      <c r="AQ53" s="263"/>
      <c r="AR53" s="263"/>
      <c r="AS53" s="263"/>
      <c r="AT53" s="263"/>
      <c r="AU53" s="263"/>
      <c r="AV53" s="263"/>
      <c r="AW53" s="263"/>
      <c r="AX53" s="263"/>
      <c r="AY53" s="263"/>
      <c r="AZ53" s="263"/>
      <c r="BA53" s="263"/>
      <c r="BB53" s="263"/>
      <c r="BC53" s="263"/>
      <c r="BD53" s="263"/>
      <c r="BE53" s="263"/>
      <c r="BF53" s="263"/>
      <c r="BG53" s="263"/>
      <c r="BH53" s="263"/>
      <c r="BI53" s="263"/>
      <c r="BJ53" s="263"/>
      <c r="BK53" s="263"/>
      <c r="BL53" s="263"/>
      <c r="BM53" s="263"/>
      <c r="BN53" s="263"/>
      <c r="BO53" s="263"/>
      <c r="BP53" s="263"/>
      <c r="BQ53" s="263"/>
      <c r="BR53" s="263"/>
      <c r="BS53" s="263"/>
      <c r="BT53" s="263"/>
      <c r="BU53" s="263"/>
      <c r="BV53" s="263"/>
      <c r="BW53" s="263"/>
      <c r="BX53" s="263"/>
      <c r="BY53" s="263"/>
      <c r="BZ53" s="263"/>
      <c r="CA53" s="263"/>
      <c r="CB53" s="263"/>
      <c r="CC53" s="263"/>
      <c r="CD53" s="263"/>
      <c r="CE53" s="263"/>
      <c r="CF53" s="263"/>
      <c r="CG53" s="263"/>
      <c r="CH53" s="263"/>
      <c r="CI53" s="263"/>
      <c r="CJ53" s="263"/>
      <c r="CK53" s="263"/>
      <c r="CL53" s="263"/>
      <c r="CM53" s="263"/>
      <c r="CN53" s="263"/>
      <c r="CO53" s="263"/>
      <c r="CP53" s="263"/>
      <c r="CQ53" s="263"/>
      <c r="CR53" s="263"/>
      <c r="CS53" s="263"/>
      <c r="CT53" s="263"/>
      <c r="CU53" s="263"/>
      <c r="CV53" s="263"/>
      <c r="CW53" s="263"/>
      <c r="CX53" s="263"/>
      <c r="CY53" s="263"/>
      <c r="CZ53" s="263"/>
      <c r="DA53" s="263"/>
      <c r="DB53" s="263"/>
      <c r="DC53" s="263"/>
      <c r="DD53" s="263"/>
      <c r="DE53" s="263"/>
      <c r="DF53" s="263"/>
      <c r="DG53" s="263"/>
      <c r="DH53" s="263"/>
      <c r="DI53" s="263"/>
      <c r="DJ53" s="263"/>
      <c r="DK53" s="263"/>
      <c r="DL53" s="263"/>
      <c r="DM53" s="263"/>
      <c r="DN53" s="263"/>
      <c r="DO53" s="263"/>
      <c r="DP53" s="263"/>
      <c r="DQ53" s="263"/>
      <c r="DR53" s="263"/>
      <c r="DS53" s="263"/>
      <c r="DT53" s="263"/>
      <c r="DU53" s="263"/>
      <c r="DV53" s="263"/>
      <c r="DW53" s="263"/>
      <c r="DX53" s="263"/>
      <c r="DY53" s="263"/>
      <c r="DZ53" s="263"/>
      <c r="EA53" s="263"/>
      <c r="EB53" s="263"/>
      <c r="EC53" s="263"/>
      <c r="ED53" s="263"/>
      <c r="EE53" s="263"/>
      <c r="EF53" s="263"/>
      <c r="EG53" s="263"/>
      <c r="EH53" s="263"/>
      <c r="EI53" s="263"/>
      <c r="EJ53" s="263"/>
      <c r="EK53" s="263"/>
      <c r="EL53" s="263"/>
      <c r="EM53" s="263"/>
      <c r="EN53" s="263"/>
      <c r="EO53" s="263"/>
      <c r="EP53" s="263"/>
      <c r="EQ53" s="263"/>
      <c r="ER53" s="263"/>
      <c r="ES53" s="263"/>
      <c r="ET53" s="263"/>
      <c r="EU53" s="263"/>
      <c r="EV53" s="263"/>
      <c r="EW53" s="263"/>
      <c r="EX53" s="263"/>
      <c r="EY53" s="263"/>
      <c r="EZ53" s="263"/>
      <c r="FA53" s="263"/>
      <c r="FB53" s="263"/>
      <c r="FC53" s="263"/>
      <c r="FD53" s="263"/>
      <c r="FE53" s="263"/>
      <c r="FF53" s="263"/>
      <c r="FG53" s="263"/>
      <c r="FH53" s="263"/>
      <c r="FI53" s="263"/>
      <c r="FJ53" s="263"/>
      <c r="FK53" s="263"/>
      <c r="FL53" s="263"/>
      <c r="FM53" s="263"/>
      <c r="FN53" s="263"/>
      <c r="FO53" s="263"/>
      <c r="FP53" s="263"/>
      <c r="FQ53" s="263"/>
      <c r="FR53" s="263"/>
      <c r="FS53" s="263"/>
      <c r="FT53" s="263"/>
      <c r="FU53" s="263"/>
      <c r="FV53" s="263"/>
      <c r="FW53" s="263"/>
      <c r="FX53" s="263"/>
      <c r="FY53" s="263"/>
      <c r="FZ53" s="263"/>
      <c r="GA53" s="263"/>
      <c r="GB53" s="263"/>
      <c r="GC53" s="263"/>
      <c r="GD53" s="263"/>
      <c r="GE53" s="263"/>
      <c r="GF53" s="263"/>
      <c r="GG53" s="263"/>
      <c r="GH53" s="263"/>
      <c r="GI53" s="263"/>
      <c r="GJ53" s="263"/>
      <c r="GK53" s="263"/>
      <c r="GL53" s="263"/>
      <c r="GM53" s="263"/>
      <c r="GN53" s="263"/>
      <c r="GO53" s="263"/>
      <c r="GP53" s="263"/>
      <c r="GQ53" s="263"/>
      <c r="GR53" s="263"/>
      <c r="GS53" s="263"/>
      <c r="GT53" s="263"/>
      <c r="GU53" s="263"/>
      <c r="GV53" s="263"/>
      <c r="GW53" s="263"/>
      <c r="GX53" s="263"/>
      <c r="GY53" s="263"/>
      <c r="GZ53" s="263"/>
      <c r="HA53" s="263"/>
      <c r="HB53" s="263"/>
      <c r="HC53" s="263"/>
      <c r="HD53" s="263"/>
      <c r="HE53" s="263"/>
      <c r="HF53" s="263"/>
      <c r="HG53" s="263"/>
      <c r="HH53" s="263"/>
      <c r="HI53" s="263"/>
      <c r="HJ53" s="263"/>
      <c r="HK53" s="263"/>
      <c r="HL53" s="263"/>
      <c r="HM53" s="263"/>
      <c r="HN53" s="263"/>
      <c r="HO53" s="263"/>
      <c r="HP53" s="263"/>
      <c r="HQ53" s="263"/>
      <c r="HR53" s="263"/>
      <c r="HS53" s="263"/>
      <c r="HT53" s="263"/>
      <c r="HU53" s="263"/>
      <c r="HV53" s="263"/>
      <c r="HW53" s="263"/>
      <c r="HX53" s="263"/>
      <c r="HY53" s="263"/>
      <c r="HZ53" s="263"/>
      <c r="IA53" s="263"/>
      <c r="IB53" s="263"/>
      <c r="IC53" s="263"/>
      <c r="ID53" s="263"/>
      <c r="IE53" s="263"/>
      <c r="IF53" s="263"/>
      <c r="IG53" s="263"/>
      <c r="IH53" s="263"/>
      <c r="II53" s="263"/>
      <c r="IJ53" s="263"/>
      <c r="IK53" s="263"/>
      <c r="IL53" s="263"/>
      <c r="IM53" s="263"/>
      <c r="IN53" s="263"/>
      <c r="IO53" s="263"/>
      <c r="IP53" s="263"/>
      <c r="IQ53" s="263"/>
      <c r="IR53" s="263"/>
      <c r="IS53" s="263"/>
      <c r="IT53" s="263"/>
      <c r="IU53" s="263"/>
    </row>
    <row r="54" spans="1:255" ht="15.6">
      <c r="A54" s="263"/>
      <c r="B54" s="263"/>
      <c r="C54" s="275"/>
      <c r="D54" s="275"/>
      <c r="E54" s="275"/>
      <c r="F54" s="275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5"/>
      <c r="R54" s="275"/>
      <c r="S54" s="275"/>
      <c r="T54" s="275"/>
      <c r="U54" s="275"/>
      <c r="V54" s="275"/>
      <c r="W54" s="263"/>
      <c r="X54" s="263"/>
      <c r="Y54" s="263"/>
      <c r="Z54" s="263"/>
      <c r="AA54" s="263"/>
      <c r="AB54" s="263"/>
      <c r="AC54" s="263"/>
      <c r="AD54" s="263"/>
      <c r="AE54" s="263"/>
      <c r="AF54" s="263"/>
      <c r="AG54" s="263"/>
      <c r="AH54" s="263"/>
      <c r="AI54" s="263"/>
      <c r="AJ54" s="263"/>
      <c r="AK54" s="263"/>
      <c r="AL54" s="263"/>
      <c r="AM54" s="263"/>
      <c r="AN54" s="263"/>
      <c r="AO54" s="263"/>
      <c r="AP54" s="263"/>
      <c r="AQ54" s="263"/>
      <c r="AR54" s="263"/>
      <c r="AS54" s="263"/>
      <c r="AT54" s="263"/>
      <c r="AU54" s="263"/>
      <c r="AV54" s="263"/>
      <c r="AW54" s="263"/>
      <c r="AX54" s="263"/>
      <c r="AY54" s="263"/>
      <c r="AZ54" s="263"/>
      <c r="BA54" s="263"/>
      <c r="BB54" s="263"/>
      <c r="BC54" s="263"/>
      <c r="BD54" s="263"/>
      <c r="BE54" s="263"/>
      <c r="BF54" s="263"/>
      <c r="BG54" s="263"/>
      <c r="BH54" s="263"/>
      <c r="BI54" s="263"/>
      <c r="BJ54" s="263"/>
      <c r="BK54" s="263"/>
      <c r="BL54" s="263"/>
      <c r="BM54" s="263"/>
      <c r="BN54" s="263"/>
      <c r="BO54" s="263"/>
      <c r="BP54" s="263"/>
      <c r="BQ54" s="263"/>
      <c r="BR54" s="263"/>
      <c r="BS54" s="263"/>
      <c r="BT54" s="263"/>
      <c r="BU54" s="263"/>
      <c r="BV54" s="263"/>
      <c r="BW54" s="263"/>
      <c r="BX54" s="263"/>
      <c r="BY54" s="263"/>
      <c r="BZ54" s="263"/>
      <c r="CA54" s="263"/>
      <c r="CB54" s="263"/>
      <c r="CC54" s="263"/>
      <c r="CD54" s="263"/>
      <c r="CE54" s="263"/>
      <c r="CF54" s="263"/>
      <c r="CG54" s="263"/>
      <c r="CH54" s="263"/>
      <c r="CI54" s="263"/>
      <c r="CJ54" s="263"/>
      <c r="CK54" s="263"/>
      <c r="CL54" s="263"/>
      <c r="CM54" s="263"/>
      <c r="CN54" s="263"/>
      <c r="CO54" s="263"/>
      <c r="CP54" s="263"/>
      <c r="CQ54" s="263"/>
      <c r="CR54" s="263"/>
      <c r="CS54" s="263"/>
      <c r="CT54" s="263"/>
      <c r="CU54" s="263"/>
      <c r="CV54" s="263"/>
      <c r="CW54" s="263"/>
      <c r="CX54" s="263"/>
      <c r="CY54" s="263"/>
      <c r="CZ54" s="263"/>
      <c r="DA54" s="263"/>
      <c r="DB54" s="263"/>
      <c r="DC54" s="263"/>
      <c r="DD54" s="263"/>
      <c r="DE54" s="263"/>
      <c r="DF54" s="263"/>
      <c r="DG54" s="263"/>
      <c r="DH54" s="263"/>
      <c r="DI54" s="263"/>
      <c r="DJ54" s="263"/>
      <c r="DK54" s="263"/>
      <c r="DL54" s="263"/>
      <c r="DM54" s="263"/>
      <c r="DN54" s="263"/>
      <c r="DO54" s="263"/>
      <c r="DP54" s="263"/>
      <c r="DQ54" s="263"/>
      <c r="DR54" s="263"/>
      <c r="DS54" s="263"/>
      <c r="DT54" s="263"/>
      <c r="DU54" s="263"/>
      <c r="DV54" s="263"/>
      <c r="DW54" s="263"/>
      <c r="DX54" s="263"/>
      <c r="DY54" s="263"/>
      <c r="DZ54" s="263"/>
      <c r="EA54" s="263"/>
      <c r="EB54" s="263"/>
      <c r="EC54" s="263"/>
      <c r="ED54" s="263"/>
      <c r="EE54" s="263"/>
      <c r="EF54" s="263"/>
      <c r="EG54" s="263"/>
      <c r="EH54" s="263"/>
      <c r="EI54" s="263"/>
      <c r="EJ54" s="263"/>
      <c r="EK54" s="263"/>
      <c r="EL54" s="263"/>
      <c r="EM54" s="263"/>
      <c r="EN54" s="263"/>
      <c r="EO54" s="263"/>
      <c r="EP54" s="263"/>
      <c r="EQ54" s="263"/>
      <c r="ER54" s="263"/>
      <c r="ES54" s="263"/>
      <c r="ET54" s="263"/>
      <c r="EU54" s="263"/>
      <c r="EV54" s="263"/>
      <c r="EW54" s="263"/>
      <c r="EX54" s="263"/>
      <c r="EY54" s="263"/>
      <c r="EZ54" s="263"/>
      <c r="FA54" s="263"/>
      <c r="FB54" s="263"/>
      <c r="FC54" s="263"/>
      <c r="FD54" s="263"/>
      <c r="FE54" s="263"/>
      <c r="FF54" s="263"/>
      <c r="FG54" s="263"/>
      <c r="FH54" s="263"/>
      <c r="FI54" s="263"/>
      <c r="FJ54" s="263"/>
      <c r="FK54" s="263"/>
      <c r="FL54" s="263"/>
      <c r="FM54" s="263"/>
      <c r="FN54" s="263"/>
      <c r="FO54" s="263"/>
      <c r="FP54" s="263"/>
      <c r="FQ54" s="263"/>
      <c r="FR54" s="263"/>
      <c r="FS54" s="263"/>
      <c r="FT54" s="263"/>
      <c r="FU54" s="263"/>
      <c r="FV54" s="263"/>
      <c r="FW54" s="263"/>
      <c r="FX54" s="263"/>
      <c r="FY54" s="263"/>
      <c r="FZ54" s="263"/>
      <c r="GA54" s="263"/>
      <c r="GB54" s="263"/>
      <c r="GC54" s="263"/>
      <c r="GD54" s="263"/>
      <c r="GE54" s="263"/>
      <c r="GF54" s="263"/>
      <c r="GG54" s="263"/>
      <c r="GH54" s="263"/>
      <c r="GI54" s="263"/>
      <c r="GJ54" s="263"/>
      <c r="GK54" s="263"/>
      <c r="GL54" s="263"/>
      <c r="GM54" s="263"/>
      <c r="GN54" s="263"/>
      <c r="GO54" s="263"/>
      <c r="GP54" s="263"/>
      <c r="GQ54" s="263"/>
      <c r="GR54" s="263"/>
      <c r="GS54" s="263"/>
      <c r="GT54" s="263"/>
      <c r="GU54" s="263"/>
      <c r="GV54" s="263"/>
      <c r="GW54" s="263"/>
      <c r="GX54" s="263"/>
      <c r="GY54" s="263"/>
      <c r="GZ54" s="263"/>
      <c r="HA54" s="263"/>
      <c r="HB54" s="263"/>
      <c r="HC54" s="263"/>
      <c r="HD54" s="263"/>
      <c r="HE54" s="263"/>
      <c r="HF54" s="263"/>
      <c r="HG54" s="263"/>
      <c r="HH54" s="263"/>
      <c r="HI54" s="263"/>
      <c r="HJ54" s="263"/>
      <c r="HK54" s="263"/>
      <c r="HL54" s="263"/>
      <c r="HM54" s="263"/>
      <c r="HN54" s="263"/>
      <c r="HO54" s="263"/>
      <c r="HP54" s="263"/>
      <c r="HQ54" s="263"/>
      <c r="HR54" s="263"/>
      <c r="HS54" s="263"/>
      <c r="HT54" s="263"/>
      <c r="HU54" s="263"/>
      <c r="HV54" s="263"/>
      <c r="HW54" s="263"/>
      <c r="HX54" s="263"/>
      <c r="HY54" s="263"/>
      <c r="HZ54" s="263"/>
      <c r="IA54" s="263"/>
      <c r="IB54" s="263"/>
      <c r="IC54" s="263"/>
      <c r="ID54" s="263"/>
      <c r="IE54" s="263"/>
      <c r="IF54" s="263"/>
      <c r="IG54" s="263"/>
      <c r="IH54" s="263"/>
      <c r="II54" s="263"/>
      <c r="IJ54" s="263"/>
      <c r="IK54" s="263"/>
      <c r="IL54" s="263"/>
      <c r="IM54" s="263"/>
      <c r="IN54" s="263"/>
      <c r="IO54" s="263"/>
      <c r="IP54" s="263"/>
      <c r="IQ54" s="263"/>
      <c r="IR54" s="263"/>
      <c r="IS54" s="263"/>
      <c r="IT54" s="263"/>
      <c r="IU54" s="263"/>
    </row>
    <row r="55" spans="1:255" ht="15.6">
      <c r="A55" s="263" t="s">
        <v>275</v>
      </c>
      <c r="B55" s="263"/>
      <c r="C55" s="275">
        <f>'ASSUM 2'!$E$26*10^3</f>
        <v>250</v>
      </c>
      <c r="D55" s="275">
        <f>'ASSUM 2'!$E$26*10^3</f>
        <v>250</v>
      </c>
      <c r="E55" s="275">
        <f>'ASSUM 2'!$E$26*10^3</f>
        <v>250</v>
      </c>
      <c r="F55" s="275">
        <f>'ASSUM 2'!$E$26*10^3</f>
        <v>250</v>
      </c>
      <c r="G55" s="275">
        <f>'ASSUM 2'!$E$26*10^3</f>
        <v>250</v>
      </c>
      <c r="H55" s="275">
        <f>'ASSUM 2'!$E$26*10^3</f>
        <v>250</v>
      </c>
      <c r="I55" s="275">
        <f>'ASSUM 2'!$E$26*10^3</f>
        <v>250</v>
      </c>
      <c r="J55" s="275">
        <f>'ASSUM 2'!$E$26*10^3</f>
        <v>250</v>
      </c>
      <c r="K55" s="275">
        <f>'ASSUM 2'!$E$26*10^3</f>
        <v>250</v>
      </c>
      <c r="L55" s="275">
        <f>'ASSUM 2'!$E$26*10^3</f>
        <v>250</v>
      </c>
      <c r="M55" s="275">
        <f>'ASSUM 2'!$E$26*10^3</f>
        <v>250</v>
      </c>
      <c r="N55" s="275">
        <f>'ASSUM 2'!$E$26*10^3</f>
        <v>250</v>
      </c>
      <c r="O55" s="275">
        <f>'ASSUM 2'!$E$26*10^3</f>
        <v>250</v>
      </c>
      <c r="P55" s="275">
        <f>'ASSUM 2'!$E$26*10^3</f>
        <v>250</v>
      </c>
      <c r="Q55" s="275">
        <f>'ASSUM 2'!$E$26*10^3</f>
        <v>250</v>
      </c>
      <c r="R55" s="275">
        <f>'ASSUM 2'!$E$26*10^3</f>
        <v>250</v>
      </c>
      <c r="S55" s="275">
        <f>'ASSUM 2'!$E$26*10^3</f>
        <v>250</v>
      </c>
      <c r="T55" s="275">
        <f>'ASSUM 2'!$E$26*10^3</f>
        <v>250</v>
      </c>
      <c r="U55" s="275">
        <f>'ASSUM 2'!$E$26*10^3</f>
        <v>250</v>
      </c>
      <c r="V55" s="275">
        <f>'ASSUM 2'!$E$26*10^3</f>
        <v>250</v>
      </c>
      <c r="W55" s="263"/>
      <c r="X55" s="263"/>
      <c r="Y55" s="263"/>
      <c r="Z55" s="263"/>
      <c r="AA55" s="263"/>
      <c r="AB55" s="263"/>
      <c r="AC55" s="263"/>
      <c r="AD55" s="263"/>
      <c r="AE55" s="263"/>
      <c r="AF55" s="263"/>
      <c r="AG55" s="263"/>
      <c r="AH55" s="263"/>
      <c r="AI55" s="263"/>
      <c r="AJ55" s="263"/>
      <c r="AK55" s="263"/>
      <c r="AL55" s="263"/>
      <c r="AM55" s="263"/>
      <c r="AN55" s="263"/>
      <c r="AO55" s="263"/>
      <c r="AP55" s="263"/>
      <c r="AQ55" s="263"/>
      <c r="AR55" s="263"/>
      <c r="AS55" s="263"/>
      <c r="AT55" s="263"/>
      <c r="AU55" s="263"/>
      <c r="AV55" s="263"/>
      <c r="AW55" s="263"/>
      <c r="AX55" s="263"/>
      <c r="AY55" s="263"/>
      <c r="AZ55" s="263"/>
      <c r="BA55" s="263"/>
      <c r="BB55" s="263"/>
      <c r="BC55" s="263"/>
      <c r="BD55" s="263"/>
      <c r="BE55" s="263"/>
      <c r="BF55" s="263"/>
      <c r="BG55" s="263"/>
      <c r="BH55" s="263"/>
      <c r="BI55" s="263"/>
      <c r="BJ55" s="263"/>
      <c r="BK55" s="263"/>
      <c r="BL55" s="263"/>
      <c r="BM55" s="263"/>
      <c r="BN55" s="263"/>
      <c r="BO55" s="263"/>
      <c r="BP55" s="263"/>
      <c r="BQ55" s="263"/>
      <c r="BR55" s="263"/>
      <c r="BS55" s="263"/>
      <c r="BT55" s="263"/>
      <c r="BU55" s="263"/>
      <c r="BV55" s="263"/>
      <c r="BW55" s="263"/>
      <c r="BX55" s="263"/>
      <c r="BY55" s="263"/>
      <c r="BZ55" s="263"/>
      <c r="CA55" s="263"/>
      <c r="CB55" s="263"/>
      <c r="CC55" s="263"/>
      <c r="CD55" s="263"/>
      <c r="CE55" s="263"/>
      <c r="CF55" s="263"/>
      <c r="CG55" s="263"/>
      <c r="CH55" s="263"/>
      <c r="CI55" s="263"/>
      <c r="CJ55" s="263"/>
      <c r="CK55" s="263"/>
      <c r="CL55" s="263"/>
      <c r="CM55" s="263"/>
      <c r="CN55" s="263"/>
      <c r="CO55" s="263"/>
      <c r="CP55" s="263"/>
      <c r="CQ55" s="263"/>
      <c r="CR55" s="263"/>
      <c r="CS55" s="263"/>
      <c r="CT55" s="263"/>
      <c r="CU55" s="263"/>
      <c r="CV55" s="263"/>
      <c r="CW55" s="263"/>
      <c r="CX55" s="263"/>
      <c r="CY55" s="263"/>
      <c r="CZ55" s="263"/>
      <c r="DA55" s="263"/>
      <c r="DB55" s="263"/>
      <c r="DC55" s="263"/>
      <c r="DD55" s="263"/>
      <c r="DE55" s="263"/>
      <c r="DF55" s="263"/>
      <c r="DG55" s="263"/>
      <c r="DH55" s="263"/>
      <c r="DI55" s="263"/>
      <c r="DJ55" s="263"/>
      <c r="DK55" s="263"/>
      <c r="DL55" s="263"/>
      <c r="DM55" s="263"/>
      <c r="DN55" s="263"/>
      <c r="DO55" s="263"/>
      <c r="DP55" s="263"/>
      <c r="DQ55" s="263"/>
      <c r="DR55" s="263"/>
      <c r="DS55" s="263"/>
      <c r="DT55" s="263"/>
      <c r="DU55" s="263"/>
      <c r="DV55" s="263"/>
      <c r="DW55" s="263"/>
      <c r="DX55" s="263"/>
      <c r="DY55" s="263"/>
      <c r="DZ55" s="263"/>
      <c r="EA55" s="263"/>
      <c r="EB55" s="263"/>
      <c r="EC55" s="263"/>
      <c r="ED55" s="263"/>
      <c r="EE55" s="263"/>
      <c r="EF55" s="263"/>
      <c r="EG55" s="263"/>
      <c r="EH55" s="263"/>
      <c r="EI55" s="263"/>
      <c r="EJ55" s="263"/>
      <c r="EK55" s="263"/>
      <c r="EL55" s="263"/>
      <c r="EM55" s="263"/>
      <c r="EN55" s="263"/>
      <c r="EO55" s="263"/>
      <c r="EP55" s="263"/>
      <c r="EQ55" s="263"/>
      <c r="ER55" s="263"/>
      <c r="ES55" s="263"/>
      <c r="ET55" s="263"/>
      <c r="EU55" s="263"/>
      <c r="EV55" s="263"/>
      <c r="EW55" s="263"/>
      <c r="EX55" s="263"/>
      <c r="EY55" s="263"/>
      <c r="EZ55" s="263"/>
      <c r="FA55" s="263"/>
      <c r="FB55" s="263"/>
      <c r="FC55" s="263"/>
      <c r="FD55" s="263"/>
      <c r="FE55" s="263"/>
      <c r="FF55" s="263"/>
      <c r="FG55" s="263"/>
      <c r="FH55" s="263"/>
      <c r="FI55" s="263"/>
      <c r="FJ55" s="263"/>
      <c r="FK55" s="263"/>
      <c r="FL55" s="263"/>
      <c r="FM55" s="263"/>
      <c r="FN55" s="263"/>
      <c r="FO55" s="263"/>
      <c r="FP55" s="263"/>
      <c r="FQ55" s="263"/>
      <c r="FR55" s="263"/>
      <c r="FS55" s="263"/>
      <c r="FT55" s="263"/>
      <c r="FU55" s="263"/>
      <c r="FV55" s="263"/>
      <c r="FW55" s="263"/>
      <c r="FX55" s="263"/>
      <c r="FY55" s="263"/>
      <c r="FZ55" s="263"/>
      <c r="GA55" s="263"/>
      <c r="GB55" s="263"/>
      <c r="GC55" s="263"/>
      <c r="GD55" s="263"/>
      <c r="GE55" s="263"/>
      <c r="GF55" s="263"/>
      <c r="GG55" s="263"/>
      <c r="GH55" s="263"/>
      <c r="GI55" s="263"/>
      <c r="GJ55" s="263"/>
      <c r="GK55" s="263"/>
      <c r="GL55" s="263"/>
      <c r="GM55" s="263"/>
      <c r="GN55" s="263"/>
      <c r="GO55" s="263"/>
      <c r="GP55" s="263"/>
      <c r="GQ55" s="263"/>
      <c r="GR55" s="263"/>
      <c r="GS55" s="263"/>
      <c r="GT55" s="263"/>
      <c r="GU55" s="263"/>
      <c r="GV55" s="263"/>
      <c r="GW55" s="263"/>
      <c r="GX55" s="263"/>
      <c r="GY55" s="263"/>
      <c r="GZ55" s="263"/>
      <c r="HA55" s="263"/>
      <c r="HB55" s="263"/>
      <c r="HC55" s="263"/>
      <c r="HD55" s="263"/>
      <c r="HE55" s="263"/>
      <c r="HF55" s="263"/>
      <c r="HG55" s="263"/>
      <c r="HH55" s="263"/>
      <c r="HI55" s="263"/>
      <c r="HJ55" s="263"/>
      <c r="HK55" s="263"/>
      <c r="HL55" s="263"/>
      <c r="HM55" s="263"/>
      <c r="HN55" s="263"/>
      <c r="HO55" s="263"/>
      <c r="HP55" s="263"/>
      <c r="HQ55" s="263"/>
      <c r="HR55" s="263"/>
      <c r="HS55" s="263"/>
      <c r="HT55" s="263"/>
      <c r="HU55" s="263"/>
      <c r="HV55" s="263"/>
      <c r="HW55" s="263"/>
      <c r="HX55" s="263"/>
      <c r="HY55" s="263"/>
      <c r="HZ55" s="263"/>
      <c r="IA55" s="263"/>
      <c r="IB55" s="263"/>
      <c r="IC55" s="263"/>
      <c r="ID55" s="263"/>
      <c r="IE55" s="263"/>
      <c r="IF55" s="263"/>
      <c r="IG55" s="263"/>
      <c r="IH55" s="263"/>
      <c r="II55" s="263"/>
      <c r="IJ55" s="263"/>
      <c r="IK55" s="263"/>
      <c r="IL55" s="263"/>
      <c r="IM55" s="263"/>
      <c r="IN55" s="263"/>
      <c r="IO55" s="263"/>
      <c r="IP55" s="263"/>
      <c r="IQ55" s="263"/>
      <c r="IR55" s="263"/>
      <c r="IS55" s="263"/>
      <c r="IT55" s="263"/>
      <c r="IU55" s="263"/>
    </row>
    <row r="56" spans="1:255" ht="15.6">
      <c r="A56" s="263" t="s">
        <v>276</v>
      </c>
      <c r="B56" s="263"/>
      <c r="C56" s="277">
        <f>[0]!_XX1/100</f>
        <v>7.4999999999999997E-3</v>
      </c>
      <c r="D56" s="277">
        <f>[0]!_XX1/100</f>
        <v>7.4999999999999997E-3</v>
      </c>
      <c r="E56" s="277">
        <f>[0]!_XX1/100</f>
        <v>7.4999999999999997E-3</v>
      </c>
      <c r="F56" s="277">
        <f>[0]!_XX1/100</f>
        <v>7.4999999999999997E-3</v>
      </c>
      <c r="G56" s="277">
        <f>[0]!_XX1/100</f>
        <v>7.4999999999999997E-3</v>
      </c>
      <c r="H56" s="277">
        <f>[0]!_XX1/100</f>
        <v>7.4999999999999997E-3</v>
      </c>
      <c r="I56" s="277">
        <f>[0]!_XX1/100</f>
        <v>7.4999999999999997E-3</v>
      </c>
      <c r="J56" s="277">
        <f>[0]!_XX1/100</f>
        <v>7.4999999999999997E-3</v>
      </c>
      <c r="K56" s="277">
        <f>[0]!_XX1/100</f>
        <v>7.4999999999999997E-3</v>
      </c>
      <c r="L56" s="277">
        <f>[0]!_XX1/100</f>
        <v>7.4999999999999997E-3</v>
      </c>
      <c r="M56" s="277">
        <f>[0]!_XX1/100</f>
        <v>7.4999999999999997E-3</v>
      </c>
      <c r="N56" s="277">
        <f>[0]!_XX1/100</f>
        <v>7.4999999999999997E-3</v>
      </c>
      <c r="O56" s="277">
        <f>[0]!_XX1/100</f>
        <v>7.4999999999999997E-3</v>
      </c>
      <c r="P56" s="277">
        <f>[0]!_XX1/100</f>
        <v>7.4999999999999997E-3</v>
      </c>
      <c r="Q56" s="277">
        <f>[0]!_XX1/100</f>
        <v>7.4999999999999997E-3</v>
      </c>
      <c r="R56" s="277">
        <f>[0]!_XX1/100</f>
        <v>7.4999999999999997E-3</v>
      </c>
      <c r="S56" s="277">
        <f>[0]!_XX1/100</f>
        <v>7.4999999999999997E-3</v>
      </c>
      <c r="T56" s="277">
        <f>[0]!_XX1/100</f>
        <v>7.4999999999999997E-3</v>
      </c>
      <c r="U56" s="277">
        <f>[0]!_XX1/100</f>
        <v>7.4999999999999997E-3</v>
      </c>
      <c r="V56" s="277">
        <f>[0]!_XX1/100</f>
        <v>7.4999999999999997E-3</v>
      </c>
      <c r="W56" s="263"/>
      <c r="X56" s="263"/>
      <c r="Y56" s="263"/>
      <c r="Z56" s="263"/>
      <c r="AA56" s="263"/>
      <c r="AB56" s="263"/>
      <c r="AC56" s="263"/>
      <c r="AD56" s="263"/>
      <c r="AE56" s="263"/>
      <c r="AF56" s="263"/>
      <c r="AG56" s="263"/>
      <c r="AH56" s="263"/>
      <c r="AI56" s="263"/>
      <c r="AJ56" s="263"/>
      <c r="AK56" s="263"/>
      <c r="AL56" s="263"/>
      <c r="AM56" s="263"/>
      <c r="AN56" s="263"/>
      <c r="AO56" s="263"/>
      <c r="AP56" s="263"/>
      <c r="AQ56" s="263"/>
      <c r="AR56" s="263"/>
      <c r="AS56" s="263"/>
      <c r="AT56" s="263"/>
      <c r="AU56" s="263"/>
      <c r="AV56" s="263"/>
      <c r="AW56" s="263"/>
      <c r="AX56" s="263"/>
      <c r="AY56" s="263"/>
      <c r="AZ56" s="263"/>
      <c r="BA56" s="263"/>
      <c r="BB56" s="263"/>
      <c r="BC56" s="263"/>
      <c r="BD56" s="263"/>
      <c r="BE56" s="263"/>
      <c r="BF56" s="263"/>
      <c r="BG56" s="263"/>
      <c r="BH56" s="263"/>
      <c r="BI56" s="263"/>
      <c r="BJ56" s="263"/>
      <c r="BK56" s="263"/>
      <c r="BL56" s="263"/>
      <c r="BM56" s="263"/>
      <c r="BN56" s="263"/>
      <c r="BO56" s="263"/>
      <c r="BP56" s="263"/>
      <c r="BQ56" s="263"/>
      <c r="BR56" s="263"/>
      <c r="BS56" s="263"/>
      <c r="BT56" s="263"/>
      <c r="BU56" s="263"/>
      <c r="BV56" s="263"/>
      <c r="BW56" s="263"/>
      <c r="BX56" s="263"/>
      <c r="BY56" s="263"/>
      <c r="BZ56" s="263"/>
      <c r="CA56" s="263"/>
      <c r="CB56" s="263"/>
      <c r="CC56" s="263"/>
      <c r="CD56" s="263"/>
      <c r="CE56" s="263"/>
      <c r="CF56" s="263"/>
      <c r="CG56" s="263"/>
      <c r="CH56" s="263"/>
      <c r="CI56" s="263"/>
      <c r="CJ56" s="263"/>
      <c r="CK56" s="263"/>
      <c r="CL56" s="263"/>
      <c r="CM56" s="263"/>
      <c r="CN56" s="263"/>
      <c r="CO56" s="263"/>
      <c r="CP56" s="263"/>
      <c r="CQ56" s="263"/>
      <c r="CR56" s="263"/>
      <c r="CS56" s="263"/>
      <c r="CT56" s="263"/>
      <c r="CU56" s="263"/>
      <c r="CV56" s="263"/>
      <c r="CW56" s="263"/>
      <c r="CX56" s="263"/>
      <c r="CY56" s="263"/>
      <c r="CZ56" s="263"/>
      <c r="DA56" s="263"/>
      <c r="DB56" s="263"/>
      <c r="DC56" s="263"/>
      <c r="DD56" s="263"/>
      <c r="DE56" s="263"/>
      <c r="DF56" s="263"/>
      <c r="DG56" s="263"/>
      <c r="DH56" s="263"/>
      <c r="DI56" s="263"/>
      <c r="DJ56" s="263"/>
      <c r="DK56" s="263"/>
      <c r="DL56" s="263"/>
      <c r="DM56" s="263"/>
      <c r="DN56" s="263"/>
      <c r="DO56" s="263"/>
      <c r="DP56" s="263"/>
      <c r="DQ56" s="263"/>
      <c r="DR56" s="263"/>
      <c r="DS56" s="263"/>
      <c r="DT56" s="263"/>
      <c r="DU56" s="263"/>
      <c r="DV56" s="263"/>
      <c r="DW56" s="263"/>
      <c r="DX56" s="263"/>
      <c r="DY56" s="263"/>
      <c r="DZ56" s="263"/>
      <c r="EA56" s="263"/>
      <c r="EB56" s="263"/>
      <c r="EC56" s="263"/>
      <c r="ED56" s="263"/>
      <c r="EE56" s="263"/>
      <c r="EF56" s="263"/>
      <c r="EG56" s="263"/>
      <c r="EH56" s="263"/>
      <c r="EI56" s="263"/>
      <c r="EJ56" s="263"/>
      <c r="EK56" s="263"/>
      <c r="EL56" s="263"/>
      <c r="EM56" s="263"/>
      <c r="EN56" s="263"/>
      <c r="EO56" s="263"/>
      <c r="EP56" s="263"/>
      <c r="EQ56" s="263"/>
      <c r="ER56" s="263"/>
      <c r="ES56" s="263"/>
      <c r="ET56" s="263"/>
      <c r="EU56" s="263"/>
      <c r="EV56" s="263"/>
      <c r="EW56" s="263"/>
      <c r="EX56" s="263"/>
      <c r="EY56" s="263"/>
      <c r="EZ56" s="263"/>
      <c r="FA56" s="263"/>
      <c r="FB56" s="263"/>
      <c r="FC56" s="263"/>
      <c r="FD56" s="263"/>
      <c r="FE56" s="263"/>
      <c r="FF56" s="263"/>
      <c r="FG56" s="263"/>
      <c r="FH56" s="263"/>
      <c r="FI56" s="263"/>
      <c r="FJ56" s="263"/>
      <c r="FK56" s="263"/>
      <c r="FL56" s="263"/>
      <c r="FM56" s="263"/>
      <c r="FN56" s="263"/>
      <c r="FO56" s="263"/>
      <c r="FP56" s="263"/>
      <c r="FQ56" s="263"/>
      <c r="FR56" s="263"/>
      <c r="FS56" s="263"/>
      <c r="FT56" s="263"/>
      <c r="FU56" s="263"/>
      <c r="FV56" s="263"/>
      <c r="FW56" s="263"/>
      <c r="FX56" s="263"/>
      <c r="FY56" s="263"/>
      <c r="FZ56" s="263"/>
      <c r="GA56" s="263"/>
      <c r="GB56" s="263"/>
      <c r="GC56" s="263"/>
      <c r="GD56" s="263"/>
      <c r="GE56" s="263"/>
      <c r="GF56" s="263"/>
      <c r="GG56" s="263"/>
      <c r="GH56" s="263"/>
      <c r="GI56" s="263"/>
      <c r="GJ56" s="263"/>
      <c r="GK56" s="263"/>
      <c r="GL56" s="263"/>
      <c r="GM56" s="263"/>
      <c r="GN56" s="263"/>
      <c r="GO56" s="263"/>
      <c r="GP56" s="263"/>
      <c r="GQ56" s="263"/>
      <c r="GR56" s="263"/>
      <c r="GS56" s="263"/>
      <c r="GT56" s="263"/>
      <c r="GU56" s="263"/>
      <c r="GV56" s="263"/>
      <c r="GW56" s="263"/>
      <c r="GX56" s="263"/>
      <c r="GY56" s="263"/>
      <c r="GZ56" s="263"/>
      <c r="HA56" s="263"/>
      <c r="HB56" s="263"/>
      <c r="HC56" s="263"/>
      <c r="HD56" s="263"/>
      <c r="HE56" s="263"/>
      <c r="HF56" s="263"/>
      <c r="HG56" s="263"/>
      <c r="HH56" s="263"/>
      <c r="HI56" s="263"/>
      <c r="HJ56" s="263"/>
      <c r="HK56" s="263"/>
      <c r="HL56" s="263"/>
      <c r="HM56" s="263"/>
      <c r="HN56" s="263"/>
      <c r="HO56" s="263"/>
      <c r="HP56" s="263"/>
      <c r="HQ56" s="263"/>
      <c r="HR56" s="263"/>
      <c r="HS56" s="263"/>
      <c r="HT56" s="263"/>
      <c r="HU56" s="263"/>
      <c r="HV56" s="263"/>
      <c r="HW56" s="263"/>
      <c r="HX56" s="263"/>
      <c r="HY56" s="263"/>
      <c r="HZ56" s="263"/>
      <c r="IA56" s="263"/>
      <c r="IB56" s="263"/>
      <c r="IC56" s="263"/>
      <c r="ID56" s="263"/>
      <c r="IE56" s="263"/>
      <c r="IF56" s="263"/>
      <c r="IG56" s="263"/>
      <c r="IH56" s="263"/>
      <c r="II56" s="263"/>
      <c r="IJ56" s="263"/>
      <c r="IK56" s="263"/>
      <c r="IL56" s="263"/>
      <c r="IM56" s="263"/>
      <c r="IN56" s="263"/>
      <c r="IO56" s="263"/>
      <c r="IP56" s="263"/>
      <c r="IQ56" s="263"/>
      <c r="IR56" s="263"/>
      <c r="IS56" s="263"/>
      <c r="IT56" s="263"/>
      <c r="IU56" s="263"/>
    </row>
    <row r="57" spans="1:255" ht="15.6">
      <c r="A57" s="263" t="s">
        <v>271</v>
      </c>
      <c r="B57" s="263"/>
      <c r="C57" s="275">
        <f t="shared" ref="C57:V57" si="12">C55*C56</f>
        <v>1.875</v>
      </c>
      <c r="D57" s="275">
        <f t="shared" si="12"/>
        <v>1.875</v>
      </c>
      <c r="E57" s="275">
        <f t="shared" si="12"/>
        <v>1.875</v>
      </c>
      <c r="F57" s="275">
        <f t="shared" si="12"/>
        <v>1.875</v>
      </c>
      <c r="G57" s="275">
        <f t="shared" si="12"/>
        <v>1.875</v>
      </c>
      <c r="H57" s="275">
        <f t="shared" si="12"/>
        <v>1.875</v>
      </c>
      <c r="I57" s="275">
        <f t="shared" si="12"/>
        <v>1.875</v>
      </c>
      <c r="J57" s="275">
        <f t="shared" si="12"/>
        <v>1.875</v>
      </c>
      <c r="K57" s="275">
        <f t="shared" si="12"/>
        <v>1.875</v>
      </c>
      <c r="L57" s="275">
        <f t="shared" si="12"/>
        <v>1.875</v>
      </c>
      <c r="M57" s="275">
        <f t="shared" si="12"/>
        <v>1.875</v>
      </c>
      <c r="N57" s="275">
        <f t="shared" si="12"/>
        <v>1.875</v>
      </c>
      <c r="O57" s="275">
        <f t="shared" si="12"/>
        <v>1.875</v>
      </c>
      <c r="P57" s="275">
        <f t="shared" si="12"/>
        <v>1.875</v>
      </c>
      <c r="Q57" s="275">
        <f t="shared" si="12"/>
        <v>1.875</v>
      </c>
      <c r="R57" s="275">
        <f t="shared" si="12"/>
        <v>1.875</v>
      </c>
      <c r="S57" s="275">
        <f t="shared" si="12"/>
        <v>1.875</v>
      </c>
      <c r="T57" s="275">
        <f t="shared" si="12"/>
        <v>1.875</v>
      </c>
      <c r="U57" s="275">
        <f t="shared" si="12"/>
        <v>1.875</v>
      </c>
      <c r="V57" s="275">
        <f t="shared" si="12"/>
        <v>1.875</v>
      </c>
      <c r="W57" s="263"/>
      <c r="X57" s="263"/>
      <c r="Y57" s="263"/>
      <c r="Z57" s="263"/>
      <c r="AA57" s="263"/>
      <c r="AB57" s="263"/>
      <c r="AC57" s="263"/>
      <c r="AD57" s="263"/>
      <c r="AE57" s="263"/>
      <c r="AF57" s="263"/>
      <c r="AG57" s="263"/>
      <c r="AH57" s="263"/>
      <c r="AI57" s="263"/>
      <c r="AJ57" s="263"/>
      <c r="AK57" s="263"/>
      <c r="AL57" s="263"/>
      <c r="AM57" s="263"/>
      <c r="AN57" s="263"/>
      <c r="AO57" s="263"/>
      <c r="AP57" s="263"/>
      <c r="AQ57" s="263"/>
      <c r="AR57" s="263"/>
      <c r="AS57" s="263"/>
      <c r="AT57" s="263"/>
      <c r="AU57" s="263"/>
      <c r="AV57" s="263"/>
      <c r="AW57" s="263"/>
      <c r="AX57" s="263"/>
      <c r="AY57" s="263"/>
      <c r="AZ57" s="263"/>
      <c r="BA57" s="263"/>
      <c r="BB57" s="263"/>
      <c r="BC57" s="263"/>
      <c r="BD57" s="263"/>
      <c r="BE57" s="263"/>
      <c r="BF57" s="263"/>
      <c r="BG57" s="263"/>
      <c r="BH57" s="263"/>
      <c r="BI57" s="263"/>
      <c r="BJ57" s="263"/>
      <c r="BK57" s="263"/>
      <c r="BL57" s="263"/>
      <c r="BM57" s="263"/>
      <c r="BN57" s="263"/>
      <c r="BO57" s="263"/>
      <c r="BP57" s="263"/>
      <c r="BQ57" s="263"/>
      <c r="BR57" s="263"/>
      <c r="BS57" s="263"/>
      <c r="BT57" s="263"/>
      <c r="BU57" s="263"/>
      <c r="BV57" s="263"/>
      <c r="BW57" s="263"/>
      <c r="BX57" s="263"/>
      <c r="BY57" s="263"/>
      <c r="BZ57" s="263"/>
      <c r="CA57" s="263"/>
      <c r="CB57" s="263"/>
      <c r="CC57" s="263"/>
      <c r="CD57" s="263"/>
      <c r="CE57" s="263"/>
      <c r="CF57" s="263"/>
      <c r="CG57" s="263"/>
      <c r="CH57" s="263"/>
      <c r="CI57" s="263"/>
      <c r="CJ57" s="263"/>
      <c r="CK57" s="263"/>
      <c r="CL57" s="263"/>
      <c r="CM57" s="263"/>
      <c r="CN57" s="263"/>
      <c r="CO57" s="263"/>
      <c r="CP57" s="263"/>
      <c r="CQ57" s="263"/>
      <c r="CR57" s="263"/>
      <c r="CS57" s="263"/>
      <c r="CT57" s="263"/>
      <c r="CU57" s="263"/>
      <c r="CV57" s="263"/>
      <c r="CW57" s="263"/>
      <c r="CX57" s="263"/>
      <c r="CY57" s="263"/>
      <c r="CZ57" s="263"/>
      <c r="DA57" s="263"/>
      <c r="DB57" s="263"/>
      <c r="DC57" s="263"/>
      <c r="DD57" s="263"/>
      <c r="DE57" s="263"/>
      <c r="DF57" s="263"/>
      <c r="DG57" s="263"/>
      <c r="DH57" s="263"/>
      <c r="DI57" s="263"/>
      <c r="DJ57" s="263"/>
      <c r="DK57" s="263"/>
      <c r="DL57" s="263"/>
      <c r="DM57" s="263"/>
      <c r="DN57" s="263"/>
      <c r="DO57" s="263"/>
      <c r="DP57" s="263"/>
      <c r="DQ57" s="263"/>
      <c r="DR57" s="263"/>
      <c r="DS57" s="263"/>
      <c r="DT57" s="263"/>
      <c r="DU57" s="263"/>
      <c r="DV57" s="263"/>
      <c r="DW57" s="263"/>
      <c r="DX57" s="263"/>
      <c r="DY57" s="263"/>
      <c r="DZ57" s="263"/>
      <c r="EA57" s="263"/>
      <c r="EB57" s="263"/>
      <c r="EC57" s="263"/>
      <c r="ED57" s="263"/>
      <c r="EE57" s="263"/>
      <c r="EF57" s="263"/>
      <c r="EG57" s="263"/>
      <c r="EH57" s="263"/>
      <c r="EI57" s="263"/>
      <c r="EJ57" s="263"/>
      <c r="EK57" s="263"/>
      <c r="EL57" s="263"/>
      <c r="EM57" s="263"/>
      <c r="EN57" s="263"/>
      <c r="EO57" s="263"/>
      <c r="EP57" s="263"/>
      <c r="EQ57" s="263"/>
      <c r="ER57" s="263"/>
      <c r="ES57" s="263"/>
      <c r="ET57" s="263"/>
      <c r="EU57" s="263"/>
      <c r="EV57" s="263"/>
      <c r="EW57" s="263"/>
      <c r="EX57" s="263"/>
      <c r="EY57" s="263"/>
      <c r="EZ57" s="263"/>
      <c r="FA57" s="263"/>
      <c r="FB57" s="263"/>
      <c r="FC57" s="263"/>
      <c r="FD57" s="263"/>
      <c r="FE57" s="263"/>
      <c r="FF57" s="263"/>
      <c r="FG57" s="263"/>
      <c r="FH57" s="263"/>
      <c r="FI57" s="263"/>
      <c r="FJ57" s="263"/>
      <c r="FK57" s="263"/>
      <c r="FL57" s="263"/>
      <c r="FM57" s="263"/>
      <c r="FN57" s="263"/>
      <c r="FO57" s="263"/>
      <c r="FP57" s="263"/>
      <c r="FQ57" s="263"/>
      <c r="FR57" s="263"/>
      <c r="FS57" s="263"/>
      <c r="FT57" s="263"/>
      <c r="FU57" s="263"/>
      <c r="FV57" s="263"/>
      <c r="FW57" s="263"/>
      <c r="FX57" s="263"/>
      <c r="FY57" s="263"/>
      <c r="FZ57" s="263"/>
      <c r="GA57" s="263"/>
      <c r="GB57" s="263"/>
      <c r="GC57" s="263"/>
      <c r="GD57" s="263"/>
      <c r="GE57" s="263"/>
      <c r="GF57" s="263"/>
      <c r="GG57" s="263"/>
      <c r="GH57" s="263"/>
      <c r="GI57" s="263"/>
      <c r="GJ57" s="263"/>
      <c r="GK57" s="263"/>
      <c r="GL57" s="263"/>
      <c r="GM57" s="263"/>
      <c r="GN57" s="263"/>
      <c r="GO57" s="263"/>
      <c r="GP57" s="263"/>
      <c r="GQ57" s="263"/>
      <c r="GR57" s="263"/>
      <c r="GS57" s="263"/>
      <c r="GT57" s="263"/>
      <c r="GU57" s="263"/>
      <c r="GV57" s="263"/>
      <c r="GW57" s="263"/>
      <c r="GX57" s="263"/>
      <c r="GY57" s="263"/>
      <c r="GZ57" s="263"/>
      <c r="HA57" s="263"/>
      <c r="HB57" s="263"/>
      <c r="HC57" s="263"/>
      <c r="HD57" s="263"/>
      <c r="HE57" s="263"/>
      <c r="HF57" s="263"/>
      <c r="HG57" s="263"/>
      <c r="HH57" s="263"/>
      <c r="HI57" s="263"/>
      <c r="HJ57" s="263"/>
      <c r="HK57" s="263"/>
      <c r="HL57" s="263"/>
      <c r="HM57" s="263"/>
      <c r="HN57" s="263"/>
      <c r="HO57" s="263"/>
      <c r="HP57" s="263"/>
      <c r="HQ57" s="263"/>
      <c r="HR57" s="263"/>
      <c r="HS57" s="263"/>
      <c r="HT57" s="263"/>
      <c r="HU57" s="263"/>
      <c r="HV57" s="263"/>
      <c r="HW57" s="263"/>
      <c r="HX57" s="263"/>
      <c r="HY57" s="263"/>
      <c r="HZ57" s="263"/>
      <c r="IA57" s="263"/>
      <c r="IB57" s="263"/>
      <c r="IC57" s="263"/>
      <c r="ID57" s="263"/>
      <c r="IE57" s="263"/>
      <c r="IF57" s="263"/>
      <c r="IG57" s="263"/>
      <c r="IH57" s="263"/>
      <c r="II57" s="263"/>
      <c r="IJ57" s="263"/>
      <c r="IK57" s="263"/>
      <c r="IL57" s="263"/>
      <c r="IM57" s="263"/>
      <c r="IN57" s="263"/>
      <c r="IO57" s="263"/>
      <c r="IP57" s="263"/>
      <c r="IQ57" s="263"/>
      <c r="IR57" s="263"/>
      <c r="IS57" s="263"/>
      <c r="IT57" s="263"/>
      <c r="IU57" s="263"/>
    </row>
    <row r="58" spans="1:255" ht="15.6">
      <c r="A58" s="263"/>
      <c r="B58" s="263"/>
      <c r="C58" s="263"/>
      <c r="D58" s="263"/>
      <c r="E58" s="263"/>
      <c r="F58" s="263"/>
      <c r="G58" s="263"/>
      <c r="H58" s="263"/>
      <c r="I58" s="263"/>
      <c r="J58" s="263"/>
      <c r="K58" s="263"/>
      <c r="L58" s="263"/>
      <c r="M58" s="263"/>
      <c r="N58" s="263"/>
      <c r="O58" s="263"/>
      <c r="P58" s="263"/>
      <c r="Q58" s="263"/>
      <c r="R58" s="263"/>
      <c r="S58" s="263"/>
      <c r="T58" s="263"/>
      <c r="U58" s="263"/>
      <c r="V58" s="263"/>
      <c r="W58" s="263"/>
      <c r="X58" s="263"/>
      <c r="Y58" s="263"/>
      <c r="Z58" s="263"/>
      <c r="AA58" s="263"/>
      <c r="AB58" s="263"/>
      <c r="AC58" s="263"/>
      <c r="AD58" s="263"/>
      <c r="AE58" s="263"/>
      <c r="AF58" s="263"/>
      <c r="AG58" s="263"/>
      <c r="AH58" s="263"/>
      <c r="AI58" s="263"/>
      <c r="AJ58" s="263"/>
      <c r="AK58" s="263"/>
      <c r="AL58" s="263"/>
      <c r="AM58" s="263"/>
      <c r="AN58" s="263"/>
      <c r="AO58" s="263"/>
      <c r="AP58" s="263"/>
      <c r="AQ58" s="263"/>
      <c r="AR58" s="263"/>
      <c r="AS58" s="263"/>
      <c r="AT58" s="263"/>
      <c r="AU58" s="263"/>
      <c r="AV58" s="263"/>
      <c r="AW58" s="263"/>
      <c r="AX58" s="263"/>
      <c r="AY58" s="263"/>
      <c r="AZ58" s="263"/>
      <c r="BA58" s="263"/>
      <c r="BB58" s="263"/>
      <c r="BC58" s="263"/>
      <c r="BD58" s="263"/>
      <c r="BE58" s="263"/>
      <c r="BF58" s="263"/>
      <c r="BG58" s="263"/>
      <c r="BH58" s="263"/>
      <c r="BI58" s="263"/>
      <c r="BJ58" s="263"/>
      <c r="BK58" s="263"/>
      <c r="BL58" s="263"/>
      <c r="BM58" s="263"/>
      <c r="BN58" s="263"/>
      <c r="BO58" s="263"/>
      <c r="BP58" s="263"/>
      <c r="BQ58" s="263"/>
      <c r="BR58" s="263"/>
      <c r="BS58" s="263"/>
      <c r="BT58" s="263"/>
      <c r="BU58" s="263"/>
      <c r="BV58" s="263"/>
      <c r="BW58" s="263"/>
      <c r="BX58" s="263"/>
      <c r="BY58" s="263"/>
      <c r="BZ58" s="263"/>
      <c r="CA58" s="263"/>
      <c r="CB58" s="263"/>
      <c r="CC58" s="263"/>
      <c r="CD58" s="263"/>
      <c r="CE58" s="263"/>
      <c r="CF58" s="263"/>
      <c r="CG58" s="263"/>
      <c r="CH58" s="263"/>
      <c r="CI58" s="263"/>
      <c r="CJ58" s="263"/>
      <c r="CK58" s="263"/>
      <c r="CL58" s="263"/>
      <c r="CM58" s="263"/>
      <c r="CN58" s="263"/>
      <c r="CO58" s="263"/>
      <c r="CP58" s="263"/>
      <c r="CQ58" s="263"/>
      <c r="CR58" s="263"/>
      <c r="CS58" s="263"/>
      <c r="CT58" s="263"/>
      <c r="CU58" s="263"/>
      <c r="CV58" s="263"/>
      <c r="CW58" s="263"/>
      <c r="CX58" s="263"/>
      <c r="CY58" s="263"/>
      <c r="CZ58" s="263"/>
      <c r="DA58" s="263"/>
      <c r="DB58" s="263"/>
      <c r="DC58" s="263"/>
      <c r="DD58" s="263"/>
      <c r="DE58" s="263"/>
      <c r="DF58" s="263"/>
      <c r="DG58" s="263"/>
      <c r="DH58" s="263"/>
      <c r="DI58" s="263"/>
      <c r="DJ58" s="263"/>
      <c r="DK58" s="263"/>
      <c r="DL58" s="263"/>
      <c r="DM58" s="263"/>
      <c r="DN58" s="263"/>
      <c r="DO58" s="263"/>
      <c r="DP58" s="263"/>
      <c r="DQ58" s="263"/>
      <c r="DR58" s="263"/>
      <c r="DS58" s="263"/>
      <c r="DT58" s="263"/>
      <c r="DU58" s="263"/>
      <c r="DV58" s="263"/>
      <c r="DW58" s="263"/>
      <c r="DX58" s="263"/>
      <c r="DY58" s="263"/>
      <c r="DZ58" s="263"/>
      <c r="EA58" s="263"/>
      <c r="EB58" s="263"/>
      <c r="EC58" s="263"/>
      <c r="ED58" s="263"/>
      <c r="EE58" s="263"/>
      <c r="EF58" s="263"/>
      <c r="EG58" s="263"/>
      <c r="EH58" s="263"/>
      <c r="EI58" s="263"/>
      <c r="EJ58" s="263"/>
      <c r="EK58" s="263"/>
      <c r="EL58" s="263"/>
      <c r="EM58" s="263"/>
      <c r="EN58" s="263"/>
      <c r="EO58" s="263"/>
      <c r="EP58" s="263"/>
      <c r="EQ58" s="263"/>
      <c r="ER58" s="263"/>
      <c r="ES58" s="263"/>
      <c r="ET58" s="263"/>
      <c r="EU58" s="263"/>
      <c r="EV58" s="263"/>
      <c r="EW58" s="263"/>
      <c r="EX58" s="263"/>
      <c r="EY58" s="263"/>
      <c r="EZ58" s="263"/>
      <c r="FA58" s="263"/>
      <c r="FB58" s="263"/>
      <c r="FC58" s="263"/>
      <c r="FD58" s="263"/>
      <c r="FE58" s="263"/>
      <c r="FF58" s="263"/>
      <c r="FG58" s="263"/>
      <c r="FH58" s="263"/>
      <c r="FI58" s="263"/>
      <c r="FJ58" s="263"/>
      <c r="FK58" s="263"/>
      <c r="FL58" s="263"/>
      <c r="FM58" s="263"/>
      <c r="FN58" s="263"/>
      <c r="FO58" s="263"/>
      <c r="FP58" s="263"/>
      <c r="FQ58" s="263"/>
      <c r="FR58" s="263"/>
      <c r="FS58" s="263"/>
      <c r="FT58" s="263"/>
      <c r="FU58" s="263"/>
      <c r="FV58" s="263"/>
      <c r="FW58" s="263"/>
      <c r="FX58" s="263"/>
      <c r="FY58" s="263"/>
      <c r="FZ58" s="263"/>
      <c r="GA58" s="263"/>
      <c r="GB58" s="263"/>
      <c r="GC58" s="263"/>
      <c r="GD58" s="263"/>
      <c r="GE58" s="263"/>
      <c r="GF58" s="263"/>
      <c r="GG58" s="263"/>
      <c r="GH58" s="263"/>
      <c r="GI58" s="263"/>
      <c r="GJ58" s="263"/>
      <c r="GK58" s="263"/>
      <c r="GL58" s="263"/>
      <c r="GM58" s="263"/>
      <c r="GN58" s="263"/>
      <c r="GO58" s="263"/>
      <c r="GP58" s="263"/>
      <c r="GQ58" s="263"/>
      <c r="GR58" s="263"/>
      <c r="GS58" s="263"/>
      <c r="GT58" s="263"/>
      <c r="GU58" s="263"/>
      <c r="GV58" s="263"/>
      <c r="GW58" s="263"/>
      <c r="GX58" s="263"/>
      <c r="GY58" s="263"/>
      <c r="GZ58" s="263"/>
      <c r="HA58" s="263"/>
      <c r="HB58" s="263"/>
      <c r="HC58" s="263"/>
      <c r="HD58" s="263"/>
      <c r="HE58" s="263"/>
      <c r="HF58" s="263"/>
      <c r="HG58" s="263"/>
      <c r="HH58" s="263"/>
      <c r="HI58" s="263"/>
      <c r="HJ58" s="263"/>
      <c r="HK58" s="263"/>
      <c r="HL58" s="263"/>
      <c r="HM58" s="263"/>
      <c r="HN58" s="263"/>
      <c r="HO58" s="263"/>
      <c r="HP58" s="263"/>
      <c r="HQ58" s="263"/>
      <c r="HR58" s="263"/>
      <c r="HS58" s="263"/>
      <c r="HT58" s="263"/>
      <c r="HU58" s="263"/>
      <c r="HV58" s="263"/>
      <c r="HW58" s="263"/>
      <c r="HX58" s="263"/>
      <c r="HY58" s="263"/>
      <c r="HZ58" s="263"/>
      <c r="IA58" s="263"/>
      <c r="IB58" s="263"/>
      <c r="IC58" s="263"/>
      <c r="ID58" s="263"/>
      <c r="IE58" s="263"/>
      <c r="IF58" s="263"/>
      <c r="IG58" s="263"/>
      <c r="IH58" s="263"/>
      <c r="II58" s="263"/>
      <c r="IJ58" s="263"/>
      <c r="IK58" s="263"/>
      <c r="IL58" s="263"/>
      <c r="IM58" s="263"/>
      <c r="IN58" s="263"/>
      <c r="IO58" s="263"/>
      <c r="IP58" s="263"/>
      <c r="IQ58" s="263"/>
      <c r="IR58" s="263"/>
      <c r="IS58" s="263"/>
      <c r="IT58" s="263"/>
      <c r="IU58" s="263"/>
    </row>
    <row r="59" spans="1:255" ht="15.6">
      <c r="A59" s="274" t="s">
        <v>277</v>
      </c>
      <c r="B59" s="263"/>
      <c r="C59" s="275">
        <f t="shared" ref="C59:V59" ca="1" si="13">C57+C53</f>
        <v>1.875</v>
      </c>
      <c r="D59" s="275">
        <f t="shared" ca="1" si="13"/>
        <v>612.73671120519998</v>
      </c>
      <c r="E59" s="275">
        <f t="shared" ca="1" si="13"/>
        <v>612.73671120519998</v>
      </c>
      <c r="F59" s="275">
        <f t="shared" ca="1" si="13"/>
        <v>365.40005099476804</v>
      </c>
      <c r="G59" s="275">
        <f t="shared" ca="1" si="13"/>
        <v>365.40005099476804</v>
      </c>
      <c r="H59" s="275">
        <f t="shared" ca="1" si="13"/>
        <v>365.40005099476804</v>
      </c>
      <c r="I59" s="275">
        <f t="shared" ca="1" si="13"/>
        <v>365.40005099476804</v>
      </c>
      <c r="J59" s="275">
        <f t="shared" ca="1" si="13"/>
        <v>365.40005099476804</v>
      </c>
      <c r="K59" s="275">
        <f t="shared" ca="1" si="13"/>
        <v>365.40005099476804</v>
      </c>
      <c r="L59" s="275">
        <f t="shared" ca="1" si="13"/>
        <v>365.40005099476804</v>
      </c>
      <c r="M59" s="275">
        <f t="shared" ca="1" si="13"/>
        <v>365.40005099476804</v>
      </c>
      <c r="N59" s="275">
        <f t="shared" ca="1" si="13"/>
        <v>365.40005099476804</v>
      </c>
      <c r="O59" s="275">
        <f t="shared" ca="1" si="13"/>
        <v>365.40005099476804</v>
      </c>
      <c r="P59" s="275">
        <f t="shared" ca="1" si="13"/>
        <v>365.40005099476804</v>
      </c>
      <c r="Q59" s="275">
        <f t="shared" ca="1" si="13"/>
        <v>365.40005099476804</v>
      </c>
      <c r="R59" s="275">
        <f t="shared" ca="1" si="13"/>
        <v>365.40005099476804</v>
      </c>
      <c r="S59" s="275">
        <f t="shared" ca="1" si="13"/>
        <v>365.40005099476804</v>
      </c>
      <c r="T59" s="275">
        <f t="shared" ca="1" si="13"/>
        <v>365.40005099476804</v>
      </c>
      <c r="U59" s="275">
        <f t="shared" ca="1" si="13"/>
        <v>365.40005099476804</v>
      </c>
      <c r="V59" s="275">
        <f t="shared" ca="1" si="13"/>
        <v>365.40005099476804</v>
      </c>
      <c r="W59" s="263"/>
      <c r="X59" s="263"/>
      <c r="Y59" s="263"/>
      <c r="Z59" s="263"/>
      <c r="AA59" s="263"/>
      <c r="AB59" s="263"/>
      <c r="AC59" s="263"/>
      <c r="AD59" s="263"/>
      <c r="AE59" s="263"/>
      <c r="AF59" s="263"/>
      <c r="AG59" s="263"/>
      <c r="AH59" s="263"/>
      <c r="AI59" s="263"/>
      <c r="AJ59" s="263"/>
      <c r="AK59" s="263"/>
      <c r="AL59" s="263"/>
      <c r="AM59" s="263"/>
      <c r="AN59" s="263"/>
      <c r="AO59" s="263"/>
      <c r="AP59" s="263"/>
      <c r="AQ59" s="263"/>
      <c r="AR59" s="263"/>
      <c r="AS59" s="263"/>
      <c r="AT59" s="263"/>
      <c r="AU59" s="263"/>
      <c r="AV59" s="263"/>
      <c r="AW59" s="263"/>
      <c r="AX59" s="263"/>
      <c r="AY59" s="263"/>
      <c r="AZ59" s="263"/>
      <c r="BA59" s="263"/>
      <c r="BB59" s="263"/>
      <c r="BC59" s="263"/>
      <c r="BD59" s="263"/>
      <c r="BE59" s="263"/>
      <c r="BF59" s="263"/>
      <c r="BG59" s="263"/>
      <c r="BH59" s="263"/>
      <c r="BI59" s="263"/>
      <c r="BJ59" s="263"/>
      <c r="BK59" s="263"/>
      <c r="BL59" s="263"/>
      <c r="BM59" s="263"/>
      <c r="BN59" s="263"/>
      <c r="BO59" s="263"/>
      <c r="BP59" s="263"/>
      <c r="BQ59" s="263"/>
      <c r="BR59" s="263"/>
      <c r="BS59" s="263"/>
      <c r="BT59" s="263"/>
      <c r="BU59" s="263"/>
      <c r="BV59" s="263"/>
      <c r="BW59" s="263"/>
      <c r="BX59" s="263"/>
      <c r="BY59" s="263"/>
      <c r="BZ59" s="263"/>
      <c r="CA59" s="263"/>
      <c r="CB59" s="263"/>
      <c r="CC59" s="263"/>
      <c r="CD59" s="263"/>
      <c r="CE59" s="263"/>
      <c r="CF59" s="263"/>
      <c r="CG59" s="263"/>
      <c r="CH59" s="263"/>
      <c r="CI59" s="263"/>
      <c r="CJ59" s="263"/>
      <c r="CK59" s="263"/>
      <c r="CL59" s="263"/>
      <c r="CM59" s="263"/>
      <c r="CN59" s="263"/>
      <c r="CO59" s="263"/>
      <c r="CP59" s="263"/>
      <c r="CQ59" s="263"/>
      <c r="CR59" s="263"/>
      <c r="CS59" s="263"/>
      <c r="CT59" s="263"/>
      <c r="CU59" s="263"/>
      <c r="CV59" s="263"/>
      <c r="CW59" s="263"/>
      <c r="CX59" s="263"/>
      <c r="CY59" s="263"/>
      <c r="CZ59" s="263"/>
      <c r="DA59" s="263"/>
      <c r="DB59" s="263"/>
      <c r="DC59" s="263"/>
      <c r="DD59" s="263"/>
      <c r="DE59" s="263"/>
      <c r="DF59" s="263"/>
      <c r="DG59" s="263"/>
      <c r="DH59" s="263"/>
      <c r="DI59" s="263"/>
      <c r="DJ59" s="263"/>
      <c r="DK59" s="263"/>
      <c r="DL59" s="263"/>
      <c r="DM59" s="263"/>
      <c r="DN59" s="263"/>
      <c r="DO59" s="263"/>
      <c r="DP59" s="263"/>
      <c r="DQ59" s="263"/>
      <c r="DR59" s="263"/>
      <c r="DS59" s="263"/>
      <c r="DT59" s="263"/>
      <c r="DU59" s="263"/>
      <c r="DV59" s="263"/>
      <c r="DW59" s="263"/>
      <c r="DX59" s="263"/>
      <c r="DY59" s="263"/>
      <c r="DZ59" s="263"/>
      <c r="EA59" s="263"/>
      <c r="EB59" s="263"/>
      <c r="EC59" s="263"/>
      <c r="ED59" s="263"/>
      <c r="EE59" s="263"/>
      <c r="EF59" s="263"/>
      <c r="EG59" s="263"/>
      <c r="EH59" s="263"/>
      <c r="EI59" s="263"/>
      <c r="EJ59" s="263"/>
      <c r="EK59" s="263"/>
      <c r="EL59" s="263"/>
      <c r="EM59" s="263"/>
      <c r="EN59" s="263"/>
      <c r="EO59" s="263"/>
      <c r="EP59" s="263"/>
      <c r="EQ59" s="263"/>
      <c r="ER59" s="263"/>
      <c r="ES59" s="263"/>
      <c r="ET59" s="263"/>
      <c r="EU59" s="263"/>
      <c r="EV59" s="263"/>
      <c r="EW59" s="263"/>
      <c r="EX59" s="263"/>
      <c r="EY59" s="263"/>
      <c r="EZ59" s="263"/>
      <c r="FA59" s="263"/>
      <c r="FB59" s="263"/>
      <c r="FC59" s="263"/>
      <c r="FD59" s="263"/>
      <c r="FE59" s="263"/>
      <c r="FF59" s="263"/>
      <c r="FG59" s="263"/>
      <c r="FH59" s="263"/>
      <c r="FI59" s="263"/>
      <c r="FJ59" s="263"/>
      <c r="FK59" s="263"/>
      <c r="FL59" s="263"/>
      <c r="FM59" s="263"/>
      <c r="FN59" s="263"/>
      <c r="FO59" s="263"/>
      <c r="FP59" s="263"/>
      <c r="FQ59" s="263"/>
      <c r="FR59" s="263"/>
      <c r="FS59" s="263"/>
      <c r="FT59" s="263"/>
      <c r="FU59" s="263"/>
      <c r="FV59" s="263"/>
      <c r="FW59" s="263"/>
      <c r="FX59" s="263"/>
      <c r="FY59" s="263"/>
      <c r="FZ59" s="263"/>
      <c r="GA59" s="263"/>
      <c r="GB59" s="263"/>
      <c r="GC59" s="263"/>
      <c r="GD59" s="263"/>
      <c r="GE59" s="263"/>
      <c r="GF59" s="263"/>
      <c r="GG59" s="263"/>
      <c r="GH59" s="263"/>
      <c r="GI59" s="263"/>
      <c r="GJ59" s="263"/>
      <c r="GK59" s="263"/>
      <c r="GL59" s="263"/>
      <c r="GM59" s="263"/>
      <c r="GN59" s="263"/>
      <c r="GO59" s="263"/>
      <c r="GP59" s="263"/>
      <c r="GQ59" s="263"/>
      <c r="GR59" s="263"/>
      <c r="GS59" s="263"/>
      <c r="GT59" s="263"/>
      <c r="GU59" s="263"/>
      <c r="GV59" s="263"/>
      <c r="GW59" s="263"/>
      <c r="GX59" s="263"/>
      <c r="GY59" s="263"/>
      <c r="GZ59" s="263"/>
      <c r="HA59" s="263"/>
      <c r="HB59" s="263"/>
      <c r="HC59" s="263"/>
      <c r="HD59" s="263"/>
      <c r="HE59" s="263"/>
      <c r="HF59" s="263"/>
      <c r="HG59" s="263"/>
      <c r="HH59" s="263"/>
      <c r="HI59" s="263"/>
      <c r="HJ59" s="263"/>
      <c r="HK59" s="263"/>
      <c r="HL59" s="263"/>
      <c r="HM59" s="263"/>
      <c r="HN59" s="263"/>
      <c r="HO59" s="263"/>
      <c r="HP59" s="263"/>
      <c r="HQ59" s="263"/>
      <c r="HR59" s="263"/>
      <c r="HS59" s="263"/>
      <c r="HT59" s="263"/>
      <c r="HU59" s="263"/>
      <c r="HV59" s="263"/>
      <c r="HW59" s="263"/>
      <c r="HX59" s="263"/>
      <c r="HY59" s="263"/>
      <c r="HZ59" s="263"/>
      <c r="IA59" s="263"/>
      <c r="IB59" s="263"/>
      <c r="IC59" s="263"/>
      <c r="ID59" s="263"/>
      <c r="IE59" s="263"/>
      <c r="IF59" s="263"/>
      <c r="IG59" s="263"/>
      <c r="IH59" s="263"/>
      <c r="II59" s="263"/>
      <c r="IJ59" s="263"/>
      <c r="IK59" s="263"/>
      <c r="IL59" s="263"/>
      <c r="IM59" s="263"/>
      <c r="IN59" s="263"/>
      <c r="IO59" s="263"/>
      <c r="IP59" s="263"/>
      <c r="IQ59" s="263"/>
      <c r="IR59" s="263"/>
      <c r="IS59" s="263"/>
      <c r="IT59" s="263"/>
      <c r="IU59" s="263"/>
    </row>
    <row r="60" spans="1:255" ht="15.6">
      <c r="A60" s="263"/>
      <c r="B60" s="263"/>
      <c r="C60" s="263"/>
      <c r="D60" s="263"/>
      <c r="E60" s="263"/>
      <c r="F60" s="263"/>
      <c r="G60" s="263"/>
      <c r="H60" s="263"/>
      <c r="I60" s="263"/>
      <c r="J60" s="263"/>
      <c r="K60" s="263"/>
      <c r="L60" s="263"/>
      <c r="M60" s="263"/>
      <c r="N60" s="263"/>
      <c r="O60" s="263"/>
      <c r="P60" s="263"/>
      <c r="Q60" s="263"/>
      <c r="R60" s="263"/>
      <c r="S60" s="263"/>
      <c r="T60" s="263"/>
      <c r="U60" s="263"/>
      <c r="V60" s="263"/>
      <c r="W60" s="263"/>
      <c r="X60" s="263"/>
      <c r="Y60" s="263"/>
      <c r="Z60" s="263"/>
      <c r="AA60" s="263"/>
      <c r="AB60" s="263"/>
      <c r="AC60" s="263"/>
      <c r="AD60" s="263"/>
      <c r="AE60" s="263"/>
      <c r="AF60" s="263"/>
      <c r="AG60" s="263"/>
      <c r="AH60" s="263"/>
      <c r="AI60" s="263"/>
      <c r="AJ60" s="263"/>
      <c r="AK60" s="263"/>
      <c r="AL60" s="263"/>
      <c r="AM60" s="263"/>
      <c r="AN60" s="263"/>
      <c r="AO60" s="263"/>
      <c r="AP60" s="263"/>
      <c r="AQ60" s="263"/>
      <c r="AR60" s="263"/>
      <c r="AS60" s="263"/>
      <c r="AT60" s="263"/>
      <c r="AU60" s="263"/>
      <c r="AV60" s="263"/>
      <c r="AW60" s="263"/>
      <c r="AX60" s="263"/>
      <c r="AY60" s="263"/>
      <c r="AZ60" s="263"/>
      <c r="BA60" s="263"/>
      <c r="BB60" s="263"/>
      <c r="BC60" s="263"/>
      <c r="BD60" s="263"/>
      <c r="BE60" s="263"/>
      <c r="BF60" s="263"/>
      <c r="BG60" s="263"/>
      <c r="BH60" s="263"/>
      <c r="BI60" s="263"/>
      <c r="BJ60" s="263"/>
      <c r="BK60" s="263"/>
      <c r="BL60" s="263"/>
      <c r="BM60" s="263"/>
      <c r="BN60" s="263"/>
      <c r="BO60" s="263"/>
      <c r="BP60" s="263"/>
      <c r="BQ60" s="263"/>
      <c r="BR60" s="263"/>
      <c r="BS60" s="263"/>
      <c r="BT60" s="263"/>
      <c r="BU60" s="263"/>
      <c r="BV60" s="263"/>
      <c r="BW60" s="263"/>
      <c r="BX60" s="263"/>
      <c r="BY60" s="263"/>
      <c r="BZ60" s="263"/>
      <c r="CA60" s="263"/>
      <c r="CB60" s="263"/>
      <c r="CC60" s="263"/>
      <c r="CD60" s="263"/>
      <c r="CE60" s="263"/>
      <c r="CF60" s="263"/>
      <c r="CG60" s="263"/>
      <c r="CH60" s="263"/>
      <c r="CI60" s="263"/>
      <c r="CJ60" s="263"/>
      <c r="CK60" s="263"/>
      <c r="CL60" s="263"/>
      <c r="CM60" s="263"/>
      <c r="CN60" s="263"/>
      <c r="CO60" s="263"/>
      <c r="CP60" s="263"/>
      <c r="CQ60" s="263"/>
      <c r="CR60" s="263"/>
      <c r="CS60" s="263"/>
      <c r="CT60" s="263"/>
      <c r="CU60" s="263"/>
      <c r="CV60" s="263"/>
      <c r="CW60" s="263"/>
      <c r="CX60" s="263"/>
      <c r="CY60" s="263"/>
      <c r="CZ60" s="263"/>
      <c r="DA60" s="263"/>
      <c r="DB60" s="263"/>
      <c r="DC60" s="263"/>
      <c r="DD60" s="263"/>
      <c r="DE60" s="263"/>
      <c r="DF60" s="263"/>
      <c r="DG60" s="263"/>
      <c r="DH60" s="263"/>
      <c r="DI60" s="263"/>
      <c r="DJ60" s="263"/>
      <c r="DK60" s="263"/>
      <c r="DL60" s="263"/>
      <c r="DM60" s="263"/>
      <c r="DN60" s="263"/>
      <c r="DO60" s="263"/>
      <c r="DP60" s="263"/>
      <c r="DQ60" s="263"/>
      <c r="DR60" s="263"/>
      <c r="DS60" s="263"/>
      <c r="DT60" s="263"/>
      <c r="DU60" s="263"/>
      <c r="DV60" s="263"/>
      <c r="DW60" s="263"/>
      <c r="DX60" s="263"/>
      <c r="DY60" s="263"/>
      <c r="DZ60" s="263"/>
      <c r="EA60" s="263"/>
      <c r="EB60" s="263"/>
      <c r="EC60" s="263"/>
      <c r="ED60" s="263"/>
      <c r="EE60" s="263"/>
      <c r="EF60" s="263"/>
      <c r="EG60" s="263"/>
      <c r="EH60" s="263"/>
      <c r="EI60" s="263"/>
      <c r="EJ60" s="263"/>
      <c r="EK60" s="263"/>
      <c r="EL60" s="263"/>
      <c r="EM60" s="263"/>
      <c r="EN60" s="263"/>
      <c r="EO60" s="263"/>
      <c r="EP60" s="263"/>
      <c r="EQ60" s="263"/>
      <c r="ER60" s="263"/>
      <c r="ES60" s="263"/>
      <c r="ET60" s="263"/>
      <c r="EU60" s="263"/>
      <c r="EV60" s="263"/>
      <c r="EW60" s="263"/>
      <c r="EX60" s="263"/>
      <c r="EY60" s="263"/>
      <c r="EZ60" s="263"/>
      <c r="FA60" s="263"/>
      <c r="FB60" s="263"/>
      <c r="FC60" s="263"/>
      <c r="FD60" s="263"/>
      <c r="FE60" s="263"/>
      <c r="FF60" s="263"/>
      <c r="FG60" s="263"/>
      <c r="FH60" s="263"/>
      <c r="FI60" s="263"/>
      <c r="FJ60" s="263"/>
      <c r="FK60" s="263"/>
      <c r="FL60" s="263"/>
      <c r="FM60" s="263"/>
      <c r="FN60" s="263"/>
      <c r="FO60" s="263"/>
      <c r="FP60" s="263"/>
      <c r="FQ60" s="263"/>
      <c r="FR60" s="263"/>
      <c r="FS60" s="263"/>
      <c r="FT60" s="263"/>
      <c r="FU60" s="263"/>
      <c r="FV60" s="263"/>
      <c r="FW60" s="263"/>
      <c r="FX60" s="263"/>
      <c r="FY60" s="263"/>
      <c r="FZ60" s="263"/>
      <c r="GA60" s="263"/>
      <c r="GB60" s="263"/>
      <c r="GC60" s="263"/>
      <c r="GD60" s="263"/>
      <c r="GE60" s="263"/>
      <c r="GF60" s="263"/>
      <c r="GG60" s="263"/>
      <c r="GH60" s="263"/>
      <c r="GI60" s="263"/>
      <c r="GJ60" s="263"/>
      <c r="GK60" s="263"/>
      <c r="GL60" s="263"/>
      <c r="GM60" s="263"/>
      <c r="GN60" s="263"/>
      <c r="GO60" s="263"/>
      <c r="GP60" s="263"/>
      <c r="GQ60" s="263"/>
      <c r="GR60" s="263"/>
      <c r="GS60" s="263"/>
      <c r="GT60" s="263"/>
      <c r="GU60" s="263"/>
      <c r="GV60" s="263"/>
      <c r="GW60" s="263"/>
      <c r="GX60" s="263"/>
      <c r="GY60" s="263"/>
      <c r="GZ60" s="263"/>
      <c r="HA60" s="263"/>
      <c r="HB60" s="263"/>
      <c r="HC60" s="263"/>
      <c r="HD60" s="263"/>
      <c r="HE60" s="263"/>
      <c r="HF60" s="263"/>
      <c r="HG60" s="263"/>
      <c r="HH60" s="263"/>
      <c r="HI60" s="263"/>
      <c r="HJ60" s="263"/>
      <c r="HK60" s="263"/>
      <c r="HL60" s="263"/>
      <c r="HM60" s="263"/>
      <c r="HN60" s="263"/>
      <c r="HO60" s="263"/>
      <c r="HP60" s="263"/>
      <c r="HQ60" s="263"/>
      <c r="HR60" s="263"/>
      <c r="HS60" s="263"/>
      <c r="HT60" s="263"/>
      <c r="HU60" s="263"/>
      <c r="HV60" s="263"/>
      <c r="HW60" s="263"/>
      <c r="HX60" s="263"/>
      <c r="HY60" s="263"/>
      <c r="HZ60" s="263"/>
      <c r="IA60" s="263"/>
      <c r="IB60" s="263"/>
      <c r="IC60" s="263"/>
      <c r="ID60" s="263"/>
      <c r="IE60" s="263"/>
      <c r="IF60" s="263"/>
      <c r="IG60" s="263"/>
      <c r="IH60" s="263"/>
      <c r="II60" s="263"/>
      <c r="IJ60" s="263"/>
      <c r="IK60" s="263"/>
      <c r="IL60" s="263"/>
      <c r="IM60" s="263"/>
      <c r="IN60" s="263"/>
      <c r="IO60" s="263"/>
      <c r="IP60" s="263"/>
      <c r="IQ60" s="263"/>
      <c r="IR60" s="263"/>
      <c r="IS60" s="263"/>
      <c r="IT60" s="263"/>
      <c r="IU60" s="263"/>
    </row>
    <row r="61" spans="1:255" ht="15.6">
      <c r="A61" s="274" t="s">
        <v>278</v>
      </c>
      <c r="B61" s="263"/>
      <c r="C61" s="263"/>
      <c r="D61" s="263"/>
      <c r="E61" s="263"/>
      <c r="F61" s="263"/>
      <c r="G61" s="263"/>
      <c r="H61" s="263"/>
      <c r="I61" s="263"/>
      <c r="J61" s="263"/>
      <c r="K61" s="263"/>
      <c r="L61" s="263"/>
      <c r="M61" s="263"/>
      <c r="N61" s="263"/>
      <c r="O61" s="263"/>
      <c r="P61" s="263"/>
      <c r="Q61" s="263"/>
      <c r="R61" s="263"/>
      <c r="S61" s="263"/>
      <c r="T61" s="263"/>
      <c r="U61" s="263"/>
      <c r="V61" s="263"/>
      <c r="W61" s="263"/>
      <c r="X61" s="263"/>
      <c r="Y61" s="263"/>
      <c r="Z61" s="263"/>
      <c r="AA61" s="263"/>
      <c r="AB61" s="263"/>
      <c r="AC61" s="263"/>
      <c r="AD61" s="263"/>
      <c r="AE61" s="263"/>
      <c r="AF61" s="263"/>
      <c r="AG61" s="263"/>
      <c r="AH61" s="263"/>
      <c r="AI61" s="263"/>
      <c r="AJ61" s="263"/>
      <c r="AK61" s="263"/>
      <c r="AL61" s="263"/>
      <c r="AM61" s="263"/>
      <c r="AN61" s="263"/>
      <c r="AO61" s="263"/>
      <c r="AP61" s="263"/>
      <c r="AQ61" s="263"/>
      <c r="AR61" s="263"/>
      <c r="AS61" s="263"/>
      <c r="AT61" s="263"/>
      <c r="AU61" s="263"/>
      <c r="AV61" s="263"/>
      <c r="AW61" s="263"/>
      <c r="AX61" s="263"/>
      <c r="AY61" s="263"/>
      <c r="AZ61" s="263"/>
      <c r="BA61" s="263"/>
      <c r="BB61" s="263"/>
      <c r="BC61" s="263"/>
      <c r="BD61" s="263"/>
      <c r="BE61" s="263"/>
      <c r="BF61" s="263"/>
      <c r="BG61" s="263"/>
      <c r="BH61" s="263"/>
      <c r="BI61" s="263"/>
      <c r="BJ61" s="263"/>
      <c r="BK61" s="263"/>
      <c r="BL61" s="263"/>
      <c r="BM61" s="263"/>
      <c r="BN61" s="263"/>
      <c r="BO61" s="263"/>
      <c r="BP61" s="263"/>
      <c r="BQ61" s="263"/>
      <c r="BR61" s="263"/>
      <c r="BS61" s="263"/>
      <c r="BT61" s="263"/>
      <c r="BU61" s="263"/>
      <c r="BV61" s="263"/>
      <c r="BW61" s="263"/>
      <c r="BX61" s="263"/>
      <c r="BY61" s="263"/>
      <c r="BZ61" s="263"/>
      <c r="CA61" s="263"/>
      <c r="CB61" s="263"/>
      <c r="CC61" s="263"/>
      <c r="CD61" s="263"/>
      <c r="CE61" s="263"/>
      <c r="CF61" s="263"/>
      <c r="CG61" s="263"/>
      <c r="CH61" s="263"/>
      <c r="CI61" s="263"/>
      <c r="CJ61" s="263"/>
      <c r="CK61" s="263"/>
      <c r="CL61" s="263"/>
      <c r="CM61" s="263"/>
      <c r="CN61" s="263"/>
      <c r="CO61" s="263"/>
      <c r="CP61" s="263"/>
      <c r="CQ61" s="263"/>
      <c r="CR61" s="263"/>
      <c r="CS61" s="263"/>
      <c r="CT61" s="263"/>
      <c r="CU61" s="263"/>
      <c r="CV61" s="263"/>
      <c r="CW61" s="263"/>
      <c r="CX61" s="263"/>
      <c r="CY61" s="263"/>
      <c r="CZ61" s="263"/>
      <c r="DA61" s="263"/>
      <c r="DB61" s="263"/>
      <c r="DC61" s="263"/>
      <c r="DD61" s="263"/>
      <c r="DE61" s="263"/>
      <c r="DF61" s="263"/>
      <c r="DG61" s="263"/>
      <c r="DH61" s="263"/>
      <c r="DI61" s="263"/>
      <c r="DJ61" s="263"/>
      <c r="DK61" s="263"/>
      <c r="DL61" s="263"/>
      <c r="DM61" s="263"/>
      <c r="DN61" s="263"/>
      <c r="DO61" s="263"/>
      <c r="DP61" s="263"/>
      <c r="DQ61" s="263"/>
      <c r="DR61" s="263"/>
      <c r="DS61" s="263"/>
      <c r="DT61" s="263"/>
      <c r="DU61" s="263"/>
      <c r="DV61" s="263"/>
      <c r="DW61" s="263"/>
      <c r="DX61" s="263"/>
      <c r="DY61" s="263"/>
      <c r="DZ61" s="263"/>
      <c r="EA61" s="263"/>
      <c r="EB61" s="263"/>
      <c r="EC61" s="263"/>
      <c r="ED61" s="263"/>
      <c r="EE61" s="263"/>
      <c r="EF61" s="263"/>
      <c r="EG61" s="263"/>
      <c r="EH61" s="263"/>
      <c r="EI61" s="263"/>
      <c r="EJ61" s="263"/>
      <c r="EK61" s="263"/>
      <c r="EL61" s="263"/>
      <c r="EM61" s="263"/>
      <c r="EN61" s="263"/>
      <c r="EO61" s="263"/>
      <c r="EP61" s="263"/>
      <c r="EQ61" s="263"/>
      <c r="ER61" s="263"/>
      <c r="ES61" s="263"/>
      <c r="ET61" s="263"/>
      <c r="EU61" s="263"/>
      <c r="EV61" s="263"/>
      <c r="EW61" s="263"/>
      <c r="EX61" s="263"/>
      <c r="EY61" s="263"/>
      <c r="EZ61" s="263"/>
      <c r="FA61" s="263"/>
      <c r="FB61" s="263"/>
      <c r="FC61" s="263"/>
      <c r="FD61" s="263"/>
      <c r="FE61" s="263"/>
      <c r="FF61" s="263"/>
      <c r="FG61" s="263"/>
      <c r="FH61" s="263"/>
      <c r="FI61" s="263"/>
      <c r="FJ61" s="263"/>
      <c r="FK61" s="263"/>
      <c r="FL61" s="263"/>
      <c r="FM61" s="263"/>
      <c r="FN61" s="263"/>
      <c r="FO61" s="263"/>
      <c r="FP61" s="263"/>
      <c r="FQ61" s="263"/>
      <c r="FR61" s="263"/>
      <c r="FS61" s="263"/>
      <c r="FT61" s="263"/>
      <c r="FU61" s="263"/>
      <c r="FV61" s="263"/>
      <c r="FW61" s="263"/>
      <c r="FX61" s="263"/>
      <c r="FY61" s="263"/>
      <c r="FZ61" s="263"/>
      <c r="GA61" s="263"/>
      <c r="GB61" s="263"/>
      <c r="GC61" s="263"/>
      <c r="GD61" s="263"/>
      <c r="GE61" s="263"/>
      <c r="GF61" s="263"/>
      <c r="GG61" s="263"/>
      <c r="GH61" s="263"/>
      <c r="GI61" s="263"/>
      <c r="GJ61" s="263"/>
      <c r="GK61" s="263"/>
      <c r="GL61" s="263"/>
      <c r="GM61" s="263"/>
      <c r="GN61" s="263"/>
      <c r="GO61" s="263"/>
      <c r="GP61" s="263"/>
      <c r="GQ61" s="263"/>
      <c r="GR61" s="263"/>
      <c r="GS61" s="263"/>
      <c r="GT61" s="263"/>
      <c r="GU61" s="263"/>
      <c r="GV61" s="263"/>
      <c r="GW61" s="263"/>
      <c r="GX61" s="263"/>
      <c r="GY61" s="263"/>
      <c r="GZ61" s="263"/>
      <c r="HA61" s="263"/>
      <c r="HB61" s="263"/>
      <c r="HC61" s="263"/>
      <c r="HD61" s="263"/>
      <c r="HE61" s="263"/>
      <c r="HF61" s="263"/>
      <c r="HG61" s="263"/>
      <c r="HH61" s="263"/>
      <c r="HI61" s="263"/>
      <c r="HJ61" s="263"/>
      <c r="HK61" s="263"/>
      <c r="HL61" s="263"/>
      <c r="HM61" s="263"/>
      <c r="HN61" s="263"/>
      <c r="HO61" s="263"/>
      <c r="HP61" s="263"/>
      <c r="HQ61" s="263"/>
      <c r="HR61" s="263"/>
      <c r="HS61" s="263"/>
      <c r="HT61" s="263"/>
      <c r="HU61" s="263"/>
      <c r="HV61" s="263"/>
      <c r="HW61" s="263"/>
      <c r="HX61" s="263"/>
      <c r="HY61" s="263"/>
      <c r="HZ61" s="263"/>
      <c r="IA61" s="263"/>
      <c r="IB61" s="263"/>
      <c r="IC61" s="263"/>
      <c r="ID61" s="263"/>
      <c r="IE61" s="263"/>
      <c r="IF61" s="263"/>
      <c r="IG61" s="263"/>
      <c r="IH61" s="263"/>
      <c r="II61" s="263"/>
      <c r="IJ61" s="263"/>
      <c r="IK61" s="263"/>
      <c r="IL61" s="263"/>
      <c r="IM61" s="263"/>
      <c r="IN61" s="263"/>
      <c r="IO61" s="263"/>
      <c r="IP61" s="263"/>
      <c r="IQ61" s="263"/>
      <c r="IR61" s="263"/>
      <c r="IS61" s="263"/>
      <c r="IT61" s="263"/>
      <c r="IU61" s="263"/>
    </row>
    <row r="62" spans="1:255" ht="15.6">
      <c r="A62" s="263" t="s">
        <v>177</v>
      </c>
      <c r="B62" s="263">
        <f>'ASSUM 1'!M30</f>
        <v>45</v>
      </c>
      <c r="C62" s="275">
        <f ca="1">FUEL!C88/365.25*$B$62</f>
        <v>298.46448466012345</v>
      </c>
      <c r="D62" s="275">
        <f ca="1">FUEL!D88/365.25*$B$62</f>
        <v>921.50063852174071</v>
      </c>
      <c r="E62" s="275">
        <f ca="1">FUEL!E88/365.25*$B$62</f>
        <v>1030.3864408514121</v>
      </c>
      <c r="F62" s="275">
        <f ca="1">FUEL!F88/365.25*$B$62</f>
        <v>1091.3543891500274</v>
      </c>
      <c r="G62" s="275">
        <f ca="1">FUEL!G88/365.25*$B$62</f>
        <v>1065.6103175663491</v>
      </c>
      <c r="H62" s="275">
        <f ca="1">FUEL!H88/365.25*$B$62</f>
        <v>1039.6724474411835</v>
      </c>
      <c r="I62" s="275">
        <f ca="1">FUEL!I88/365.25*$B$62</f>
        <v>1101.4076411303554</v>
      </c>
      <c r="J62" s="275">
        <f ca="1">FUEL!J88/365.25*$B$62</f>
        <v>1160.0723993993763</v>
      </c>
      <c r="K62" s="275">
        <f ca="1">FUEL!K88/365.25*$B$62</f>
        <v>1182.4001146328392</v>
      </c>
      <c r="L62" s="275">
        <f ca="1">FUEL!L88/365.25*$B$62</f>
        <v>1194.5407928046918</v>
      </c>
      <c r="M62" s="275">
        <f ca="1">FUEL!M88/365.25*$B$62</f>
        <v>1217.0038561148881</v>
      </c>
      <c r="N62" s="275">
        <f ca="1">FUEL!N88/365.25*$B$62</f>
        <v>1232.1158297833026</v>
      </c>
      <c r="O62" s="275">
        <f ca="1">FUEL!O88/365.25*$B$62</f>
        <v>1301.661614760709</v>
      </c>
      <c r="P62" s="275">
        <f ca="1">FUEL!P88/365.25*$B$62</f>
        <v>1313.183905454066</v>
      </c>
      <c r="Q62" s="275">
        <f ca="1">FUEL!Q88/365.25*$B$62</f>
        <v>1365.0803187839247</v>
      </c>
      <c r="R62" s="275">
        <f ca="1">FUEL!R88/365.25*$B$62</f>
        <v>1398.8734090548785</v>
      </c>
      <c r="S62" s="275">
        <f ca="1">FUEL!S88/365.25*$B$62</f>
        <v>1449.9416827774983</v>
      </c>
      <c r="T62" s="275">
        <f ca="1">FUEL!T88/365.25*$B$62</f>
        <v>1480.0606883921093</v>
      </c>
      <c r="U62" s="275">
        <f ca="1">FUEL!U88/365.25*$B$62</f>
        <v>1523.1026804781914</v>
      </c>
      <c r="V62" s="275">
        <f ca="1">FUEL!V88/365.25*$B$62</f>
        <v>1512.293644481503</v>
      </c>
      <c r="W62" s="263"/>
      <c r="X62" s="263"/>
      <c r="Y62" s="263"/>
      <c r="Z62" s="263"/>
      <c r="AA62" s="263"/>
      <c r="AB62" s="263"/>
      <c r="AC62" s="263"/>
      <c r="AD62" s="263"/>
      <c r="AE62" s="263"/>
      <c r="AF62" s="263"/>
      <c r="AG62" s="263"/>
      <c r="AH62" s="263"/>
      <c r="AI62" s="263"/>
      <c r="AJ62" s="263"/>
      <c r="AK62" s="263"/>
      <c r="AL62" s="263"/>
      <c r="AM62" s="263"/>
      <c r="AN62" s="263"/>
      <c r="AO62" s="263"/>
      <c r="AP62" s="263"/>
      <c r="AQ62" s="263"/>
      <c r="AR62" s="263"/>
      <c r="AS62" s="263"/>
      <c r="AT62" s="263"/>
      <c r="AU62" s="263"/>
      <c r="AV62" s="263"/>
      <c r="AW62" s="263"/>
      <c r="AX62" s="263"/>
      <c r="AY62" s="263"/>
      <c r="AZ62" s="263"/>
      <c r="BA62" s="263"/>
      <c r="BB62" s="263"/>
      <c r="BC62" s="263"/>
      <c r="BD62" s="263"/>
      <c r="BE62" s="263"/>
      <c r="BF62" s="263"/>
      <c r="BG62" s="263"/>
      <c r="BH62" s="263"/>
      <c r="BI62" s="263"/>
      <c r="BJ62" s="263"/>
      <c r="BK62" s="263"/>
      <c r="BL62" s="263"/>
      <c r="BM62" s="263"/>
      <c r="BN62" s="263"/>
      <c r="BO62" s="263"/>
      <c r="BP62" s="263"/>
      <c r="BQ62" s="263"/>
      <c r="BR62" s="263"/>
      <c r="BS62" s="263"/>
      <c r="BT62" s="263"/>
      <c r="BU62" s="263"/>
      <c r="BV62" s="263"/>
      <c r="BW62" s="263"/>
      <c r="BX62" s="263"/>
      <c r="BY62" s="263"/>
      <c r="BZ62" s="263"/>
      <c r="CA62" s="263"/>
      <c r="CB62" s="263"/>
      <c r="CC62" s="263"/>
      <c r="CD62" s="263"/>
      <c r="CE62" s="263"/>
      <c r="CF62" s="263"/>
      <c r="CG62" s="263"/>
      <c r="CH62" s="263"/>
      <c r="CI62" s="263"/>
      <c r="CJ62" s="263"/>
      <c r="CK62" s="263"/>
      <c r="CL62" s="263"/>
      <c r="CM62" s="263"/>
      <c r="CN62" s="263"/>
      <c r="CO62" s="263"/>
      <c r="CP62" s="263"/>
      <c r="CQ62" s="263"/>
      <c r="CR62" s="263"/>
      <c r="CS62" s="263"/>
      <c r="CT62" s="263"/>
      <c r="CU62" s="263"/>
      <c r="CV62" s="263"/>
      <c r="CW62" s="263"/>
      <c r="CX62" s="263"/>
      <c r="CY62" s="263"/>
      <c r="CZ62" s="263"/>
      <c r="DA62" s="263"/>
      <c r="DB62" s="263"/>
      <c r="DC62" s="263"/>
      <c r="DD62" s="263"/>
      <c r="DE62" s="263"/>
      <c r="DF62" s="263"/>
      <c r="DG62" s="263"/>
      <c r="DH62" s="263"/>
      <c r="DI62" s="263"/>
      <c r="DJ62" s="263"/>
      <c r="DK62" s="263"/>
      <c r="DL62" s="263"/>
      <c r="DM62" s="263"/>
      <c r="DN62" s="263"/>
      <c r="DO62" s="263"/>
      <c r="DP62" s="263"/>
      <c r="DQ62" s="263"/>
      <c r="DR62" s="263"/>
      <c r="DS62" s="263"/>
      <c r="DT62" s="263"/>
      <c r="DU62" s="263"/>
      <c r="DV62" s="263"/>
      <c r="DW62" s="263"/>
      <c r="DX62" s="263"/>
      <c r="DY62" s="263"/>
      <c r="DZ62" s="263"/>
      <c r="EA62" s="263"/>
      <c r="EB62" s="263"/>
      <c r="EC62" s="263"/>
      <c r="ED62" s="263"/>
      <c r="EE62" s="263"/>
      <c r="EF62" s="263"/>
      <c r="EG62" s="263"/>
      <c r="EH62" s="263"/>
      <c r="EI62" s="263"/>
      <c r="EJ62" s="263"/>
      <c r="EK62" s="263"/>
      <c r="EL62" s="263"/>
      <c r="EM62" s="263"/>
      <c r="EN62" s="263"/>
      <c r="EO62" s="263"/>
      <c r="EP62" s="263"/>
      <c r="EQ62" s="263"/>
      <c r="ER62" s="263"/>
      <c r="ES62" s="263"/>
      <c r="ET62" s="263"/>
      <c r="EU62" s="263"/>
      <c r="EV62" s="263"/>
      <c r="EW62" s="263"/>
      <c r="EX62" s="263"/>
      <c r="EY62" s="263"/>
      <c r="EZ62" s="263"/>
      <c r="FA62" s="263"/>
      <c r="FB62" s="263"/>
      <c r="FC62" s="263"/>
      <c r="FD62" s="263"/>
      <c r="FE62" s="263"/>
      <c r="FF62" s="263"/>
      <c r="FG62" s="263"/>
      <c r="FH62" s="263"/>
      <c r="FI62" s="263"/>
      <c r="FJ62" s="263"/>
      <c r="FK62" s="263"/>
      <c r="FL62" s="263"/>
      <c r="FM62" s="263"/>
      <c r="FN62" s="263"/>
      <c r="FO62" s="263"/>
      <c r="FP62" s="263"/>
      <c r="FQ62" s="263"/>
      <c r="FR62" s="263"/>
      <c r="FS62" s="263"/>
      <c r="FT62" s="263"/>
      <c r="FU62" s="263"/>
      <c r="FV62" s="263"/>
      <c r="FW62" s="263"/>
      <c r="FX62" s="263"/>
      <c r="FY62" s="263"/>
      <c r="FZ62" s="263"/>
      <c r="GA62" s="263"/>
      <c r="GB62" s="263"/>
      <c r="GC62" s="263"/>
      <c r="GD62" s="263"/>
      <c r="GE62" s="263"/>
      <c r="GF62" s="263"/>
      <c r="GG62" s="263"/>
      <c r="GH62" s="263"/>
      <c r="GI62" s="263"/>
      <c r="GJ62" s="263"/>
      <c r="GK62" s="263"/>
      <c r="GL62" s="263"/>
      <c r="GM62" s="263"/>
      <c r="GN62" s="263"/>
      <c r="GO62" s="263"/>
      <c r="GP62" s="263"/>
      <c r="GQ62" s="263"/>
      <c r="GR62" s="263"/>
      <c r="GS62" s="263"/>
      <c r="GT62" s="263"/>
      <c r="GU62" s="263"/>
      <c r="GV62" s="263"/>
      <c r="GW62" s="263"/>
      <c r="GX62" s="263"/>
      <c r="GY62" s="263"/>
      <c r="GZ62" s="263"/>
      <c r="HA62" s="263"/>
      <c r="HB62" s="263"/>
      <c r="HC62" s="263"/>
      <c r="HD62" s="263"/>
      <c r="HE62" s="263"/>
      <c r="HF62" s="263"/>
      <c r="HG62" s="263"/>
      <c r="HH62" s="263"/>
      <c r="HI62" s="263"/>
      <c r="HJ62" s="263"/>
      <c r="HK62" s="263"/>
      <c r="HL62" s="263"/>
      <c r="HM62" s="263"/>
      <c r="HN62" s="263"/>
      <c r="HO62" s="263"/>
      <c r="HP62" s="263"/>
      <c r="HQ62" s="263"/>
      <c r="HR62" s="263"/>
      <c r="HS62" s="263"/>
      <c r="HT62" s="263"/>
      <c r="HU62" s="263"/>
      <c r="HV62" s="263"/>
      <c r="HW62" s="263"/>
      <c r="HX62" s="263"/>
      <c r="HY62" s="263"/>
      <c r="HZ62" s="263"/>
      <c r="IA62" s="263"/>
      <c r="IB62" s="263"/>
      <c r="IC62" s="263"/>
      <c r="ID62" s="263"/>
      <c r="IE62" s="263"/>
      <c r="IF62" s="263"/>
      <c r="IG62" s="263"/>
      <c r="IH62" s="263"/>
      <c r="II62" s="263"/>
      <c r="IJ62" s="263"/>
      <c r="IK62" s="263"/>
      <c r="IL62" s="263"/>
      <c r="IM62" s="263"/>
      <c r="IN62" s="263"/>
      <c r="IO62" s="263"/>
      <c r="IP62" s="263"/>
      <c r="IQ62" s="263"/>
      <c r="IR62" s="263"/>
      <c r="IS62" s="263"/>
      <c r="IT62" s="263"/>
      <c r="IU62" s="263"/>
    </row>
    <row r="63" spans="1:255" ht="15.6">
      <c r="A63" s="263" t="s">
        <v>178</v>
      </c>
      <c r="B63" s="263">
        <f>'ASSUM 1'!M29</f>
        <v>30</v>
      </c>
      <c r="C63" s="278">
        <f t="shared" ref="C63:V63" ca="1" si="14">C34/365.25*$B$63</f>
        <v>184.11637651254745</v>
      </c>
      <c r="D63" s="278">
        <f t="shared" ca="1" si="14"/>
        <v>492.74618966407439</v>
      </c>
      <c r="E63" s="278">
        <f t="shared" ca="1" si="14"/>
        <v>505.80874735226564</v>
      </c>
      <c r="F63" s="278">
        <f t="shared" ca="1" si="14"/>
        <v>498.00310806928144</v>
      </c>
      <c r="G63" s="278">
        <f t="shared" ca="1" si="14"/>
        <v>506.97494811887316</v>
      </c>
      <c r="H63" s="278">
        <f t="shared" ca="1" si="14"/>
        <v>511.77924006191529</v>
      </c>
      <c r="I63" s="278">
        <f t="shared" ca="1" si="14"/>
        <v>528.06387573631207</v>
      </c>
      <c r="J63" s="278">
        <f t="shared" ca="1" si="14"/>
        <v>544.90503656163173</v>
      </c>
      <c r="K63" s="278">
        <f t="shared" ca="1" si="14"/>
        <v>556.92612796920287</v>
      </c>
      <c r="L63" s="278">
        <f t="shared" ca="1" si="14"/>
        <v>567.52255073213644</v>
      </c>
      <c r="M63" s="278">
        <f t="shared" ca="1" si="14"/>
        <v>580.24994655684134</v>
      </c>
      <c r="N63" s="278">
        <f t="shared" ca="1" si="14"/>
        <v>591.76314284539671</v>
      </c>
      <c r="O63" s="278">
        <f t="shared" ca="1" si="14"/>
        <v>606.64570759597939</v>
      </c>
      <c r="P63" s="278">
        <f t="shared" ca="1" si="14"/>
        <v>617.99763151069021</v>
      </c>
      <c r="Q63" s="278">
        <f t="shared" ca="1" si="14"/>
        <v>635.56016009122334</v>
      </c>
      <c r="R63" s="278">
        <f t="shared" ca="1" si="14"/>
        <v>651.50430051647299</v>
      </c>
      <c r="S63" s="278">
        <f t="shared" ca="1" si="14"/>
        <v>669.75311926525114</v>
      </c>
      <c r="T63" s="278">
        <f t="shared" ca="1" si="14"/>
        <v>685.06990328533527</v>
      </c>
      <c r="U63" s="278">
        <f t="shared" ca="1" si="14"/>
        <v>701.98108327251055</v>
      </c>
      <c r="V63" s="278">
        <f t="shared" ca="1" si="14"/>
        <v>712.06411406387724</v>
      </c>
      <c r="W63" s="263"/>
      <c r="X63" s="263"/>
      <c r="Y63" s="263"/>
      <c r="Z63" s="263"/>
      <c r="AA63" s="263"/>
      <c r="AB63" s="263"/>
      <c r="AC63" s="263"/>
      <c r="AD63" s="263"/>
      <c r="AE63" s="263"/>
      <c r="AF63" s="263"/>
      <c r="AG63" s="263"/>
      <c r="AH63" s="263"/>
      <c r="AI63" s="263"/>
      <c r="AJ63" s="263"/>
      <c r="AK63" s="263"/>
      <c r="AL63" s="263"/>
      <c r="AM63" s="263"/>
      <c r="AN63" s="263"/>
      <c r="AO63" s="263"/>
      <c r="AP63" s="263"/>
      <c r="AQ63" s="263"/>
      <c r="AR63" s="263"/>
      <c r="AS63" s="263"/>
      <c r="AT63" s="263"/>
      <c r="AU63" s="263"/>
      <c r="AV63" s="263"/>
      <c r="AW63" s="263"/>
      <c r="AX63" s="263"/>
      <c r="AY63" s="263"/>
      <c r="AZ63" s="263"/>
      <c r="BA63" s="263"/>
      <c r="BB63" s="263"/>
      <c r="BC63" s="263"/>
      <c r="BD63" s="263"/>
      <c r="BE63" s="263"/>
      <c r="BF63" s="263"/>
      <c r="BG63" s="263"/>
      <c r="BH63" s="263"/>
      <c r="BI63" s="263"/>
      <c r="BJ63" s="263"/>
      <c r="BK63" s="263"/>
      <c r="BL63" s="263"/>
      <c r="BM63" s="263"/>
      <c r="BN63" s="263"/>
      <c r="BO63" s="263"/>
      <c r="BP63" s="263"/>
      <c r="BQ63" s="263"/>
      <c r="BR63" s="263"/>
      <c r="BS63" s="263"/>
      <c r="BT63" s="263"/>
      <c r="BU63" s="263"/>
      <c r="BV63" s="263"/>
      <c r="BW63" s="263"/>
      <c r="BX63" s="263"/>
      <c r="BY63" s="263"/>
      <c r="BZ63" s="263"/>
      <c r="CA63" s="263"/>
      <c r="CB63" s="263"/>
      <c r="CC63" s="263"/>
      <c r="CD63" s="263"/>
      <c r="CE63" s="263"/>
      <c r="CF63" s="263"/>
      <c r="CG63" s="263"/>
      <c r="CH63" s="263"/>
      <c r="CI63" s="263"/>
      <c r="CJ63" s="263"/>
      <c r="CK63" s="263"/>
      <c r="CL63" s="263"/>
      <c r="CM63" s="263"/>
      <c r="CN63" s="263"/>
      <c r="CO63" s="263"/>
      <c r="CP63" s="263"/>
      <c r="CQ63" s="263"/>
      <c r="CR63" s="263"/>
      <c r="CS63" s="263"/>
      <c r="CT63" s="263"/>
      <c r="CU63" s="263"/>
      <c r="CV63" s="263"/>
      <c r="CW63" s="263"/>
      <c r="CX63" s="263"/>
      <c r="CY63" s="263"/>
      <c r="CZ63" s="263"/>
      <c r="DA63" s="263"/>
      <c r="DB63" s="263"/>
      <c r="DC63" s="263"/>
      <c r="DD63" s="263"/>
      <c r="DE63" s="263"/>
      <c r="DF63" s="263"/>
      <c r="DG63" s="263"/>
      <c r="DH63" s="263"/>
      <c r="DI63" s="263"/>
      <c r="DJ63" s="263"/>
      <c r="DK63" s="263"/>
      <c r="DL63" s="263"/>
      <c r="DM63" s="263"/>
      <c r="DN63" s="263"/>
      <c r="DO63" s="263"/>
      <c r="DP63" s="263"/>
      <c r="DQ63" s="263"/>
      <c r="DR63" s="263"/>
      <c r="DS63" s="263"/>
      <c r="DT63" s="263"/>
      <c r="DU63" s="263"/>
      <c r="DV63" s="263"/>
      <c r="DW63" s="263"/>
      <c r="DX63" s="263"/>
      <c r="DY63" s="263"/>
      <c r="DZ63" s="263"/>
      <c r="EA63" s="263"/>
      <c r="EB63" s="263"/>
      <c r="EC63" s="263"/>
      <c r="ED63" s="263"/>
      <c r="EE63" s="263"/>
      <c r="EF63" s="263"/>
      <c r="EG63" s="263"/>
      <c r="EH63" s="263"/>
      <c r="EI63" s="263"/>
      <c r="EJ63" s="263"/>
      <c r="EK63" s="263"/>
      <c r="EL63" s="263"/>
      <c r="EM63" s="263"/>
      <c r="EN63" s="263"/>
      <c r="EO63" s="263"/>
      <c r="EP63" s="263"/>
      <c r="EQ63" s="263"/>
      <c r="ER63" s="263"/>
      <c r="ES63" s="263"/>
      <c r="ET63" s="263"/>
      <c r="EU63" s="263"/>
      <c r="EV63" s="263"/>
      <c r="EW63" s="263"/>
      <c r="EX63" s="263"/>
      <c r="EY63" s="263"/>
      <c r="EZ63" s="263"/>
      <c r="FA63" s="263"/>
      <c r="FB63" s="263"/>
      <c r="FC63" s="263"/>
      <c r="FD63" s="263"/>
      <c r="FE63" s="263"/>
      <c r="FF63" s="263"/>
      <c r="FG63" s="263"/>
      <c r="FH63" s="263"/>
      <c r="FI63" s="263"/>
      <c r="FJ63" s="263"/>
      <c r="FK63" s="263"/>
      <c r="FL63" s="263"/>
      <c r="FM63" s="263"/>
      <c r="FN63" s="263"/>
      <c r="FO63" s="263"/>
      <c r="FP63" s="263"/>
      <c r="FQ63" s="263"/>
      <c r="FR63" s="263"/>
      <c r="FS63" s="263"/>
      <c r="FT63" s="263"/>
      <c r="FU63" s="263"/>
      <c r="FV63" s="263"/>
      <c r="FW63" s="263"/>
      <c r="FX63" s="263"/>
      <c r="FY63" s="263"/>
      <c r="FZ63" s="263"/>
      <c r="GA63" s="263"/>
      <c r="GB63" s="263"/>
      <c r="GC63" s="263"/>
      <c r="GD63" s="263"/>
      <c r="GE63" s="263"/>
      <c r="GF63" s="263"/>
      <c r="GG63" s="263"/>
      <c r="GH63" s="263"/>
      <c r="GI63" s="263"/>
      <c r="GJ63" s="263"/>
      <c r="GK63" s="263"/>
      <c r="GL63" s="263"/>
      <c r="GM63" s="263"/>
      <c r="GN63" s="263"/>
      <c r="GO63" s="263"/>
      <c r="GP63" s="263"/>
      <c r="GQ63" s="263"/>
      <c r="GR63" s="263"/>
      <c r="GS63" s="263"/>
      <c r="GT63" s="263"/>
      <c r="GU63" s="263"/>
      <c r="GV63" s="263"/>
      <c r="GW63" s="263"/>
      <c r="GX63" s="263"/>
      <c r="GY63" s="263"/>
      <c r="GZ63" s="263"/>
      <c r="HA63" s="263"/>
      <c r="HB63" s="263"/>
      <c r="HC63" s="263"/>
      <c r="HD63" s="263"/>
      <c r="HE63" s="263"/>
      <c r="HF63" s="263"/>
      <c r="HG63" s="263"/>
      <c r="HH63" s="263"/>
      <c r="HI63" s="263"/>
      <c r="HJ63" s="263"/>
      <c r="HK63" s="263"/>
      <c r="HL63" s="263"/>
      <c r="HM63" s="263"/>
      <c r="HN63" s="263"/>
      <c r="HO63" s="263"/>
      <c r="HP63" s="263"/>
      <c r="HQ63" s="263"/>
      <c r="HR63" s="263"/>
      <c r="HS63" s="263"/>
      <c r="HT63" s="263"/>
      <c r="HU63" s="263"/>
      <c r="HV63" s="263"/>
      <c r="HW63" s="263"/>
      <c r="HX63" s="263"/>
      <c r="HY63" s="263"/>
      <c r="HZ63" s="263"/>
      <c r="IA63" s="263"/>
      <c r="IB63" s="263"/>
      <c r="IC63" s="263"/>
      <c r="ID63" s="263"/>
      <c r="IE63" s="263"/>
      <c r="IF63" s="263"/>
      <c r="IG63" s="263"/>
      <c r="IH63" s="263"/>
      <c r="II63" s="263"/>
      <c r="IJ63" s="263"/>
      <c r="IK63" s="263"/>
      <c r="IL63" s="263"/>
      <c r="IM63" s="263"/>
      <c r="IN63" s="263"/>
      <c r="IO63" s="263"/>
      <c r="IP63" s="263"/>
      <c r="IQ63" s="263"/>
      <c r="IR63" s="263"/>
      <c r="IS63" s="263"/>
      <c r="IT63" s="263"/>
      <c r="IU63" s="263"/>
    </row>
    <row r="64" spans="1:255" ht="15.6">
      <c r="A64" s="263"/>
      <c r="B64" s="263"/>
      <c r="C64" s="275">
        <f t="shared" ref="C64:V64" ca="1" si="15">C63+C62</f>
        <v>482.58086117267089</v>
      </c>
      <c r="D64" s="275">
        <f t="shared" ca="1" si="15"/>
        <v>1414.246828185815</v>
      </c>
      <c r="E64" s="275">
        <f t="shared" ca="1" si="15"/>
        <v>1536.1951882036778</v>
      </c>
      <c r="F64" s="275">
        <f t="shared" ca="1" si="15"/>
        <v>1589.3574972193087</v>
      </c>
      <c r="G64" s="275">
        <f t="shared" ca="1" si="15"/>
        <v>1572.5852656852221</v>
      </c>
      <c r="H64" s="275">
        <f t="shared" ca="1" si="15"/>
        <v>1551.4516875030988</v>
      </c>
      <c r="I64" s="275">
        <f t="shared" ca="1" si="15"/>
        <v>1629.4715168666676</v>
      </c>
      <c r="J64" s="275">
        <f t="shared" ca="1" si="15"/>
        <v>1704.977435961008</v>
      </c>
      <c r="K64" s="275">
        <f t="shared" ca="1" si="15"/>
        <v>1739.3262426020419</v>
      </c>
      <c r="L64" s="275">
        <f t="shared" ca="1" si="15"/>
        <v>1762.0633435368281</v>
      </c>
      <c r="M64" s="275">
        <f t="shared" ca="1" si="15"/>
        <v>1797.2538026717293</v>
      </c>
      <c r="N64" s="275">
        <f t="shared" ca="1" si="15"/>
        <v>1823.8789726286993</v>
      </c>
      <c r="O64" s="275">
        <f t="shared" ca="1" si="15"/>
        <v>1908.3073223566885</v>
      </c>
      <c r="P64" s="275">
        <f t="shared" ca="1" si="15"/>
        <v>1931.1815369647561</v>
      </c>
      <c r="Q64" s="275">
        <f t="shared" ca="1" si="15"/>
        <v>2000.6404788751479</v>
      </c>
      <c r="R64" s="275">
        <f t="shared" ca="1" si="15"/>
        <v>2050.3777095713513</v>
      </c>
      <c r="S64" s="275">
        <f t="shared" ca="1" si="15"/>
        <v>2119.6948020427494</v>
      </c>
      <c r="T64" s="275">
        <f t="shared" ca="1" si="15"/>
        <v>2165.1305916774445</v>
      </c>
      <c r="U64" s="275">
        <f t="shared" ca="1" si="15"/>
        <v>2225.083763750702</v>
      </c>
      <c r="V64" s="275">
        <f t="shared" ca="1" si="15"/>
        <v>2224.3577585453804</v>
      </c>
      <c r="W64" s="263"/>
      <c r="X64" s="263"/>
      <c r="Y64" s="263"/>
      <c r="Z64" s="263"/>
      <c r="AA64" s="263"/>
      <c r="AB64" s="263"/>
      <c r="AC64" s="263"/>
      <c r="AD64" s="263"/>
      <c r="AE64" s="263"/>
      <c r="AF64" s="263"/>
      <c r="AG64" s="263"/>
      <c r="AH64" s="263"/>
      <c r="AI64" s="263"/>
      <c r="AJ64" s="263"/>
      <c r="AK64" s="263"/>
      <c r="AL64" s="263"/>
      <c r="AM64" s="263"/>
      <c r="AN64" s="263"/>
      <c r="AO64" s="263"/>
      <c r="AP64" s="263"/>
      <c r="AQ64" s="263"/>
      <c r="AR64" s="263"/>
      <c r="AS64" s="263"/>
      <c r="AT64" s="263"/>
      <c r="AU64" s="263"/>
      <c r="AV64" s="263"/>
      <c r="AW64" s="263"/>
      <c r="AX64" s="263"/>
      <c r="AY64" s="263"/>
      <c r="AZ64" s="263"/>
      <c r="BA64" s="263"/>
      <c r="BB64" s="263"/>
      <c r="BC64" s="263"/>
      <c r="BD64" s="263"/>
      <c r="BE64" s="263"/>
      <c r="BF64" s="263"/>
      <c r="BG64" s="263"/>
      <c r="BH64" s="263"/>
      <c r="BI64" s="263"/>
      <c r="BJ64" s="263"/>
      <c r="BK64" s="263"/>
      <c r="BL64" s="263"/>
      <c r="BM64" s="263"/>
      <c r="BN64" s="263"/>
      <c r="BO64" s="263"/>
      <c r="BP64" s="263"/>
      <c r="BQ64" s="263"/>
      <c r="BR64" s="263"/>
      <c r="BS64" s="263"/>
      <c r="BT64" s="263"/>
      <c r="BU64" s="263"/>
      <c r="BV64" s="263"/>
      <c r="BW64" s="263"/>
      <c r="BX64" s="263"/>
      <c r="BY64" s="263"/>
      <c r="BZ64" s="263"/>
      <c r="CA64" s="263"/>
      <c r="CB64" s="263"/>
      <c r="CC64" s="263"/>
      <c r="CD64" s="263"/>
      <c r="CE64" s="263"/>
      <c r="CF64" s="263"/>
      <c r="CG64" s="263"/>
      <c r="CH64" s="263"/>
      <c r="CI64" s="263"/>
      <c r="CJ64" s="263"/>
      <c r="CK64" s="263"/>
      <c r="CL64" s="263"/>
      <c r="CM64" s="263"/>
      <c r="CN64" s="263"/>
      <c r="CO64" s="263"/>
      <c r="CP64" s="263"/>
      <c r="CQ64" s="263"/>
      <c r="CR64" s="263"/>
      <c r="CS64" s="263"/>
      <c r="CT64" s="263"/>
      <c r="CU64" s="263"/>
      <c r="CV64" s="263"/>
      <c r="CW64" s="263"/>
      <c r="CX64" s="263"/>
      <c r="CY64" s="263"/>
      <c r="CZ64" s="263"/>
      <c r="DA64" s="263"/>
      <c r="DB64" s="263"/>
      <c r="DC64" s="263"/>
      <c r="DD64" s="263"/>
      <c r="DE64" s="263"/>
      <c r="DF64" s="263"/>
      <c r="DG64" s="263"/>
      <c r="DH64" s="263"/>
      <c r="DI64" s="263"/>
      <c r="DJ64" s="263"/>
      <c r="DK64" s="263"/>
      <c r="DL64" s="263"/>
      <c r="DM64" s="263"/>
      <c r="DN64" s="263"/>
      <c r="DO64" s="263"/>
      <c r="DP64" s="263"/>
      <c r="DQ64" s="263"/>
      <c r="DR64" s="263"/>
      <c r="DS64" s="263"/>
      <c r="DT64" s="263"/>
      <c r="DU64" s="263"/>
      <c r="DV64" s="263"/>
      <c r="DW64" s="263"/>
      <c r="DX64" s="263"/>
      <c r="DY64" s="263"/>
      <c r="DZ64" s="263"/>
      <c r="EA64" s="263"/>
      <c r="EB64" s="263"/>
      <c r="EC64" s="263"/>
      <c r="ED64" s="263"/>
      <c r="EE64" s="263"/>
      <c r="EF64" s="263"/>
      <c r="EG64" s="263"/>
      <c r="EH64" s="263"/>
      <c r="EI64" s="263"/>
      <c r="EJ64" s="263"/>
      <c r="EK64" s="263"/>
      <c r="EL64" s="263"/>
      <c r="EM64" s="263"/>
      <c r="EN64" s="263"/>
      <c r="EO64" s="263"/>
      <c r="EP64" s="263"/>
      <c r="EQ64" s="263"/>
      <c r="ER64" s="263"/>
      <c r="ES64" s="263"/>
      <c r="ET64" s="263"/>
      <c r="EU64" s="263"/>
      <c r="EV64" s="263"/>
      <c r="EW64" s="263"/>
      <c r="EX64" s="263"/>
      <c r="EY64" s="263"/>
      <c r="EZ64" s="263"/>
      <c r="FA64" s="263"/>
      <c r="FB64" s="263"/>
      <c r="FC64" s="263"/>
      <c r="FD64" s="263"/>
      <c r="FE64" s="263"/>
      <c r="FF64" s="263"/>
      <c r="FG64" s="263"/>
      <c r="FH64" s="263"/>
      <c r="FI64" s="263"/>
      <c r="FJ64" s="263"/>
      <c r="FK64" s="263"/>
      <c r="FL64" s="263"/>
      <c r="FM64" s="263"/>
      <c r="FN64" s="263"/>
      <c r="FO64" s="263"/>
      <c r="FP64" s="263"/>
      <c r="FQ64" s="263"/>
      <c r="FR64" s="263"/>
      <c r="FS64" s="263"/>
      <c r="FT64" s="263"/>
      <c r="FU64" s="263"/>
      <c r="FV64" s="263"/>
      <c r="FW64" s="263"/>
      <c r="FX64" s="263"/>
      <c r="FY64" s="263"/>
      <c r="FZ64" s="263"/>
      <c r="GA64" s="263"/>
      <c r="GB64" s="263"/>
      <c r="GC64" s="263"/>
      <c r="GD64" s="263"/>
      <c r="GE64" s="263"/>
      <c r="GF64" s="263"/>
      <c r="GG64" s="263"/>
      <c r="GH64" s="263"/>
      <c r="GI64" s="263"/>
      <c r="GJ64" s="263"/>
      <c r="GK64" s="263"/>
      <c r="GL64" s="263"/>
      <c r="GM64" s="263"/>
      <c r="GN64" s="263"/>
      <c r="GO64" s="263"/>
      <c r="GP64" s="263"/>
      <c r="GQ64" s="263"/>
      <c r="GR64" s="263"/>
      <c r="GS64" s="263"/>
      <c r="GT64" s="263"/>
      <c r="GU64" s="263"/>
      <c r="GV64" s="263"/>
      <c r="GW64" s="263"/>
      <c r="GX64" s="263"/>
      <c r="GY64" s="263"/>
      <c r="GZ64" s="263"/>
      <c r="HA64" s="263"/>
      <c r="HB64" s="263"/>
      <c r="HC64" s="263"/>
      <c r="HD64" s="263"/>
      <c r="HE64" s="263"/>
      <c r="HF64" s="263"/>
      <c r="HG64" s="263"/>
      <c r="HH64" s="263"/>
      <c r="HI64" s="263"/>
      <c r="HJ64" s="263"/>
      <c r="HK64" s="263"/>
      <c r="HL64" s="263"/>
      <c r="HM64" s="263"/>
      <c r="HN64" s="263"/>
      <c r="HO64" s="263"/>
      <c r="HP64" s="263"/>
      <c r="HQ64" s="263"/>
      <c r="HR64" s="263"/>
      <c r="HS64" s="263"/>
      <c r="HT64" s="263"/>
      <c r="HU64" s="263"/>
      <c r="HV64" s="263"/>
      <c r="HW64" s="263"/>
      <c r="HX64" s="263"/>
      <c r="HY64" s="263"/>
      <c r="HZ64" s="263"/>
      <c r="IA64" s="263"/>
      <c r="IB64" s="263"/>
      <c r="IC64" s="263"/>
      <c r="ID64" s="263"/>
      <c r="IE64" s="263"/>
      <c r="IF64" s="263"/>
      <c r="IG64" s="263"/>
      <c r="IH64" s="263"/>
      <c r="II64" s="263"/>
      <c r="IJ64" s="263"/>
      <c r="IK64" s="263"/>
      <c r="IL64" s="263"/>
      <c r="IM64" s="263"/>
      <c r="IN64" s="263"/>
      <c r="IO64" s="263"/>
      <c r="IP64" s="263"/>
      <c r="IQ64" s="263"/>
      <c r="IR64" s="263"/>
      <c r="IS64" s="263"/>
      <c r="IT64" s="263"/>
      <c r="IU64" s="263"/>
    </row>
    <row r="65" spans="1:255" ht="15.6">
      <c r="A65" s="263" t="s">
        <v>279</v>
      </c>
      <c r="B65" s="263"/>
      <c r="C65" s="279"/>
      <c r="D65" s="275">
        <f ca="1">IF(D6&lt;3,+D64-'ASSUM 1'!N31,D64-C64)-IF(D6='ASSUM 1'!D36,D64,0)</f>
        <v>0</v>
      </c>
      <c r="E65" s="275">
        <f ca="1">IF(E6&lt;3,+E64-'ASSUM 1'!N31,E64-D64)-IF(E6='ASSUM 1'!D36,E64,0)</f>
        <v>121.9483600178628</v>
      </c>
      <c r="F65" s="275">
        <f ca="1">IF(F6&lt;3,+F64-'ASSUM 1'!N31,F64-E64)-IF(F6='ASSUM 1'!D36,F64,0)</f>
        <v>53.162309015630854</v>
      </c>
      <c r="G65" s="275">
        <f ca="1">IF(G6&lt;3,+G64-'ASSUM 1'!N31,G64-F64)-IF(G6='ASSUM 1'!D36,G64,0)</f>
        <v>-16.772231534086586</v>
      </c>
      <c r="H65" s="275">
        <f ca="1">IF(H6&lt;3,+H64-'ASSUM 1'!N31,H64-G64)-IF(H6='ASSUM 1'!D36,H64,0)</f>
        <v>-21.133578182123301</v>
      </c>
      <c r="I65" s="275">
        <f ca="1">IF(I6&lt;3,+I64-'ASSUM 1'!N31,I64-H64)-IF(I6='ASSUM 1'!D36,I64,0)</f>
        <v>78.019829363568761</v>
      </c>
      <c r="J65" s="275">
        <f ca="1">IF(J6&lt;3,+J64-'ASSUM 1'!N31,J64-I64)-IF(J6='ASSUM 1'!D36,J64,0)</f>
        <v>75.50591909434047</v>
      </c>
      <c r="K65" s="275">
        <f ca="1">IF(K6&lt;3,+K64-'ASSUM 1'!N31,K64-J64)-IF(K6='ASSUM 1'!D36,K64,0)</f>
        <v>34.348806641033889</v>
      </c>
      <c r="L65" s="275">
        <f ca="1">IF(L6&lt;3,+L64-'ASSUM 1'!N31,L64-K64)-IF(L6='ASSUM 1'!D36,L64,0)</f>
        <v>22.737100934786213</v>
      </c>
      <c r="M65" s="275">
        <f ca="1">IF(M6&lt;3,+M64-'ASSUM 1'!N31,M64-L64)-IF(M6='ASSUM 1'!D36,M64,0)</f>
        <v>35.190459134901175</v>
      </c>
      <c r="N65" s="275">
        <f ca="1">IF(N6&lt;3,+N64-'ASSUM 1'!N31,N64-M64)-IF(N6='ASSUM 1'!D36,N64,0)</f>
        <v>26.625169956970012</v>
      </c>
      <c r="O65" s="275">
        <f ca="1">IF(O6&lt;3,+O64-'ASSUM 1'!N31,O64-N64)-IF(O6='ASSUM 1'!D36,O64,0)</f>
        <v>84.428349727989144</v>
      </c>
      <c r="P65" s="275">
        <f ca="1">IF(P6&lt;3,+P64-'ASSUM 1'!N31,P64-O64)-IF(P6='ASSUM 1'!D36,P64,0)</f>
        <v>22.874214608067632</v>
      </c>
      <c r="Q65" s="275">
        <f ca="1">IF(Q6&lt;3,+Q64-'ASSUM 1'!N31,Q64-P64)-IF(Q6='ASSUM 1'!D36,Q64,0)</f>
        <v>69.458941910391786</v>
      </c>
      <c r="R65" s="275">
        <f ca="1">IF(R6&lt;3,+R64-'ASSUM 1'!N31,R64-Q64)-IF(R6='ASSUM 1'!D36,R64,0)</f>
        <v>49.737230696203369</v>
      </c>
      <c r="S65" s="275">
        <f ca="1">IF(S6&lt;3,+S64-'ASSUM 1'!N31,S64-R64)-IF(S6='ASSUM 1'!D36,S64,0)</f>
        <v>69.317092471398155</v>
      </c>
      <c r="T65" s="275">
        <f ca="1">IF(T6&lt;3,+T64-'ASSUM 1'!N31,T64-S64)-IF(T6='ASSUM 1'!D36,T64,0)</f>
        <v>45.435789634695084</v>
      </c>
      <c r="U65" s="275">
        <f ca="1">IF(U6&lt;3,+U64-'ASSUM 1'!N31,U64-T64)-IF(U6='ASSUM 1'!D36,U64,0)</f>
        <v>59.95317207325752</v>
      </c>
      <c r="V65" s="275">
        <f ca="1">IF(V6&lt;3,+V64-'ASSUM 1'!N31,V64-U64)-IF(V6='ASSUM 1'!D36,V64,0)</f>
        <v>-2225.083763750702</v>
      </c>
      <c r="W65" s="263"/>
      <c r="X65" s="263"/>
      <c r="Y65" s="263"/>
      <c r="Z65" s="263"/>
      <c r="AA65" s="263"/>
      <c r="AB65" s="263"/>
      <c r="AC65" s="263"/>
      <c r="AD65" s="263"/>
      <c r="AE65" s="263"/>
      <c r="AF65" s="263"/>
      <c r="AG65" s="263"/>
      <c r="AH65" s="263"/>
      <c r="AI65" s="263"/>
      <c r="AJ65" s="263"/>
      <c r="AK65" s="263"/>
      <c r="AL65" s="263"/>
      <c r="AM65" s="263"/>
      <c r="AN65" s="263"/>
      <c r="AO65" s="263"/>
      <c r="AP65" s="263"/>
      <c r="AQ65" s="263"/>
      <c r="AR65" s="263"/>
      <c r="AS65" s="263"/>
      <c r="AT65" s="263"/>
      <c r="AU65" s="263"/>
      <c r="AV65" s="263"/>
      <c r="AW65" s="263"/>
      <c r="AX65" s="263"/>
      <c r="AY65" s="263"/>
      <c r="AZ65" s="263"/>
      <c r="BA65" s="263"/>
      <c r="BB65" s="263"/>
      <c r="BC65" s="263"/>
      <c r="BD65" s="263"/>
      <c r="BE65" s="263"/>
      <c r="BF65" s="263"/>
      <c r="BG65" s="263"/>
      <c r="BH65" s="263"/>
      <c r="BI65" s="263"/>
      <c r="BJ65" s="263"/>
      <c r="BK65" s="263"/>
      <c r="BL65" s="263"/>
      <c r="BM65" s="263"/>
      <c r="BN65" s="263"/>
      <c r="BO65" s="263"/>
      <c r="BP65" s="263"/>
      <c r="BQ65" s="263"/>
      <c r="BR65" s="263"/>
      <c r="BS65" s="263"/>
      <c r="BT65" s="263"/>
      <c r="BU65" s="263"/>
      <c r="BV65" s="263"/>
      <c r="BW65" s="263"/>
      <c r="BX65" s="263"/>
      <c r="BY65" s="263"/>
      <c r="BZ65" s="263"/>
      <c r="CA65" s="263"/>
      <c r="CB65" s="263"/>
      <c r="CC65" s="263"/>
      <c r="CD65" s="263"/>
      <c r="CE65" s="263"/>
      <c r="CF65" s="263"/>
      <c r="CG65" s="263"/>
      <c r="CH65" s="263"/>
      <c r="CI65" s="263"/>
      <c r="CJ65" s="263"/>
      <c r="CK65" s="263"/>
      <c r="CL65" s="263"/>
      <c r="CM65" s="263"/>
      <c r="CN65" s="263"/>
      <c r="CO65" s="263"/>
      <c r="CP65" s="263"/>
      <c r="CQ65" s="263"/>
      <c r="CR65" s="263"/>
      <c r="CS65" s="263"/>
      <c r="CT65" s="263"/>
      <c r="CU65" s="263"/>
      <c r="CV65" s="263"/>
      <c r="CW65" s="263"/>
      <c r="CX65" s="263"/>
      <c r="CY65" s="263"/>
      <c r="CZ65" s="263"/>
      <c r="DA65" s="263"/>
      <c r="DB65" s="263"/>
      <c r="DC65" s="263"/>
      <c r="DD65" s="263"/>
      <c r="DE65" s="263"/>
      <c r="DF65" s="263"/>
      <c r="DG65" s="263"/>
      <c r="DH65" s="263"/>
      <c r="DI65" s="263"/>
      <c r="DJ65" s="263"/>
      <c r="DK65" s="263"/>
      <c r="DL65" s="263"/>
      <c r="DM65" s="263"/>
      <c r="DN65" s="263"/>
      <c r="DO65" s="263"/>
      <c r="DP65" s="263"/>
      <c r="DQ65" s="263"/>
      <c r="DR65" s="263"/>
      <c r="DS65" s="263"/>
      <c r="DT65" s="263"/>
      <c r="DU65" s="263"/>
      <c r="DV65" s="263"/>
      <c r="DW65" s="263"/>
      <c r="DX65" s="263"/>
      <c r="DY65" s="263"/>
      <c r="DZ65" s="263"/>
      <c r="EA65" s="263"/>
      <c r="EB65" s="263"/>
      <c r="EC65" s="263"/>
      <c r="ED65" s="263"/>
      <c r="EE65" s="263"/>
      <c r="EF65" s="263"/>
      <c r="EG65" s="263"/>
      <c r="EH65" s="263"/>
      <c r="EI65" s="263"/>
      <c r="EJ65" s="263"/>
      <c r="EK65" s="263"/>
      <c r="EL65" s="263"/>
      <c r="EM65" s="263"/>
      <c r="EN65" s="263"/>
      <c r="EO65" s="263"/>
      <c r="EP65" s="263"/>
      <c r="EQ65" s="263"/>
      <c r="ER65" s="263"/>
      <c r="ES65" s="263"/>
      <c r="ET65" s="263"/>
      <c r="EU65" s="263"/>
      <c r="EV65" s="263"/>
      <c r="EW65" s="263"/>
      <c r="EX65" s="263"/>
      <c r="EY65" s="263"/>
      <c r="EZ65" s="263"/>
      <c r="FA65" s="263"/>
      <c r="FB65" s="263"/>
      <c r="FC65" s="263"/>
      <c r="FD65" s="263"/>
      <c r="FE65" s="263"/>
      <c r="FF65" s="263"/>
      <c r="FG65" s="263"/>
      <c r="FH65" s="263"/>
      <c r="FI65" s="263"/>
      <c r="FJ65" s="263"/>
      <c r="FK65" s="263"/>
      <c r="FL65" s="263"/>
      <c r="FM65" s="263"/>
      <c r="FN65" s="263"/>
      <c r="FO65" s="263"/>
      <c r="FP65" s="263"/>
      <c r="FQ65" s="263"/>
      <c r="FR65" s="263"/>
      <c r="FS65" s="263"/>
      <c r="FT65" s="263"/>
      <c r="FU65" s="263"/>
      <c r="FV65" s="263"/>
      <c r="FW65" s="263"/>
      <c r="FX65" s="263"/>
      <c r="FY65" s="263"/>
      <c r="FZ65" s="263"/>
      <c r="GA65" s="263"/>
      <c r="GB65" s="263"/>
      <c r="GC65" s="263"/>
      <c r="GD65" s="263"/>
      <c r="GE65" s="263"/>
      <c r="GF65" s="263"/>
      <c r="GG65" s="263"/>
      <c r="GH65" s="263"/>
      <c r="GI65" s="263"/>
      <c r="GJ65" s="263"/>
      <c r="GK65" s="263"/>
      <c r="GL65" s="263"/>
      <c r="GM65" s="263"/>
      <c r="GN65" s="263"/>
      <c r="GO65" s="263"/>
      <c r="GP65" s="263"/>
      <c r="GQ65" s="263"/>
      <c r="GR65" s="263"/>
      <c r="GS65" s="263"/>
      <c r="GT65" s="263"/>
      <c r="GU65" s="263"/>
      <c r="GV65" s="263"/>
      <c r="GW65" s="263"/>
      <c r="GX65" s="263"/>
      <c r="GY65" s="263"/>
      <c r="GZ65" s="263"/>
      <c r="HA65" s="263"/>
      <c r="HB65" s="263"/>
      <c r="HC65" s="263"/>
      <c r="HD65" s="263"/>
      <c r="HE65" s="263"/>
      <c r="HF65" s="263"/>
      <c r="HG65" s="263"/>
      <c r="HH65" s="263"/>
      <c r="HI65" s="263"/>
      <c r="HJ65" s="263"/>
      <c r="HK65" s="263"/>
      <c r="HL65" s="263"/>
      <c r="HM65" s="263"/>
      <c r="HN65" s="263"/>
      <c r="HO65" s="263"/>
      <c r="HP65" s="263"/>
      <c r="HQ65" s="263"/>
      <c r="HR65" s="263"/>
      <c r="HS65" s="263"/>
      <c r="HT65" s="263"/>
      <c r="HU65" s="263"/>
      <c r="HV65" s="263"/>
      <c r="HW65" s="263"/>
      <c r="HX65" s="263"/>
      <c r="HY65" s="263"/>
      <c r="HZ65" s="263"/>
      <c r="IA65" s="263"/>
      <c r="IB65" s="263"/>
      <c r="IC65" s="263"/>
      <c r="ID65" s="263"/>
      <c r="IE65" s="263"/>
      <c r="IF65" s="263"/>
      <c r="IG65" s="263"/>
      <c r="IH65" s="263"/>
      <c r="II65" s="263"/>
      <c r="IJ65" s="263"/>
      <c r="IK65" s="263"/>
      <c r="IL65" s="263"/>
      <c r="IM65" s="263"/>
      <c r="IN65" s="263"/>
      <c r="IO65" s="263"/>
      <c r="IP65" s="263"/>
      <c r="IQ65" s="263"/>
      <c r="IR65" s="263"/>
      <c r="IS65" s="263"/>
      <c r="IT65" s="263"/>
      <c r="IU65" s="263"/>
    </row>
    <row r="66" spans="1:255" ht="15.6">
      <c r="A66" s="263"/>
      <c r="B66" s="280"/>
      <c r="C66" s="263"/>
      <c r="D66" s="263"/>
      <c r="E66" s="263"/>
      <c r="F66" s="263"/>
      <c r="G66" s="263"/>
      <c r="H66" s="263"/>
      <c r="I66" s="263"/>
      <c r="J66" s="263"/>
      <c r="K66" s="263"/>
      <c r="L66" s="263"/>
      <c r="M66" s="263"/>
      <c r="N66" s="263"/>
      <c r="O66" s="263"/>
      <c r="P66" s="263"/>
      <c r="Q66" s="263"/>
      <c r="R66" s="263"/>
      <c r="S66" s="263"/>
      <c r="T66" s="263"/>
      <c r="U66" s="263"/>
      <c r="V66" s="263"/>
      <c r="W66" s="263"/>
      <c r="X66" s="263"/>
      <c r="Y66" s="263"/>
      <c r="Z66" s="263"/>
      <c r="AA66" s="263"/>
      <c r="AB66" s="263"/>
      <c r="AC66" s="263"/>
      <c r="AD66" s="263"/>
      <c r="AE66" s="263"/>
      <c r="AF66" s="263"/>
      <c r="AG66" s="263"/>
      <c r="AH66" s="263"/>
      <c r="AI66" s="263"/>
      <c r="AJ66" s="263"/>
      <c r="AK66" s="263"/>
      <c r="AL66" s="263"/>
      <c r="AM66" s="263"/>
      <c r="AN66" s="263"/>
      <c r="AO66" s="263"/>
      <c r="AP66" s="263"/>
      <c r="AQ66" s="263"/>
      <c r="AR66" s="263"/>
      <c r="AS66" s="263"/>
      <c r="AT66" s="263"/>
      <c r="AU66" s="263"/>
      <c r="AV66" s="263"/>
      <c r="AW66" s="263"/>
      <c r="AX66" s="263"/>
      <c r="AY66" s="263"/>
      <c r="AZ66" s="263"/>
      <c r="BA66" s="263"/>
      <c r="BB66" s="263"/>
      <c r="BC66" s="263"/>
      <c r="BD66" s="263"/>
      <c r="BE66" s="263"/>
      <c r="BF66" s="263"/>
      <c r="BG66" s="263"/>
      <c r="BH66" s="263"/>
      <c r="BI66" s="263"/>
      <c r="BJ66" s="263"/>
      <c r="BK66" s="263"/>
      <c r="BL66" s="263"/>
      <c r="BM66" s="263"/>
      <c r="BN66" s="263"/>
      <c r="BO66" s="263"/>
      <c r="BP66" s="263"/>
      <c r="BQ66" s="263"/>
      <c r="BR66" s="263"/>
      <c r="BS66" s="263"/>
      <c r="BT66" s="263"/>
      <c r="BU66" s="263"/>
      <c r="BV66" s="263"/>
      <c r="BW66" s="263"/>
      <c r="BX66" s="263"/>
      <c r="BY66" s="263"/>
      <c r="BZ66" s="263"/>
      <c r="CA66" s="263"/>
      <c r="CB66" s="263"/>
      <c r="CC66" s="263"/>
      <c r="CD66" s="263"/>
      <c r="CE66" s="263"/>
      <c r="CF66" s="263"/>
      <c r="CG66" s="263"/>
      <c r="CH66" s="263"/>
      <c r="CI66" s="263"/>
      <c r="CJ66" s="263"/>
      <c r="CK66" s="263"/>
      <c r="CL66" s="263"/>
      <c r="CM66" s="263"/>
      <c r="CN66" s="263"/>
      <c r="CO66" s="263"/>
      <c r="CP66" s="263"/>
      <c r="CQ66" s="263"/>
      <c r="CR66" s="263"/>
      <c r="CS66" s="263"/>
      <c r="CT66" s="263"/>
      <c r="CU66" s="263"/>
      <c r="CV66" s="263"/>
      <c r="CW66" s="263"/>
      <c r="CX66" s="263"/>
      <c r="CY66" s="263"/>
      <c r="CZ66" s="263"/>
      <c r="DA66" s="263"/>
      <c r="DB66" s="263"/>
      <c r="DC66" s="263"/>
      <c r="DD66" s="263"/>
      <c r="DE66" s="263"/>
      <c r="DF66" s="263"/>
      <c r="DG66" s="263"/>
      <c r="DH66" s="263"/>
      <c r="DI66" s="263"/>
      <c r="DJ66" s="263"/>
      <c r="DK66" s="263"/>
      <c r="DL66" s="263"/>
      <c r="DM66" s="263"/>
      <c r="DN66" s="263"/>
      <c r="DO66" s="263"/>
      <c r="DP66" s="263"/>
      <c r="DQ66" s="263"/>
      <c r="DR66" s="263"/>
      <c r="DS66" s="263"/>
      <c r="DT66" s="263"/>
      <c r="DU66" s="263"/>
      <c r="DV66" s="263"/>
      <c r="DW66" s="263"/>
      <c r="DX66" s="263"/>
      <c r="DY66" s="263"/>
      <c r="DZ66" s="263"/>
      <c r="EA66" s="263"/>
      <c r="EB66" s="263"/>
      <c r="EC66" s="263"/>
      <c r="ED66" s="263"/>
      <c r="EE66" s="263"/>
      <c r="EF66" s="263"/>
      <c r="EG66" s="263"/>
      <c r="EH66" s="263"/>
      <c r="EI66" s="263"/>
      <c r="EJ66" s="263"/>
      <c r="EK66" s="263"/>
      <c r="EL66" s="263"/>
      <c r="EM66" s="263"/>
      <c r="EN66" s="263"/>
      <c r="EO66" s="263"/>
      <c r="EP66" s="263"/>
      <c r="EQ66" s="263"/>
      <c r="ER66" s="263"/>
      <c r="ES66" s="263"/>
      <c r="ET66" s="263"/>
      <c r="EU66" s="263"/>
      <c r="EV66" s="263"/>
      <c r="EW66" s="263"/>
      <c r="EX66" s="263"/>
      <c r="EY66" s="263"/>
      <c r="EZ66" s="263"/>
      <c r="FA66" s="263"/>
      <c r="FB66" s="263"/>
      <c r="FC66" s="263"/>
      <c r="FD66" s="263"/>
      <c r="FE66" s="263"/>
      <c r="FF66" s="263"/>
      <c r="FG66" s="263"/>
      <c r="FH66" s="263"/>
      <c r="FI66" s="263"/>
      <c r="FJ66" s="263"/>
      <c r="FK66" s="263"/>
      <c r="FL66" s="263"/>
      <c r="FM66" s="263"/>
      <c r="FN66" s="263"/>
      <c r="FO66" s="263"/>
      <c r="FP66" s="263"/>
      <c r="FQ66" s="263"/>
      <c r="FR66" s="263"/>
      <c r="FS66" s="263"/>
      <c r="FT66" s="263"/>
      <c r="FU66" s="263"/>
      <c r="FV66" s="263"/>
      <c r="FW66" s="263"/>
      <c r="FX66" s="263"/>
      <c r="FY66" s="263"/>
      <c r="FZ66" s="263"/>
      <c r="GA66" s="263"/>
      <c r="GB66" s="263"/>
      <c r="GC66" s="263"/>
      <c r="GD66" s="263"/>
      <c r="GE66" s="263"/>
      <c r="GF66" s="263"/>
      <c r="GG66" s="263"/>
      <c r="GH66" s="263"/>
      <c r="GI66" s="263"/>
      <c r="GJ66" s="263"/>
      <c r="GK66" s="263"/>
      <c r="GL66" s="263"/>
      <c r="GM66" s="263"/>
      <c r="GN66" s="263"/>
      <c r="GO66" s="263"/>
      <c r="GP66" s="263"/>
      <c r="GQ66" s="263"/>
      <c r="GR66" s="263"/>
      <c r="GS66" s="263"/>
      <c r="GT66" s="263"/>
      <c r="GU66" s="263"/>
      <c r="GV66" s="263"/>
      <c r="GW66" s="263"/>
      <c r="GX66" s="263"/>
      <c r="GY66" s="263"/>
      <c r="GZ66" s="263"/>
      <c r="HA66" s="263"/>
      <c r="HB66" s="263"/>
      <c r="HC66" s="263"/>
      <c r="HD66" s="263"/>
      <c r="HE66" s="263"/>
      <c r="HF66" s="263"/>
      <c r="HG66" s="263"/>
      <c r="HH66" s="263"/>
      <c r="HI66" s="263"/>
      <c r="HJ66" s="263"/>
      <c r="HK66" s="263"/>
      <c r="HL66" s="263"/>
      <c r="HM66" s="263"/>
      <c r="HN66" s="263"/>
      <c r="HO66" s="263"/>
      <c r="HP66" s="263"/>
      <c r="HQ66" s="263"/>
      <c r="HR66" s="263"/>
      <c r="HS66" s="263"/>
      <c r="HT66" s="263"/>
      <c r="HU66" s="263"/>
      <c r="HV66" s="263"/>
      <c r="HW66" s="263"/>
      <c r="HX66" s="263"/>
      <c r="HY66" s="263"/>
      <c r="HZ66" s="263"/>
      <c r="IA66" s="263"/>
      <c r="IB66" s="263"/>
      <c r="IC66" s="263"/>
      <c r="ID66" s="263"/>
      <c r="IE66" s="263"/>
      <c r="IF66" s="263"/>
      <c r="IG66" s="263"/>
      <c r="IH66" s="263"/>
      <c r="II66" s="263"/>
      <c r="IJ66" s="263"/>
      <c r="IK66" s="263"/>
      <c r="IL66" s="263"/>
      <c r="IM66" s="263"/>
      <c r="IN66" s="263"/>
      <c r="IO66" s="263"/>
      <c r="IP66" s="263"/>
      <c r="IQ66" s="263"/>
      <c r="IR66" s="263"/>
      <c r="IS66" s="263"/>
      <c r="IT66" s="263"/>
      <c r="IU66" s="263"/>
    </row>
    <row r="67" spans="1:255" ht="15.6">
      <c r="B67" s="281"/>
      <c r="W67" s="263"/>
      <c r="X67" s="263"/>
      <c r="Y67" s="263"/>
      <c r="Z67" s="263"/>
      <c r="AA67" s="263"/>
      <c r="AB67" s="263"/>
      <c r="AC67" s="263"/>
      <c r="AD67" s="263"/>
      <c r="AE67" s="263"/>
      <c r="AF67" s="263"/>
      <c r="AG67" s="263"/>
      <c r="AH67" s="263"/>
      <c r="AI67" s="263"/>
      <c r="AJ67" s="263"/>
      <c r="AK67" s="263"/>
      <c r="AL67" s="263"/>
      <c r="AM67" s="263"/>
      <c r="AN67" s="263"/>
      <c r="AO67" s="263"/>
      <c r="AP67" s="263"/>
      <c r="AQ67" s="263"/>
      <c r="AR67" s="263"/>
      <c r="AS67" s="263"/>
      <c r="AT67" s="263"/>
      <c r="AU67" s="263"/>
      <c r="AV67" s="263"/>
      <c r="AW67" s="263"/>
      <c r="AX67" s="263"/>
      <c r="AY67" s="263"/>
      <c r="AZ67" s="263"/>
      <c r="BA67" s="263"/>
      <c r="BB67" s="263"/>
      <c r="BC67" s="263"/>
      <c r="BD67" s="263"/>
      <c r="BE67" s="263"/>
      <c r="BF67" s="263"/>
      <c r="BG67" s="263"/>
      <c r="BH67" s="263"/>
      <c r="BI67" s="263"/>
      <c r="BJ67" s="263"/>
      <c r="BK67" s="263"/>
      <c r="BL67" s="263"/>
      <c r="BM67" s="263"/>
      <c r="BN67" s="263"/>
      <c r="BO67" s="263"/>
      <c r="BP67" s="263"/>
      <c r="BQ67" s="263"/>
      <c r="BR67" s="263"/>
      <c r="BS67" s="263"/>
      <c r="BT67" s="263"/>
      <c r="BU67" s="263"/>
      <c r="BV67" s="263"/>
      <c r="BW67" s="263"/>
      <c r="BX67" s="263"/>
      <c r="BY67" s="263"/>
      <c r="BZ67" s="263"/>
      <c r="CA67" s="263"/>
      <c r="CB67" s="263"/>
      <c r="CC67" s="263"/>
      <c r="CD67" s="263"/>
      <c r="CE67" s="263"/>
      <c r="CF67" s="263"/>
      <c r="CG67" s="263"/>
      <c r="CH67" s="263"/>
      <c r="CI67" s="263"/>
      <c r="CJ67" s="263"/>
      <c r="CK67" s="263"/>
      <c r="CL67" s="263"/>
      <c r="CM67" s="263"/>
      <c r="CN67" s="263"/>
      <c r="CO67" s="263"/>
      <c r="CP67" s="263"/>
      <c r="CQ67" s="263"/>
      <c r="CR67" s="263"/>
      <c r="CS67" s="263"/>
      <c r="CT67" s="263"/>
      <c r="CU67" s="263"/>
      <c r="CV67" s="263"/>
      <c r="CW67" s="263"/>
      <c r="CX67" s="263"/>
      <c r="CY67" s="263"/>
      <c r="CZ67" s="263"/>
      <c r="DA67" s="263"/>
      <c r="DB67" s="263"/>
      <c r="DC67" s="263"/>
      <c r="DD67" s="263"/>
      <c r="DE67" s="263"/>
      <c r="DF67" s="263"/>
      <c r="DG67" s="263"/>
      <c r="DH67" s="263"/>
      <c r="DI67" s="263"/>
      <c r="DJ67" s="263"/>
      <c r="DK67" s="263"/>
      <c r="DL67" s="263"/>
      <c r="DM67" s="263"/>
      <c r="DN67" s="263"/>
      <c r="DO67" s="263"/>
      <c r="DP67" s="263"/>
      <c r="DQ67" s="263"/>
      <c r="DR67" s="263"/>
      <c r="DS67" s="263"/>
      <c r="DT67" s="263"/>
      <c r="DU67" s="263"/>
      <c r="DV67" s="263"/>
      <c r="DW67" s="263"/>
      <c r="DX67" s="263"/>
      <c r="DY67" s="263"/>
      <c r="DZ67" s="263"/>
      <c r="EA67" s="263"/>
      <c r="EB67" s="263"/>
      <c r="EC67" s="263"/>
      <c r="ED67" s="263"/>
      <c r="EE67" s="263"/>
      <c r="EF67" s="263"/>
      <c r="EG67" s="263"/>
      <c r="EH67" s="263"/>
      <c r="EI67" s="263"/>
      <c r="EJ67" s="263"/>
      <c r="EK67" s="263"/>
      <c r="EL67" s="263"/>
      <c r="EM67" s="263"/>
      <c r="EN67" s="263"/>
      <c r="EO67" s="263"/>
      <c r="EP67" s="263"/>
      <c r="EQ67" s="263"/>
      <c r="ER67" s="263"/>
      <c r="ES67" s="263"/>
      <c r="ET67" s="263"/>
      <c r="EU67" s="263"/>
      <c r="EV67" s="263"/>
      <c r="EW67" s="263"/>
      <c r="EX67" s="263"/>
      <c r="EY67" s="263"/>
      <c r="EZ67" s="263"/>
      <c r="FA67" s="263"/>
      <c r="FB67" s="263"/>
      <c r="FC67" s="263"/>
      <c r="FD67" s="263"/>
      <c r="FE67" s="263"/>
      <c r="FF67" s="263"/>
      <c r="FG67" s="263"/>
      <c r="FH67" s="263"/>
      <c r="FI67" s="263"/>
      <c r="FJ67" s="263"/>
      <c r="FK67" s="263"/>
      <c r="FL67" s="263"/>
      <c r="FM67" s="263"/>
      <c r="FN67" s="263"/>
      <c r="FO67" s="263"/>
      <c r="FP67" s="263"/>
      <c r="FQ67" s="263"/>
      <c r="FR67" s="263"/>
      <c r="FS67" s="263"/>
      <c r="FT67" s="263"/>
      <c r="FU67" s="263"/>
      <c r="FV67" s="263"/>
      <c r="FW67" s="263"/>
      <c r="FX67" s="263"/>
      <c r="FY67" s="263"/>
      <c r="FZ67" s="263"/>
      <c r="GA67" s="263"/>
      <c r="GB67" s="263"/>
      <c r="GC67" s="263"/>
      <c r="GD67" s="263"/>
      <c r="GE67" s="263"/>
      <c r="GF67" s="263"/>
      <c r="GG67" s="263"/>
      <c r="GH67" s="263"/>
      <c r="GI67" s="263"/>
      <c r="GJ67" s="263"/>
      <c r="GK67" s="263"/>
      <c r="GL67" s="263"/>
      <c r="GM67" s="263"/>
      <c r="GN67" s="263"/>
      <c r="GO67" s="263"/>
      <c r="GP67" s="263"/>
      <c r="GQ67" s="263"/>
      <c r="GR67" s="263"/>
      <c r="GS67" s="263"/>
      <c r="GT67" s="263"/>
      <c r="GU67" s="263"/>
      <c r="GV67" s="263"/>
      <c r="GW67" s="263"/>
      <c r="GX67" s="263"/>
      <c r="GY67" s="263"/>
      <c r="GZ67" s="263"/>
      <c r="HA67" s="263"/>
      <c r="HB67" s="263"/>
      <c r="HC67" s="263"/>
      <c r="HD67" s="263"/>
      <c r="HE67" s="263"/>
      <c r="HF67" s="263"/>
      <c r="HG67" s="263"/>
      <c r="HH67" s="263"/>
      <c r="HI67" s="263"/>
      <c r="HJ67" s="263"/>
      <c r="HK67" s="263"/>
      <c r="HL67" s="263"/>
      <c r="HM67" s="263"/>
      <c r="HN67" s="263"/>
      <c r="HO67" s="263"/>
      <c r="HP67" s="263"/>
      <c r="HQ67" s="263"/>
      <c r="HR67" s="263"/>
      <c r="HS67" s="263"/>
      <c r="HT67" s="263"/>
      <c r="HU67" s="263"/>
      <c r="HV67" s="263"/>
      <c r="HW67" s="263"/>
      <c r="HX67" s="263"/>
      <c r="HY67" s="263"/>
      <c r="HZ67" s="263"/>
      <c r="IA67" s="263"/>
      <c r="IB67" s="263"/>
      <c r="IC67" s="263"/>
      <c r="ID67" s="263"/>
      <c r="IE67" s="263"/>
      <c r="IF67" s="263"/>
      <c r="IG67" s="263"/>
      <c r="IH67" s="263"/>
      <c r="II67" s="263"/>
      <c r="IJ67" s="263"/>
      <c r="IK67" s="263"/>
      <c r="IL67" s="263"/>
      <c r="IM67" s="263"/>
      <c r="IN67" s="263"/>
      <c r="IO67" s="263"/>
      <c r="IP67" s="263"/>
      <c r="IQ67" s="263"/>
      <c r="IR67" s="263"/>
      <c r="IS67" s="263"/>
      <c r="IT67" s="263"/>
      <c r="IU67" s="263"/>
    </row>
    <row r="68" spans="1:255" ht="15.6">
      <c r="W68" s="263"/>
      <c r="X68" s="263"/>
      <c r="Y68" s="263"/>
      <c r="Z68" s="263"/>
      <c r="AA68" s="263"/>
      <c r="AB68" s="263"/>
      <c r="AC68" s="263"/>
      <c r="AD68" s="263"/>
      <c r="AE68" s="263"/>
      <c r="AF68" s="263"/>
      <c r="AG68" s="263"/>
      <c r="AH68" s="263"/>
      <c r="AI68" s="263"/>
      <c r="AJ68" s="263"/>
      <c r="AK68" s="263"/>
      <c r="AL68" s="263"/>
      <c r="AM68" s="263"/>
      <c r="AN68" s="263"/>
      <c r="AO68" s="263"/>
      <c r="AP68" s="263"/>
      <c r="AQ68" s="263"/>
      <c r="AR68" s="263"/>
      <c r="AS68" s="263"/>
      <c r="AT68" s="263"/>
      <c r="AU68" s="263"/>
      <c r="AV68" s="263"/>
      <c r="AW68" s="263"/>
      <c r="AX68" s="263"/>
      <c r="AY68" s="263"/>
      <c r="AZ68" s="263"/>
      <c r="BA68" s="263"/>
      <c r="BB68" s="263"/>
      <c r="BC68" s="263"/>
      <c r="BD68" s="263"/>
      <c r="BE68" s="263"/>
      <c r="BF68" s="263"/>
      <c r="BG68" s="263"/>
      <c r="BH68" s="263"/>
      <c r="BI68" s="263"/>
      <c r="BJ68" s="263"/>
      <c r="BK68" s="263"/>
      <c r="BL68" s="263"/>
      <c r="BM68" s="263"/>
      <c r="BN68" s="263"/>
      <c r="BO68" s="263"/>
      <c r="BP68" s="263"/>
      <c r="BQ68" s="263"/>
      <c r="BR68" s="263"/>
      <c r="BS68" s="263"/>
      <c r="BT68" s="263"/>
      <c r="BU68" s="263"/>
      <c r="BV68" s="263"/>
      <c r="BW68" s="263"/>
      <c r="BX68" s="263"/>
      <c r="BY68" s="263"/>
      <c r="BZ68" s="263"/>
      <c r="CA68" s="263"/>
      <c r="CB68" s="263"/>
      <c r="CC68" s="263"/>
      <c r="CD68" s="263"/>
      <c r="CE68" s="263"/>
      <c r="CF68" s="263"/>
      <c r="CG68" s="263"/>
      <c r="CH68" s="263"/>
      <c r="CI68" s="263"/>
      <c r="CJ68" s="263"/>
      <c r="CK68" s="263"/>
      <c r="CL68" s="263"/>
      <c r="CM68" s="263"/>
      <c r="CN68" s="263"/>
      <c r="CO68" s="263"/>
      <c r="CP68" s="263"/>
      <c r="CQ68" s="263"/>
      <c r="CR68" s="263"/>
      <c r="CS68" s="263"/>
      <c r="CT68" s="263"/>
      <c r="CU68" s="263"/>
      <c r="CV68" s="263"/>
      <c r="CW68" s="263"/>
      <c r="CX68" s="263"/>
      <c r="CY68" s="263"/>
      <c r="CZ68" s="263"/>
      <c r="DA68" s="263"/>
      <c r="DB68" s="263"/>
      <c r="DC68" s="263"/>
      <c r="DD68" s="263"/>
      <c r="DE68" s="263"/>
      <c r="DF68" s="263"/>
      <c r="DG68" s="263"/>
      <c r="DH68" s="263"/>
      <c r="DI68" s="263"/>
      <c r="DJ68" s="263"/>
      <c r="DK68" s="263"/>
      <c r="DL68" s="263"/>
      <c r="DM68" s="263"/>
      <c r="DN68" s="263"/>
      <c r="DO68" s="263"/>
      <c r="DP68" s="263"/>
      <c r="DQ68" s="263"/>
      <c r="DR68" s="263"/>
      <c r="DS68" s="263"/>
      <c r="DT68" s="263"/>
      <c r="DU68" s="263"/>
      <c r="DV68" s="263"/>
      <c r="DW68" s="263"/>
      <c r="DX68" s="263"/>
      <c r="DY68" s="263"/>
      <c r="DZ68" s="263"/>
      <c r="EA68" s="263"/>
      <c r="EB68" s="263"/>
      <c r="EC68" s="263"/>
      <c r="ED68" s="263"/>
      <c r="EE68" s="263"/>
      <c r="EF68" s="263"/>
      <c r="EG68" s="263"/>
      <c r="EH68" s="263"/>
      <c r="EI68" s="263"/>
      <c r="EJ68" s="263"/>
      <c r="EK68" s="263"/>
      <c r="EL68" s="263"/>
      <c r="EM68" s="263"/>
      <c r="EN68" s="263"/>
      <c r="EO68" s="263"/>
      <c r="EP68" s="263"/>
      <c r="EQ68" s="263"/>
      <c r="ER68" s="263"/>
      <c r="ES68" s="263"/>
      <c r="ET68" s="263"/>
      <c r="EU68" s="263"/>
      <c r="EV68" s="263"/>
      <c r="EW68" s="263"/>
      <c r="EX68" s="263"/>
      <c r="EY68" s="263"/>
      <c r="EZ68" s="263"/>
      <c r="FA68" s="263"/>
      <c r="FB68" s="263"/>
      <c r="FC68" s="263"/>
      <c r="FD68" s="263"/>
      <c r="FE68" s="263"/>
      <c r="FF68" s="263"/>
      <c r="FG68" s="263"/>
      <c r="FH68" s="263"/>
      <c r="FI68" s="263"/>
      <c r="FJ68" s="263"/>
      <c r="FK68" s="263"/>
      <c r="FL68" s="263"/>
      <c r="FM68" s="263"/>
      <c r="FN68" s="263"/>
      <c r="FO68" s="263"/>
      <c r="FP68" s="263"/>
      <c r="FQ68" s="263"/>
      <c r="FR68" s="263"/>
      <c r="FS68" s="263"/>
      <c r="FT68" s="263"/>
      <c r="FU68" s="263"/>
      <c r="FV68" s="263"/>
      <c r="FW68" s="263"/>
      <c r="FX68" s="263"/>
      <c r="FY68" s="263"/>
      <c r="FZ68" s="263"/>
      <c r="GA68" s="263"/>
      <c r="GB68" s="263"/>
      <c r="GC68" s="263"/>
      <c r="GD68" s="263"/>
      <c r="GE68" s="263"/>
      <c r="GF68" s="263"/>
      <c r="GG68" s="263"/>
      <c r="GH68" s="263"/>
      <c r="GI68" s="263"/>
      <c r="GJ68" s="263"/>
      <c r="GK68" s="263"/>
      <c r="GL68" s="263"/>
      <c r="GM68" s="263"/>
      <c r="GN68" s="263"/>
      <c r="GO68" s="263"/>
      <c r="GP68" s="263"/>
      <c r="GQ68" s="263"/>
      <c r="GR68" s="263"/>
      <c r="GS68" s="263"/>
      <c r="GT68" s="263"/>
      <c r="GU68" s="263"/>
      <c r="GV68" s="263"/>
      <c r="GW68" s="263"/>
      <c r="GX68" s="263"/>
      <c r="GY68" s="263"/>
      <c r="GZ68" s="263"/>
      <c r="HA68" s="263"/>
      <c r="HB68" s="263"/>
      <c r="HC68" s="263"/>
      <c r="HD68" s="263"/>
      <c r="HE68" s="263"/>
      <c r="HF68" s="263"/>
      <c r="HG68" s="263"/>
      <c r="HH68" s="263"/>
      <c r="HI68" s="263"/>
      <c r="HJ68" s="263"/>
      <c r="HK68" s="263"/>
      <c r="HL68" s="263"/>
      <c r="HM68" s="263"/>
      <c r="HN68" s="263"/>
      <c r="HO68" s="263"/>
      <c r="HP68" s="263"/>
      <c r="HQ68" s="263"/>
      <c r="HR68" s="263"/>
      <c r="HS68" s="263"/>
      <c r="HT68" s="263"/>
      <c r="HU68" s="263"/>
      <c r="HV68" s="263"/>
      <c r="HW68" s="263"/>
      <c r="HX68" s="263"/>
      <c r="HY68" s="263"/>
      <c r="HZ68" s="263"/>
      <c r="IA68" s="263"/>
      <c r="IB68" s="263"/>
      <c r="IC68" s="263"/>
      <c r="ID68" s="263"/>
      <c r="IE68" s="263"/>
      <c r="IF68" s="263"/>
      <c r="IG68" s="263"/>
      <c r="IH68" s="263"/>
      <c r="II68" s="263"/>
      <c r="IJ68" s="263"/>
      <c r="IK68" s="263"/>
      <c r="IL68" s="263"/>
      <c r="IM68" s="263"/>
      <c r="IN68" s="263"/>
      <c r="IO68" s="263"/>
      <c r="IP68" s="263"/>
      <c r="IQ68" s="263"/>
      <c r="IR68" s="263"/>
      <c r="IS68" s="263"/>
      <c r="IT68" s="263"/>
      <c r="IU68" s="263"/>
    </row>
    <row r="69" spans="1:255" ht="15.6">
      <c r="W69" s="263"/>
      <c r="X69" s="263"/>
      <c r="Y69" s="263"/>
      <c r="Z69" s="263"/>
      <c r="AA69" s="263"/>
      <c r="AB69" s="263"/>
      <c r="AC69" s="263"/>
      <c r="AD69" s="263"/>
      <c r="AE69" s="263"/>
      <c r="AF69" s="263"/>
      <c r="AG69" s="263"/>
      <c r="AH69" s="263"/>
      <c r="AI69" s="263"/>
      <c r="AJ69" s="263"/>
      <c r="AK69" s="263"/>
      <c r="AL69" s="263"/>
      <c r="AM69" s="263"/>
      <c r="AN69" s="263"/>
      <c r="AO69" s="263"/>
      <c r="AP69" s="263"/>
      <c r="AQ69" s="263"/>
      <c r="AR69" s="263"/>
      <c r="AS69" s="263"/>
      <c r="AT69" s="263"/>
      <c r="AU69" s="263"/>
      <c r="AV69" s="263"/>
      <c r="AW69" s="263"/>
      <c r="AX69" s="263"/>
      <c r="AY69" s="263"/>
      <c r="AZ69" s="263"/>
      <c r="BA69" s="263"/>
      <c r="BB69" s="263"/>
      <c r="BC69" s="263"/>
      <c r="BD69" s="263"/>
      <c r="BE69" s="263"/>
      <c r="BF69" s="263"/>
      <c r="BG69" s="263"/>
      <c r="BH69" s="263"/>
      <c r="BI69" s="263"/>
      <c r="BJ69" s="263"/>
      <c r="BK69" s="263"/>
      <c r="BL69" s="263"/>
      <c r="BM69" s="263"/>
      <c r="BN69" s="263"/>
      <c r="BO69" s="263"/>
      <c r="BP69" s="263"/>
      <c r="BQ69" s="263"/>
      <c r="BR69" s="263"/>
      <c r="BS69" s="263"/>
      <c r="BT69" s="263"/>
      <c r="BU69" s="263"/>
      <c r="BV69" s="263"/>
      <c r="BW69" s="263"/>
      <c r="BX69" s="263"/>
      <c r="BY69" s="263"/>
      <c r="BZ69" s="263"/>
      <c r="CA69" s="263"/>
      <c r="CB69" s="263"/>
      <c r="CC69" s="263"/>
      <c r="CD69" s="263"/>
      <c r="CE69" s="263"/>
      <c r="CF69" s="263"/>
      <c r="CG69" s="263"/>
      <c r="CH69" s="263"/>
      <c r="CI69" s="263"/>
      <c r="CJ69" s="263"/>
      <c r="CK69" s="263"/>
      <c r="CL69" s="263"/>
      <c r="CM69" s="263"/>
      <c r="CN69" s="263"/>
      <c r="CO69" s="263"/>
      <c r="CP69" s="263"/>
      <c r="CQ69" s="263"/>
      <c r="CR69" s="263"/>
      <c r="CS69" s="263"/>
      <c r="CT69" s="263"/>
      <c r="CU69" s="263"/>
      <c r="CV69" s="263"/>
      <c r="CW69" s="263"/>
      <c r="CX69" s="263"/>
      <c r="CY69" s="263"/>
      <c r="CZ69" s="263"/>
      <c r="DA69" s="263"/>
      <c r="DB69" s="263"/>
      <c r="DC69" s="263"/>
      <c r="DD69" s="263"/>
      <c r="DE69" s="263"/>
      <c r="DF69" s="263"/>
      <c r="DG69" s="263"/>
      <c r="DH69" s="263"/>
      <c r="DI69" s="263"/>
      <c r="DJ69" s="263"/>
      <c r="DK69" s="263"/>
      <c r="DL69" s="263"/>
      <c r="DM69" s="263"/>
      <c r="DN69" s="263"/>
      <c r="DO69" s="263"/>
      <c r="DP69" s="263"/>
      <c r="DQ69" s="263"/>
      <c r="DR69" s="263"/>
      <c r="DS69" s="263"/>
      <c r="DT69" s="263"/>
      <c r="DU69" s="263"/>
      <c r="DV69" s="263"/>
      <c r="DW69" s="263"/>
      <c r="DX69" s="263"/>
      <c r="DY69" s="263"/>
      <c r="DZ69" s="263"/>
      <c r="EA69" s="263"/>
      <c r="EB69" s="263"/>
      <c r="EC69" s="263"/>
      <c r="ED69" s="263"/>
      <c r="EE69" s="263"/>
      <c r="EF69" s="263"/>
      <c r="EG69" s="263"/>
      <c r="EH69" s="263"/>
      <c r="EI69" s="263"/>
      <c r="EJ69" s="263"/>
      <c r="EK69" s="263"/>
      <c r="EL69" s="263"/>
      <c r="EM69" s="263"/>
      <c r="EN69" s="263"/>
      <c r="EO69" s="263"/>
      <c r="EP69" s="263"/>
      <c r="EQ69" s="263"/>
      <c r="ER69" s="263"/>
      <c r="ES69" s="263"/>
      <c r="ET69" s="263"/>
      <c r="EU69" s="263"/>
      <c r="EV69" s="263"/>
      <c r="EW69" s="263"/>
      <c r="EX69" s="263"/>
      <c r="EY69" s="263"/>
      <c r="EZ69" s="263"/>
      <c r="FA69" s="263"/>
      <c r="FB69" s="263"/>
      <c r="FC69" s="263"/>
      <c r="FD69" s="263"/>
      <c r="FE69" s="263"/>
      <c r="FF69" s="263"/>
      <c r="FG69" s="263"/>
      <c r="FH69" s="263"/>
      <c r="FI69" s="263"/>
      <c r="FJ69" s="263"/>
      <c r="FK69" s="263"/>
      <c r="FL69" s="263"/>
      <c r="FM69" s="263"/>
      <c r="FN69" s="263"/>
      <c r="FO69" s="263"/>
      <c r="FP69" s="263"/>
      <c r="FQ69" s="263"/>
      <c r="FR69" s="263"/>
      <c r="FS69" s="263"/>
      <c r="FT69" s="263"/>
      <c r="FU69" s="263"/>
      <c r="FV69" s="263"/>
      <c r="FW69" s="263"/>
      <c r="FX69" s="263"/>
      <c r="FY69" s="263"/>
      <c r="FZ69" s="263"/>
      <c r="GA69" s="263"/>
      <c r="GB69" s="263"/>
      <c r="GC69" s="263"/>
      <c r="GD69" s="263"/>
      <c r="GE69" s="263"/>
      <c r="GF69" s="263"/>
      <c r="GG69" s="263"/>
      <c r="GH69" s="263"/>
      <c r="GI69" s="263"/>
      <c r="GJ69" s="263"/>
      <c r="GK69" s="263"/>
      <c r="GL69" s="263"/>
      <c r="GM69" s="263"/>
      <c r="GN69" s="263"/>
      <c r="GO69" s="263"/>
      <c r="GP69" s="263"/>
      <c r="GQ69" s="263"/>
      <c r="GR69" s="263"/>
      <c r="GS69" s="263"/>
      <c r="GT69" s="263"/>
      <c r="GU69" s="263"/>
      <c r="GV69" s="263"/>
      <c r="GW69" s="263"/>
      <c r="GX69" s="263"/>
      <c r="GY69" s="263"/>
      <c r="GZ69" s="263"/>
      <c r="HA69" s="263"/>
      <c r="HB69" s="263"/>
      <c r="HC69" s="263"/>
      <c r="HD69" s="263"/>
      <c r="HE69" s="263"/>
      <c r="HF69" s="263"/>
      <c r="HG69" s="263"/>
      <c r="HH69" s="263"/>
      <c r="HI69" s="263"/>
      <c r="HJ69" s="263"/>
      <c r="HK69" s="263"/>
      <c r="HL69" s="263"/>
      <c r="HM69" s="263"/>
      <c r="HN69" s="263"/>
      <c r="HO69" s="263"/>
      <c r="HP69" s="263"/>
      <c r="HQ69" s="263"/>
      <c r="HR69" s="263"/>
      <c r="HS69" s="263"/>
      <c r="HT69" s="263"/>
      <c r="HU69" s="263"/>
      <c r="HV69" s="263"/>
      <c r="HW69" s="263"/>
      <c r="HX69" s="263"/>
      <c r="HY69" s="263"/>
      <c r="HZ69" s="263"/>
      <c r="IA69" s="263"/>
      <c r="IB69" s="263"/>
      <c r="IC69" s="263"/>
      <c r="ID69" s="263"/>
      <c r="IE69" s="263"/>
      <c r="IF69" s="263"/>
      <c r="IG69" s="263"/>
      <c r="IH69" s="263"/>
      <c r="II69" s="263"/>
      <c r="IJ69" s="263"/>
      <c r="IK69" s="263"/>
      <c r="IL69" s="263"/>
      <c r="IM69" s="263"/>
      <c r="IN69" s="263"/>
      <c r="IO69" s="263"/>
      <c r="IP69" s="263"/>
      <c r="IQ69" s="263"/>
      <c r="IR69" s="263"/>
      <c r="IS69" s="263"/>
      <c r="IT69" s="263"/>
      <c r="IU69" s="263"/>
    </row>
    <row r="70" spans="1:255" ht="15.6">
      <c r="W70" s="263"/>
      <c r="X70" s="263"/>
      <c r="Y70" s="263"/>
      <c r="Z70" s="263"/>
      <c r="AA70" s="263"/>
      <c r="AB70" s="263"/>
      <c r="AC70" s="263"/>
      <c r="AD70" s="263"/>
      <c r="AE70" s="263"/>
      <c r="AF70" s="263"/>
      <c r="AG70" s="263"/>
      <c r="AH70" s="263"/>
      <c r="AI70" s="263"/>
      <c r="AJ70" s="263"/>
      <c r="AK70" s="263"/>
      <c r="AL70" s="263"/>
      <c r="AM70" s="263"/>
      <c r="AN70" s="263"/>
      <c r="AO70" s="263"/>
      <c r="AP70" s="263"/>
      <c r="AQ70" s="263"/>
      <c r="AR70" s="263"/>
      <c r="AS70" s="263"/>
      <c r="AT70" s="263"/>
      <c r="AU70" s="263"/>
      <c r="AV70" s="263"/>
      <c r="AW70" s="263"/>
      <c r="AX70" s="263"/>
      <c r="AY70" s="263"/>
      <c r="AZ70" s="263"/>
      <c r="BA70" s="263"/>
      <c r="BB70" s="263"/>
      <c r="BC70" s="263"/>
      <c r="BD70" s="263"/>
      <c r="BE70" s="263"/>
      <c r="BF70" s="263"/>
      <c r="BG70" s="263"/>
      <c r="BH70" s="263"/>
      <c r="BI70" s="263"/>
      <c r="BJ70" s="263"/>
      <c r="BK70" s="263"/>
      <c r="BL70" s="263"/>
      <c r="BM70" s="263"/>
      <c r="BN70" s="263"/>
      <c r="BO70" s="263"/>
      <c r="BP70" s="263"/>
      <c r="BQ70" s="263"/>
      <c r="BR70" s="263"/>
      <c r="BS70" s="263"/>
      <c r="BT70" s="263"/>
      <c r="BU70" s="263"/>
      <c r="BV70" s="263"/>
      <c r="BW70" s="263"/>
      <c r="BX70" s="263"/>
      <c r="BY70" s="263"/>
      <c r="BZ70" s="263"/>
      <c r="CA70" s="263"/>
      <c r="CB70" s="263"/>
      <c r="CC70" s="263"/>
      <c r="CD70" s="263"/>
      <c r="CE70" s="263"/>
      <c r="CF70" s="263"/>
      <c r="CG70" s="263"/>
      <c r="CH70" s="263"/>
      <c r="CI70" s="263"/>
      <c r="CJ70" s="263"/>
      <c r="CK70" s="263"/>
      <c r="CL70" s="263"/>
      <c r="CM70" s="263"/>
      <c r="CN70" s="263"/>
      <c r="CO70" s="263"/>
      <c r="CP70" s="263"/>
      <c r="CQ70" s="263"/>
      <c r="CR70" s="263"/>
      <c r="CS70" s="263"/>
      <c r="CT70" s="263"/>
      <c r="CU70" s="263"/>
      <c r="CV70" s="263"/>
      <c r="CW70" s="263"/>
      <c r="CX70" s="263"/>
      <c r="CY70" s="263"/>
      <c r="CZ70" s="263"/>
      <c r="DA70" s="263"/>
      <c r="DB70" s="263"/>
      <c r="DC70" s="263"/>
      <c r="DD70" s="263"/>
      <c r="DE70" s="263"/>
      <c r="DF70" s="263"/>
      <c r="DG70" s="263"/>
      <c r="DH70" s="263"/>
      <c r="DI70" s="263"/>
      <c r="DJ70" s="263"/>
      <c r="DK70" s="263"/>
      <c r="DL70" s="263"/>
      <c r="DM70" s="263"/>
      <c r="DN70" s="263"/>
      <c r="DO70" s="263"/>
      <c r="DP70" s="263"/>
      <c r="DQ70" s="263"/>
      <c r="DR70" s="263"/>
      <c r="DS70" s="263"/>
      <c r="DT70" s="263"/>
      <c r="DU70" s="263"/>
      <c r="DV70" s="263"/>
      <c r="DW70" s="263"/>
      <c r="DX70" s="263"/>
      <c r="DY70" s="263"/>
      <c r="DZ70" s="263"/>
      <c r="EA70" s="263"/>
      <c r="EB70" s="263"/>
      <c r="EC70" s="263"/>
      <c r="ED70" s="263"/>
      <c r="EE70" s="263"/>
      <c r="EF70" s="263"/>
      <c r="EG70" s="263"/>
      <c r="EH70" s="263"/>
      <c r="EI70" s="263"/>
      <c r="EJ70" s="263"/>
      <c r="EK70" s="263"/>
      <c r="EL70" s="263"/>
      <c r="EM70" s="263"/>
      <c r="EN70" s="263"/>
      <c r="EO70" s="263"/>
      <c r="EP70" s="263"/>
      <c r="EQ70" s="263"/>
      <c r="ER70" s="263"/>
      <c r="ES70" s="263"/>
      <c r="ET70" s="263"/>
      <c r="EU70" s="263"/>
      <c r="EV70" s="263"/>
      <c r="EW70" s="263"/>
      <c r="EX70" s="263"/>
      <c r="EY70" s="263"/>
      <c r="EZ70" s="263"/>
      <c r="FA70" s="263"/>
      <c r="FB70" s="263"/>
      <c r="FC70" s="263"/>
      <c r="FD70" s="263"/>
      <c r="FE70" s="263"/>
      <c r="FF70" s="263"/>
      <c r="FG70" s="263"/>
      <c r="FH70" s="263"/>
      <c r="FI70" s="263"/>
      <c r="FJ70" s="263"/>
      <c r="FK70" s="263"/>
      <c r="FL70" s="263"/>
      <c r="FM70" s="263"/>
      <c r="FN70" s="263"/>
      <c r="FO70" s="263"/>
      <c r="FP70" s="263"/>
      <c r="FQ70" s="263"/>
      <c r="FR70" s="263"/>
      <c r="FS70" s="263"/>
      <c r="FT70" s="263"/>
      <c r="FU70" s="263"/>
      <c r="FV70" s="263"/>
      <c r="FW70" s="263"/>
      <c r="FX70" s="263"/>
      <c r="FY70" s="263"/>
      <c r="FZ70" s="263"/>
      <c r="GA70" s="263"/>
      <c r="GB70" s="263"/>
      <c r="GC70" s="263"/>
      <c r="GD70" s="263"/>
      <c r="GE70" s="263"/>
      <c r="GF70" s="263"/>
      <c r="GG70" s="263"/>
      <c r="GH70" s="263"/>
      <c r="GI70" s="263"/>
      <c r="GJ70" s="263"/>
      <c r="GK70" s="263"/>
      <c r="GL70" s="263"/>
      <c r="GM70" s="263"/>
      <c r="GN70" s="263"/>
      <c r="GO70" s="263"/>
      <c r="GP70" s="263"/>
      <c r="GQ70" s="263"/>
      <c r="GR70" s="263"/>
      <c r="GS70" s="263"/>
      <c r="GT70" s="263"/>
      <c r="GU70" s="263"/>
      <c r="GV70" s="263"/>
      <c r="GW70" s="263"/>
      <c r="GX70" s="263"/>
      <c r="GY70" s="263"/>
      <c r="GZ70" s="263"/>
      <c r="HA70" s="263"/>
      <c r="HB70" s="263"/>
      <c r="HC70" s="263"/>
      <c r="HD70" s="263"/>
      <c r="HE70" s="263"/>
      <c r="HF70" s="263"/>
      <c r="HG70" s="263"/>
      <c r="HH70" s="263"/>
      <c r="HI70" s="263"/>
      <c r="HJ70" s="263"/>
      <c r="HK70" s="263"/>
      <c r="HL70" s="263"/>
      <c r="HM70" s="263"/>
      <c r="HN70" s="263"/>
      <c r="HO70" s="263"/>
      <c r="HP70" s="263"/>
      <c r="HQ70" s="263"/>
      <c r="HR70" s="263"/>
      <c r="HS70" s="263"/>
      <c r="HT70" s="263"/>
      <c r="HU70" s="263"/>
      <c r="HV70" s="263"/>
      <c r="HW70" s="263"/>
      <c r="HX70" s="263"/>
      <c r="HY70" s="263"/>
      <c r="HZ70" s="263"/>
      <c r="IA70" s="263"/>
      <c r="IB70" s="263"/>
      <c r="IC70" s="263"/>
      <c r="ID70" s="263"/>
      <c r="IE70" s="263"/>
      <c r="IF70" s="263"/>
      <c r="IG70" s="263"/>
      <c r="IH70" s="263"/>
      <c r="II70" s="263"/>
      <c r="IJ70" s="263"/>
      <c r="IK70" s="263"/>
      <c r="IL70" s="263"/>
      <c r="IM70" s="263"/>
      <c r="IN70" s="263"/>
      <c r="IO70" s="263"/>
      <c r="IP70" s="263"/>
      <c r="IQ70" s="263"/>
      <c r="IR70" s="263"/>
      <c r="IS70" s="263"/>
      <c r="IT70" s="263"/>
      <c r="IU70" s="263"/>
    </row>
    <row r="71" spans="1:255" ht="15.6">
      <c r="W71" s="263"/>
      <c r="X71" s="263"/>
      <c r="Y71" s="263"/>
      <c r="Z71" s="263"/>
      <c r="AA71" s="263"/>
      <c r="AB71" s="263"/>
      <c r="AC71" s="263"/>
      <c r="AD71" s="263"/>
      <c r="AE71" s="263"/>
      <c r="AF71" s="263"/>
      <c r="AG71" s="263"/>
      <c r="AH71" s="263"/>
      <c r="AI71" s="263"/>
      <c r="AJ71" s="263"/>
      <c r="AK71" s="263"/>
      <c r="AL71" s="263"/>
      <c r="AM71" s="263"/>
      <c r="AN71" s="263"/>
      <c r="AO71" s="263"/>
      <c r="AP71" s="263"/>
      <c r="AQ71" s="263"/>
      <c r="AR71" s="263"/>
      <c r="AS71" s="263"/>
      <c r="AT71" s="263"/>
      <c r="AU71" s="263"/>
      <c r="AV71" s="263"/>
      <c r="AW71" s="263"/>
      <c r="AX71" s="263"/>
      <c r="AY71" s="263"/>
      <c r="AZ71" s="263"/>
      <c r="BA71" s="263"/>
      <c r="BB71" s="263"/>
      <c r="BC71" s="263"/>
      <c r="BD71" s="263"/>
      <c r="BE71" s="263"/>
      <c r="BF71" s="263"/>
      <c r="BG71" s="263"/>
      <c r="BH71" s="263"/>
      <c r="BI71" s="263"/>
      <c r="BJ71" s="263"/>
      <c r="BK71" s="263"/>
      <c r="BL71" s="263"/>
      <c r="BM71" s="263"/>
      <c r="BN71" s="263"/>
      <c r="BO71" s="263"/>
      <c r="BP71" s="263"/>
      <c r="BQ71" s="263"/>
      <c r="BR71" s="263"/>
      <c r="BS71" s="263"/>
      <c r="BT71" s="263"/>
      <c r="BU71" s="263"/>
      <c r="BV71" s="263"/>
      <c r="BW71" s="263"/>
      <c r="BX71" s="263"/>
      <c r="BY71" s="263"/>
      <c r="BZ71" s="263"/>
      <c r="CA71" s="263"/>
      <c r="CB71" s="263"/>
      <c r="CC71" s="263"/>
      <c r="CD71" s="263"/>
      <c r="CE71" s="263"/>
      <c r="CF71" s="263"/>
      <c r="CG71" s="263"/>
      <c r="CH71" s="263"/>
      <c r="CI71" s="263"/>
      <c r="CJ71" s="263"/>
      <c r="CK71" s="263"/>
      <c r="CL71" s="263"/>
      <c r="CM71" s="263"/>
      <c r="CN71" s="263"/>
      <c r="CO71" s="263"/>
      <c r="CP71" s="263"/>
      <c r="CQ71" s="263"/>
      <c r="CR71" s="263"/>
      <c r="CS71" s="263"/>
      <c r="CT71" s="263"/>
      <c r="CU71" s="263"/>
      <c r="CV71" s="263"/>
      <c r="CW71" s="263"/>
      <c r="CX71" s="263"/>
      <c r="CY71" s="263"/>
      <c r="CZ71" s="263"/>
      <c r="DA71" s="263"/>
      <c r="DB71" s="263"/>
      <c r="DC71" s="263"/>
      <c r="DD71" s="263"/>
      <c r="DE71" s="263"/>
      <c r="DF71" s="263"/>
      <c r="DG71" s="263"/>
      <c r="DH71" s="263"/>
      <c r="DI71" s="263"/>
      <c r="DJ71" s="263"/>
      <c r="DK71" s="263"/>
      <c r="DL71" s="263"/>
      <c r="DM71" s="263"/>
      <c r="DN71" s="263"/>
      <c r="DO71" s="263"/>
      <c r="DP71" s="263"/>
      <c r="DQ71" s="263"/>
      <c r="DR71" s="263"/>
      <c r="DS71" s="263"/>
      <c r="DT71" s="263"/>
      <c r="DU71" s="263"/>
      <c r="DV71" s="263"/>
      <c r="DW71" s="263"/>
      <c r="DX71" s="263"/>
      <c r="DY71" s="263"/>
      <c r="DZ71" s="263"/>
      <c r="EA71" s="263"/>
      <c r="EB71" s="263"/>
      <c r="EC71" s="263"/>
      <c r="ED71" s="263"/>
      <c r="EE71" s="263"/>
      <c r="EF71" s="263"/>
      <c r="EG71" s="263"/>
      <c r="EH71" s="263"/>
      <c r="EI71" s="263"/>
      <c r="EJ71" s="263"/>
      <c r="EK71" s="263"/>
      <c r="EL71" s="263"/>
      <c r="EM71" s="263"/>
      <c r="EN71" s="263"/>
      <c r="EO71" s="263"/>
      <c r="EP71" s="263"/>
      <c r="EQ71" s="263"/>
      <c r="ER71" s="263"/>
      <c r="ES71" s="263"/>
      <c r="ET71" s="263"/>
      <c r="EU71" s="263"/>
      <c r="EV71" s="263"/>
      <c r="EW71" s="263"/>
      <c r="EX71" s="263"/>
      <c r="EY71" s="263"/>
      <c r="EZ71" s="263"/>
      <c r="FA71" s="263"/>
      <c r="FB71" s="263"/>
      <c r="FC71" s="263"/>
      <c r="FD71" s="263"/>
      <c r="FE71" s="263"/>
      <c r="FF71" s="263"/>
      <c r="FG71" s="263"/>
      <c r="FH71" s="263"/>
      <c r="FI71" s="263"/>
      <c r="FJ71" s="263"/>
      <c r="FK71" s="263"/>
      <c r="FL71" s="263"/>
      <c r="FM71" s="263"/>
      <c r="FN71" s="263"/>
      <c r="FO71" s="263"/>
      <c r="FP71" s="263"/>
      <c r="FQ71" s="263"/>
      <c r="FR71" s="263"/>
      <c r="FS71" s="263"/>
      <c r="FT71" s="263"/>
      <c r="FU71" s="263"/>
      <c r="FV71" s="263"/>
      <c r="FW71" s="263"/>
      <c r="FX71" s="263"/>
      <c r="FY71" s="263"/>
      <c r="FZ71" s="263"/>
      <c r="GA71" s="263"/>
      <c r="GB71" s="263"/>
      <c r="GC71" s="263"/>
      <c r="GD71" s="263"/>
      <c r="GE71" s="263"/>
      <c r="GF71" s="263"/>
      <c r="GG71" s="263"/>
      <c r="GH71" s="263"/>
      <c r="GI71" s="263"/>
      <c r="GJ71" s="263"/>
      <c r="GK71" s="263"/>
      <c r="GL71" s="263"/>
      <c r="GM71" s="263"/>
      <c r="GN71" s="263"/>
      <c r="GO71" s="263"/>
      <c r="GP71" s="263"/>
      <c r="GQ71" s="263"/>
      <c r="GR71" s="263"/>
      <c r="GS71" s="263"/>
      <c r="GT71" s="263"/>
      <c r="GU71" s="263"/>
      <c r="GV71" s="263"/>
      <c r="GW71" s="263"/>
      <c r="GX71" s="263"/>
      <c r="GY71" s="263"/>
      <c r="GZ71" s="263"/>
      <c r="HA71" s="263"/>
      <c r="HB71" s="263"/>
      <c r="HC71" s="263"/>
      <c r="HD71" s="263"/>
      <c r="HE71" s="263"/>
      <c r="HF71" s="263"/>
      <c r="HG71" s="263"/>
      <c r="HH71" s="263"/>
      <c r="HI71" s="263"/>
      <c r="HJ71" s="263"/>
      <c r="HK71" s="263"/>
      <c r="HL71" s="263"/>
      <c r="HM71" s="263"/>
      <c r="HN71" s="263"/>
      <c r="HO71" s="263"/>
      <c r="HP71" s="263"/>
      <c r="HQ71" s="263"/>
      <c r="HR71" s="263"/>
      <c r="HS71" s="263"/>
      <c r="HT71" s="263"/>
      <c r="HU71" s="263"/>
      <c r="HV71" s="263"/>
      <c r="HW71" s="263"/>
      <c r="HX71" s="263"/>
      <c r="HY71" s="263"/>
      <c r="HZ71" s="263"/>
      <c r="IA71" s="263"/>
      <c r="IB71" s="263"/>
      <c r="IC71" s="263"/>
      <c r="ID71" s="263"/>
      <c r="IE71" s="263"/>
      <c r="IF71" s="263"/>
      <c r="IG71" s="263"/>
      <c r="IH71" s="263"/>
      <c r="II71" s="263"/>
      <c r="IJ71" s="263"/>
      <c r="IK71" s="263"/>
      <c r="IL71" s="263"/>
      <c r="IM71" s="263"/>
      <c r="IN71" s="263"/>
      <c r="IO71" s="263"/>
      <c r="IP71" s="263"/>
      <c r="IQ71" s="263"/>
      <c r="IR71" s="263"/>
      <c r="IS71" s="263"/>
      <c r="IT71" s="263"/>
      <c r="IU71" s="263"/>
    </row>
    <row r="72" spans="1:255" ht="15.6">
      <c r="A72" s="263"/>
      <c r="B72" s="263"/>
      <c r="C72" s="263"/>
      <c r="D72" s="263"/>
      <c r="E72" s="263"/>
      <c r="F72" s="263"/>
      <c r="G72" s="263"/>
      <c r="H72" s="263"/>
      <c r="I72" s="263"/>
      <c r="J72" s="263"/>
      <c r="K72" s="263"/>
      <c r="L72" s="263"/>
      <c r="M72" s="263"/>
      <c r="N72" s="263"/>
      <c r="O72" s="263"/>
      <c r="P72" s="263"/>
      <c r="Q72" s="263"/>
      <c r="R72" s="263"/>
      <c r="S72" s="263"/>
      <c r="T72" s="263"/>
      <c r="U72" s="263"/>
      <c r="V72" s="263"/>
      <c r="W72" s="263"/>
      <c r="X72" s="263"/>
      <c r="Y72" s="263"/>
      <c r="Z72" s="263"/>
      <c r="AA72" s="263"/>
      <c r="AB72" s="263"/>
      <c r="AC72" s="263"/>
      <c r="AD72" s="263"/>
      <c r="AE72" s="263"/>
      <c r="AF72" s="263"/>
      <c r="AG72" s="263"/>
      <c r="AH72" s="263"/>
      <c r="AI72" s="263"/>
      <c r="AJ72" s="263"/>
      <c r="AK72" s="263"/>
      <c r="AL72" s="263"/>
      <c r="AM72" s="263"/>
      <c r="AN72" s="263"/>
      <c r="AO72" s="263"/>
      <c r="AP72" s="263"/>
      <c r="AQ72" s="263"/>
      <c r="AR72" s="263"/>
      <c r="AS72" s="263"/>
      <c r="AT72" s="263"/>
      <c r="AU72" s="263"/>
      <c r="AV72" s="263"/>
      <c r="AW72" s="263"/>
      <c r="AX72" s="263"/>
      <c r="AY72" s="263"/>
      <c r="AZ72" s="263"/>
      <c r="BA72" s="263"/>
      <c r="BB72" s="263"/>
      <c r="BC72" s="263"/>
      <c r="BD72" s="263"/>
      <c r="BE72" s="263"/>
      <c r="BF72" s="263"/>
      <c r="BG72" s="263"/>
      <c r="BH72" s="263"/>
      <c r="BI72" s="263"/>
      <c r="BJ72" s="263"/>
      <c r="BK72" s="263"/>
      <c r="BL72" s="263"/>
      <c r="BM72" s="263"/>
      <c r="BN72" s="263"/>
      <c r="BO72" s="263"/>
      <c r="BP72" s="263"/>
      <c r="BQ72" s="263"/>
      <c r="BR72" s="263"/>
      <c r="BS72" s="263"/>
      <c r="BT72" s="263"/>
      <c r="BU72" s="263"/>
      <c r="BV72" s="263"/>
      <c r="BW72" s="263"/>
      <c r="BX72" s="263"/>
      <c r="BY72" s="263"/>
      <c r="BZ72" s="263"/>
      <c r="CA72" s="263"/>
      <c r="CB72" s="263"/>
      <c r="CC72" s="263"/>
      <c r="CD72" s="263"/>
      <c r="CE72" s="263"/>
      <c r="CF72" s="263"/>
      <c r="CG72" s="263"/>
      <c r="CH72" s="263"/>
      <c r="CI72" s="263"/>
      <c r="CJ72" s="263"/>
      <c r="CK72" s="263"/>
      <c r="CL72" s="263"/>
      <c r="CM72" s="263"/>
      <c r="CN72" s="263"/>
      <c r="CO72" s="263"/>
      <c r="CP72" s="263"/>
      <c r="CQ72" s="263"/>
      <c r="CR72" s="263"/>
      <c r="CS72" s="263"/>
      <c r="CT72" s="263"/>
      <c r="CU72" s="263"/>
      <c r="CV72" s="263"/>
      <c r="CW72" s="263"/>
      <c r="CX72" s="263"/>
      <c r="CY72" s="263"/>
      <c r="CZ72" s="263"/>
      <c r="DA72" s="263"/>
      <c r="DB72" s="263"/>
      <c r="DC72" s="263"/>
      <c r="DD72" s="263"/>
      <c r="DE72" s="263"/>
      <c r="DF72" s="263"/>
      <c r="DG72" s="263"/>
      <c r="DH72" s="263"/>
      <c r="DI72" s="263"/>
      <c r="DJ72" s="263"/>
      <c r="DK72" s="263"/>
      <c r="DL72" s="263"/>
      <c r="DM72" s="263"/>
      <c r="DN72" s="263"/>
      <c r="DO72" s="263"/>
      <c r="DP72" s="263"/>
      <c r="DQ72" s="263"/>
      <c r="DR72" s="263"/>
      <c r="DS72" s="263"/>
      <c r="DT72" s="263"/>
      <c r="DU72" s="263"/>
      <c r="DV72" s="263"/>
      <c r="DW72" s="263"/>
      <c r="DX72" s="263"/>
      <c r="DY72" s="263"/>
      <c r="DZ72" s="263"/>
      <c r="EA72" s="263"/>
      <c r="EB72" s="263"/>
      <c r="EC72" s="263"/>
      <c r="ED72" s="263"/>
      <c r="EE72" s="263"/>
      <c r="EF72" s="263"/>
      <c r="EG72" s="263"/>
      <c r="EH72" s="263"/>
      <c r="EI72" s="263"/>
      <c r="EJ72" s="263"/>
      <c r="EK72" s="263"/>
      <c r="EL72" s="263"/>
      <c r="EM72" s="263"/>
      <c r="EN72" s="263"/>
      <c r="EO72" s="263"/>
      <c r="EP72" s="263"/>
      <c r="EQ72" s="263"/>
      <c r="ER72" s="263"/>
      <c r="ES72" s="263"/>
      <c r="ET72" s="263"/>
      <c r="EU72" s="263"/>
      <c r="EV72" s="263"/>
      <c r="EW72" s="263"/>
      <c r="EX72" s="263"/>
      <c r="EY72" s="263"/>
      <c r="EZ72" s="263"/>
      <c r="FA72" s="263"/>
      <c r="FB72" s="263"/>
      <c r="FC72" s="263"/>
      <c r="FD72" s="263"/>
      <c r="FE72" s="263"/>
      <c r="FF72" s="263"/>
      <c r="FG72" s="263"/>
      <c r="FH72" s="263"/>
      <c r="FI72" s="263"/>
      <c r="FJ72" s="263"/>
      <c r="FK72" s="263"/>
      <c r="FL72" s="263"/>
      <c r="FM72" s="263"/>
      <c r="FN72" s="263"/>
      <c r="FO72" s="263"/>
      <c r="FP72" s="263"/>
      <c r="FQ72" s="263"/>
      <c r="FR72" s="263"/>
      <c r="FS72" s="263"/>
      <c r="FT72" s="263"/>
      <c r="FU72" s="263"/>
      <c r="FV72" s="263"/>
      <c r="FW72" s="263"/>
      <c r="FX72" s="263"/>
      <c r="FY72" s="263"/>
      <c r="FZ72" s="263"/>
      <c r="GA72" s="263"/>
      <c r="GB72" s="263"/>
      <c r="GC72" s="263"/>
      <c r="GD72" s="263"/>
      <c r="GE72" s="263"/>
      <c r="GF72" s="263"/>
      <c r="GG72" s="263"/>
      <c r="GH72" s="263"/>
      <c r="GI72" s="263"/>
      <c r="GJ72" s="263"/>
      <c r="GK72" s="263"/>
      <c r="GL72" s="263"/>
      <c r="GM72" s="263"/>
      <c r="GN72" s="263"/>
      <c r="GO72" s="263"/>
      <c r="GP72" s="263"/>
      <c r="GQ72" s="263"/>
      <c r="GR72" s="263"/>
      <c r="GS72" s="263"/>
      <c r="GT72" s="263"/>
      <c r="GU72" s="263"/>
      <c r="GV72" s="263"/>
      <c r="GW72" s="263"/>
      <c r="GX72" s="263"/>
      <c r="GY72" s="263"/>
      <c r="GZ72" s="263"/>
      <c r="HA72" s="263"/>
      <c r="HB72" s="263"/>
      <c r="HC72" s="263"/>
      <c r="HD72" s="263"/>
      <c r="HE72" s="263"/>
      <c r="HF72" s="263"/>
      <c r="HG72" s="263"/>
      <c r="HH72" s="263"/>
      <c r="HI72" s="263"/>
      <c r="HJ72" s="263"/>
      <c r="HK72" s="263"/>
      <c r="HL72" s="263"/>
      <c r="HM72" s="263"/>
      <c r="HN72" s="263"/>
      <c r="HO72" s="263"/>
      <c r="HP72" s="263"/>
      <c r="HQ72" s="263"/>
      <c r="HR72" s="263"/>
      <c r="HS72" s="263"/>
      <c r="HT72" s="263"/>
      <c r="HU72" s="263"/>
      <c r="HV72" s="263"/>
      <c r="HW72" s="263"/>
      <c r="HX72" s="263"/>
      <c r="HY72" s="263"/>
      <c r="HZ72" s="263"/>
      <c r="IA72" s="263"/>
      <c r="IB72" s="263"/>
      <c r="IC72" s="263"/>
      <c r="ID72" s="263"/>
      <c r="IE72" s="263"/>
      <c r="IF72" s="263"/>
      <c r="IG72" s="263"/>
      <c r="IH72" s="263"/>
      <c r="II72" s="263"/>
      <c r="IJ72" s="263"/>
      <c r="IK72" s="263"/>
      <c r="IL72" s="263"/>
      <c r="IM72" s="263"/>
      <c r="IN72" s="263"/>
      <c r="IO72" s="263"/>
      <c r="IP72" s="263"/>
      <c r="IQ72" s="263"/>
      <c r="IR72" s="263"/>
      <c r="IS72" s="263"/>
      <c r="IT72" s="263"/>
      <c r="IU72" s="263"/>
    </row>
    <row r="73" spans="1:255" ht="15.6">
      <c r="A73" s="263"/>
      <c r="B73" s="263"/>
      <c r="C73" s="263"/>
      <c r="D73" s="263"/>
      <c r="E73" s="263"/>
      <c r="F73" s="263"/>
      <c r="G73" s="263"/>
      <c r="H73" s="263"/>
      <c r="I73" s="263"/>
      <c r="J73" s="263"/>
      <c r="K73" s="263"/>
      <c r="L73" s="263"/>
      <c r="M73" s="263"/>
      <c r="N73" s="263"/>
      <c r="O73" s="263"/>
      <c r="P73" s="263"/>
      <c r="Q73" s="263"/>
      <c r="R73" s="263"/>
      <c r="S73" s="263"/>
      <c r="T73" s="263"/>
      <c r="U73" s="263"/>
      <c r="V73" s="263"/>
      <c r="W73" s="263"/>
      <c r="X73" s="263"/>
      <c r="Y73" s="263"/>
      <c r="Z73" s="263"/>
      <c r="AA73" s="263"/>
      <c r="AB73" s="263"/>
      <c r="AC73" s="263"/>
      <c r="AD73" s="263"/>
      <c r="AE73" s="263"/>
      <c r="AF73" s="263"/>
      <c r="AG73" s="263"/>
      <c r="AH73" s="263"/>
      <c r="AI73" s="263"/>
      <c r="AJ73" s="263"/>
      <c r="AK73" s="263"/>
      <c r="AL73" s="263"/>
      <c r="AM73" s="263"/>
      <c r="AN73" s="263"/>
      <c r="AO73" s="263"/>
      <c r="AP73" s="263"/>
      <c r="AQ73" s="263"/>
      <c r="AR73" s="263"/>
      <c r="AS73" s="263"/>
      <c r="AT73" s="263"/>
      <c r="AU73" s="263"/>
      <c r="AV73" s="263"/>
      <c r="AW73" s="263"/>
      <c r="AX73" s="263"/>
      <c r="AY73" s="263"/>
      <c r="AZ73" s="263"/>
      <c r="BA73" s="263"/>
      <c r="BB73" s="263"/>
      <c r="BC73" s="263"/>
      <c r="BD73" s="263"/>
      <c r="BE73" s="263"/>
      <c r="BF73" s="263"/>
      <c r="BG73" s="263"/>
      <c r="BH73" s="263"/>
      <c r="BI73" s="263"/>
      <c r="BJ73" s="263"/>
      <c r="BK73" s="263"/>
      <c r="BL73" s="263"/>
      <c r="BM73" s="263"/>
      <c r="BN73" s="263"/>
      <c r="BO73" s="263"/>
      <c r="BP73" s="263"/>
      <c r="BQ73" s="263"/>
      <c r="BR73" s="263"/>
      <c r="BS73" s="263"/>
      <c r="BT73" s="263"/>
      <c r="BU73" s="263"/>
      <c r="BV73" s="263"/>
      <c r="BW73" s="263"/>
      <c r="BX73" s="263"/>
      <c r="BY73" s="263"/>
      <c r="BZ73" s="263"/>
      <c r="CA73" s="263"/>
      <c r="CB73" s="263"/>
      <c r="CC73" s="263"/>
      <c r="CD73" s="263"/>
      <c r="CE73" s="263"/>
      <c r="CF73" s="263"/>
      <c r="CG73" s="263"/>
      <c r="CH73" s="263"/>
      <c r="CI73" s="263"/>
      <c r="CJ73" s="263"/>
      <c r="CK73" s="263"/>
      <c r="CL73" s="263"/>
      <c r="CM73" s="263"/>
      <c r="CN73" s="263"/>
      <c r="CO73" s="263"/>
      <c r="CP73" s="263"/>
      <c r="CQ73" s="263"/>
      <c r="CR73" s="263"/>
      <c r="CS73" s="263"/>
      <c r="CT73" s="263"/>
      <c r="CU73" s="263"/>
      <c r="CV73" s="263"/>
      <c r="CW73" s="263"/>
      <c r="CX73" s="263"/>
      <c r="CY73" s="263"/>
      <c r="CZ73" s="263"/>
      <c r="DA73" s="263"/>
      <c r="DB73" s="263"/>
      <c r="DC73" s="263"/>
      <c r="DD73" s="263"/>
      <c r="DE73" s="263"/>
      <c r="DF73" s="263"/>
      <c r="DG73" s="263"/>
      <c r="DH73" s="263"/>
      <c r="DI73" s="263"/>
      <c r="DJ73" s="263"/>
      <c r="DK73" s="263"/>
      <c r="DL73" s="263"/>
      <c r="DM73" s="263"/>
      <c r="DN73" s="263"/>
      <c r="DO73" s="263"/>
      <c r="DP73" s="263"/>
      <c r="DQ73" s="263"/>
      <c r="DR73" s="263"/>
      <c r="DS73" s="263"/>
      <c r="DT73" s="263"/>
      <c r="DU73" s="263"/>
      <c r="DV73" s="263"/>
      <c r="DW73" s="263"/>
      <c r="DX73" s="263"/>
      <c r="DY73" s="263"/>
      <c r="DZ73" s="263"/>
      <c r="EA73" s="263"/>
      <c r="EB73" s="263"/>
      <c r="EC73" s="263"/>
      <c r="ED73" s="263"/>
      <c r="EE73" s="263"/>
      <c r="EF73" s="263"/>
      <c r="EG73" s="263"/>
      <c r="EH73" s="263"/>
      <c r="EI73" s="263"/>
      <c r="EJ73" s="263"/>
      <c r="EK73" s="263"/>
      <c r="EL73" s="263"/>
      <c r="EM73" s="263"/>
      <c r="EN73" s="263"/>
      <c r="EO73" s="263"/>
      <c r="EP73" s="263"/>
      <c r="EQ73" s="263"/>
      <c r="ER73" s="263"/>
      <c r="ES73" s="263"/>
      <c r="ET73" s="263"/>
      <c r="EU73" s="263"/>
      <c r="EV73" s="263"/>
      <c r="EW73" s="263"/>
      <c r="EX73" s="263"/>
      <c r="EY73" s="263"/>
      <c r="EZ73" s="263"/>
      <c r="FA73" s="263"/>
      <c r="FB73" s="263"/>
      <c r="FC73" s="263"/>
      <c r="FD73" s="263"/>
      <c r="FE73" s="263"/>
      <c r="FF73" s="263"/>
      <c r="FG73" s="263"/>
      <c r="FH73" s="263"/>
      <c r="FI73" s="263"/>
      <c r="FJ73" s="263"/>
      <c r="FK73" s="263"/>
      <c r="FL73" s="263"/>
      <c r="FM73" s="263"/>
      <c r="FN73" s="263"/>
      <c r="FO73" s="263"/>
      <c r="FP73" s="263"/>
      <c r="FQ73" s="263"/>
      <c r="FR73" s="263"/>
      <c r="FS73" s="263"/>
      <c r="FT73" s="263"/>
      <c r="FU73" s="263"/>
      <c r="FV73" s="263"/>
      <c r="FW73" s="263"/>
      <c r="FX73" s="263"/>
      <c r="FY73" s="263"/>
      <c r="FZ73" s="263"/>
      <c r="GA73" s="263"/>
      <c r="GB73" s="263"/>
      <c r="GC73" s="263"/>
      <c r="GD73" s="263"/>
      <c r="GE73" s="263"/>
      <c r="GF73" s="263"/>
      <c r="GG73" s="263"/>
      <c r="GH73" s="263"/>
      <c r="GI73" s="263"/>
      <c r="GJ73" s="263"/>
      <c r="GK73" s="263"/>
      <c r="GL73" s="263"/>
      <c r="GM73" s="263"/>
      <c r="GN73" s="263"/>
      <c r="GO73" s="263"/>
      <c r="GP73" s="263"/>
      <c r="GQ73" s="263"/>
      <c r="GR73" s="263"/>
      <c r="GS73" s="263"/>
      <c r="GT73" s="263"/>
      <c r="GU73" s="263"/>
      <c r="GV73" s="263"/>
      <c r="GW73" s="263"/>
      <c r="GX73" s="263"/>
      <c r="GY73" s="263"/>
      <c r="GZ73" s="263"/>
      <c r="HA73" s="263"/>
      <c r="HB73" s="263"/>
      <c r="HC73" s="263"/>
      <c r="HD73" s="263"/>
      <c r="HE73" s="263"/>
      <c r="HF73" s="263"/>
      <c r="HG73" s="263"/>
      <c r="HH73" s="263"/>
      <c r="HI73" s="263"/>
      <c r="HJ73" s="263"/>
      <c r="HK73" s="263"/>
      <c r="HL73" s="263"/>
      <c r="HM73" s="263"/>
      <c r="HN73" s="263"/>
      <c r="HO73" s="263"/>
      <c r="HP73" s="263"/>
      <c r="HQ73" s="263"/>
      <c r="HR73" s="263"/>
      <c r="HS73" s="263"/>
      <c r="HT73" s="263"/>
      <c r="HU73" s="263"/>
      <c r="HV73" s="263"/>
      <c r="HW73" s="263"/>
      <c r="HX73" s="263"/>
      <c r="HY73" s="263"/>
      <c r="HZ73" s="263"/>
      <c r="IA73" s="263"/>
      <c r="IB73" s="263"/>
      <c r="IC73" s="263"/>
      <c r="ID73" s="263"/>
      <c r="IE73" s="263"/>
      <c r="IF73" s="263"/>
      <c r="IG73" s="263"/>
      <c r="IH73" s="263"/>
      <c r="II73" s="263"/>
      <c r="IJ73" s="263"/>
      <c r="IK73" s="263"/>
      <c r="IL73" s="263"/>
      <c r="IM73" s="263"/>
      <c r="IN73" s="263"/>
      <c r="IO73" s="263"/>
      <c r="IP73" s="263"/>
      <c r="IQ73" s="263"/>
      <c r="IR73" s="263"/>
      <c r="IS73" s="263"/>
      <c r="IT73" s="263"/>
      <c r="IU73" s="263"/>
    </row>
    <row r="74" spans="1:255" ht="15.6">
      <c r="A74" s="263"/>
      <c r="B74" s="263"/>
      <c r="C74" s="263"/>
      <c r="D74" s="263"/>
      <c r="E74" s="263"/>
      <c r="F74" s="263"/>
      <c r="G74" s="263"/>
      <c r="H74" s="263"/>
      <c r="I74" s="263"/>
      <c r="J74" s="263"/>
      <c r="K74" s="263"/>
      <c r="L74" s="263"/>
      <c r="M74" s="263"/>
      <c r="N74" s="263"/>
      <c r="O74" s="263"/>
      <c r="P74" s="263"/>
      <c r="Q74" s="263"/>
      <c r="R74" s="263"/>
      <c r="S74" s="263"/>
      <c r="T74" s="263"/>
      <c r="U74" s="263"/>
      <c r="V74" s="263"/>
      <c r="W74" s="263"/>
      <c r="X74" s="263"/>
      <c r="Y74" s="263"/>
      <c r="Z74" s="263"/>
      <c r="AA74" s="263"/>
      <c r="AB74" s="263"/>
      <c r="AC74" s="263"/>
      <c r="AD74" s="263"/>
      <c r="AE74" s="263"/>
      <c r="AF74" s="263"/>
      <c r="AG74" s="263"/>
      <c r="AH74" s="263"/>
      <c r="AI74" s="263"/>
      <c r="AJ74" s="263"/>
      <c r="AK74" s="263"/>
      <c r="AL74" s="263"/>
      <c r="AM74" s="263"/>
      <c r="AN74" s="263"/>
      <c r="AO74" s="263"/>
      <c r="AP74" s="263"/>
      <c r="AQ74" s="263"/>
      <c r="AR74" s="263"/>
      <c r="AS74" s="263"/>
      <c r="AT74" s="263"/>
      <c r="AU74" s="263"/>
      <c r="AV74" s="263"/>
      <c r="AW74" s="263"/>
      <c r="AX74" s="263"/>
      <c r="AY74" s="263"/>
      <c r="AZ74" s="263"/>
      <c r="BA74" s="263"/>
      <c r="BB74" s="263"/>
      <c r="BC74" s="263"/>
      <c r="BD74" s="263"/>
      <c r="BE74" s="263"/>
      <c r="BF74" s="263"/>
      <c r="BG74" s="263"/>
      <c r="BH74" s="263"/>
      <c r="BI74" s="263"/>
      <c r="BJ74" s="263"/>
      <c r="BK74" s="263"/>
      <c r="BL74" s="263"/>
      <c r="BM74" s="263"/>
      <c r="BN74" s="263"/>
      <c r="BO74" s="263"/>
      <c r="BP74" s="263"/>
      <c r="BQ74" s="263"/>
      <c r="BR74" s="263"/>
      <c r="BS74" s="263"/>
      <c r="BT74" s="263"/>
      <c r="BU74" s="263"/>
      <c r="BV74" s="263"/>
      <c r="BW74" s="263"/>
      <c r="BX74" s="263"/>
      <c r="BY74" s="263"/>
      <c r="BZ74" s="263"/>
      <c r="CA74" s="263"/>
      <c r="CB74" s="263"/>
      <c r="CC74" s="263"/>
      <c r="CD74" s="263"/>
      <c r="CE74" s="263"/>
      <c r="CF74" s="263"/>
      <c r="CG74" s="263"/>
      <c r="CH74" s="263"/>
      <c r="CI74" s="263"/>
      <c r="CJ74" s="263"/>
      <c r="CK74" s="263"/>
      <c r="CL74" s="263"/>
      <c r="CM74" s="263"/>
      <c r="CN74" s="263"/>
      <c r="CO74" s="263"/>
      <c r="CP74" s="263"/>
      <c r="CQ74" s="263"/>
      <c r="CR74" s="263"/>
      <c r="CS74" s="263"/>
      <c r="CT74" s="263"/>
      <c r="CU74" s="263"/>
      <c r="CV74" s="263"/>
      <c r="CW74" s="263"/>
      <c r="CX74" s="263"/>
      <c r="CY74" s="263"/>
      <c r="CZ74" s="263"/>
      <c r="DA74" s="263"/>
      <c r="DB74" s="263"/>
      <c r="DC74" s="263"/>
      <c r="DD74" s="263"/>
      <c r="DE74" s="263"/>
      <c r="DF74" s="263"/>
      <c r="DG74" s="263"/>
      <c r="DH74" s="263"/>
      <c r="DI74" s="263"/>
      <c r="DJ74" s="263"/>
      <c r="DK74" s="263"/>
      <c r="DL74" s="263"/>
      <c r="DM74" s="263"/>
      <c r="DN74" s="263"/>
      <c r="DO74" s="263"/>
      <c r="DP74" s="263"/>
      <c r="DQ74" s="263"/>
      <c r="DR74" s="263"/>
      <c r="DS74" s="263"/>
      <c r="DT74" s="263"/>
      <c r="DU74" s="263"/>
      <c r="DV74" s="263"/>
      <c r="DW74" s="263"/>
      <c r="DX74" s="263"/>
      <c r="DY74" s="263"/>
      <c r="DZ74" s="263"/>
      <c r="EA74" s="263"/>
      <c r="EB74" s="263"/>
      <c r="EC74" s="263"/>
      <c r="ED74" s="263"/>
      <c r="EE74" s="263"/>
      <c r="EF74" s="263"/>
      <c r="EG74" s="263"/>
      <c r="EH74" s="263"/>
      <c r="EI74" s="263"/>
      <c r="EJ74" s="263"/>
      <c r="EK74" s="263"/>
      <c r="EL74" s="263"/>
      <c r="EM74" s="263"/>
      <c r="EN74" s="263"/>
      <c r="EO74" s="263"/>
      <c r="EP74" s="263"/>
      <c r="EQ74" s="263"/>
      <c r="ER74" s="263"/>
      <c r="ES74" s="263"/>
      <c r="ET74" s="263"/>
      <c r="EU74" s="263"/>
      <c r="EV74" s="263"/>
      <c r="EW74" s="263"/>
      <c r="EX74" s="263"/>
      <c r="EY74" s="263"/>
      <c r="EZ74" s="263"/>
      <c r="FA74" s="263"/>
      <c r="FB74" s="263"/>
      <c r="FC74" s="263"/>
      <c r="FD74" s="263"/>
      <c r="FE74" s="263"/>
      <c r="FF74" s="263"/>
      <c r="FG74" s="263"/>
      <c r="FH74" s="263"/>
      <c r="FI74" s="263"/>
      <c r="FJ74" s="263"/>
      <c r="FK74" s="263"/>
      <c r="FL74" s="263"/>
      <c r="FM74" s="263"/>
      <c r="FN74" s="263"/>
      <c r="FO74" s="263"/>
      <c r="FP74" s="263"/>
      <c r="FQ74" s="263"/>
      <c r="FR74" s="263"/>
      <c r="FS74" s="263"/>
      <c r="FT74" s="263"/>
      <c r="FU74" s="263"/>
      <c r="FV74" s="263"/>
      <c r="FW74" s="263"/>
      <c r="FX74" s="263"/>
      <c r="FY74" s="263"/>
      <c r="FZ74" s="263"/>
      <c r="GA74" s="263"/>
      <c r="GB74" s="263"/>
      <c r="GC74" s="263"/>
      <c r="GD74" s="263"/>
      <c r="GE74" s="263"/>
      <c r="GF74" s="263"/>
      <c r="GG74" s="263"/>
      <c r="GH74" s="263"/>
      <c r="GI74" s="263"/>
      <c r="GJ74" s="263"/>
      <c r="GK74" s="263"/>
      <c r="GL74" s="263"/>
      <c r="GM74" s="263"/>
      <c r="GN74" s="263"/>
      <c r="GO74" s="263"/>
      <c r="GP74" s="263"/>
      <c r="GQ74" s="263"/>
      <c r="GR74" s="263"/>
      <c r="GS74" s="263"/>
      <c r="GT74" s="263"/>
      <c r="GU74" s="263"/>
      <c r="GV74" s="263"/>
      <c r="GW74" s="263"/>
      <c r="GX74" s="263"/>
      <c r="GY74" s="263"/>
      <c r="GZ74" s="263"/>
      <c r="HA74" s="263"/>
      <c r="HB74" s="263"/>
      <c r="HC74" s="263"/>
      <c r="HD74" s="263"/>
      <c r="HE74" s="263"/>
      <c r="HF74" s="263"/>
      <c r="HG74" s="263"/>
      <c r="HH74" s="263"/>
      <c r="HI74" s="263"/>
      <c r="HJ74" s="263"/>
      <c r="HK74" s="263"/>
      <c r="HL74" s="263"/>
      <c r="HM74" s="263"/>
      <c r="HN74" s="263"/>
      <c r="HO74" s="263"/>
      <c r="HP74" s="263"/>
      <c r="HQ74" s="263"/>
      <c r="HR74" s="263"/>
      <c r="HS74" s="263"/>
      <c r="HT74" s="263"/>
      <c r="HU74" s="263"/>
      <c r="HV74" s="263"/>
      <c r="HW74" s="263"/>
      <c r="HX74" s="263"/>
      <c r="HY74" s="263"/>
      <c r="HZ74" s="263"/>
      <c r="IA74" s="263"/>
      <c r="IB74" s="263"/>
      <c r="IC74" s="263"/>
      <c r="ID74" s="263"/>
      <c r="IE74" s="263"/>
      <c r="IF74" s="263"/>
      <c r="IG74" s="263"/>
      <c r="IH74" s="263"/>
      <c r="II74" s="263"/>
      <c r="IJ74" s="263"/>
      <c r="IK74" s="263"/>
      <c r="IL74" s="263"/>
      <c r="IM74" s="263"/>
      <c r="IN74" s="263"/>
      <c r="IO74" s="263"/>
      <c r="IP74" s="263"/>
      <c r="IQ74" s="263"/>
      <c r="IR74" s="263"/>
      <c r="IS74" s="263"/>
      <c r="IT74" s="263"/>
      <c r="IU74" s="263"/>
    </row>
    <row r="75" spans="1:255" ht="15.6">
      <c r="A75" s="263"/>
      <c r="B75" s="263"/>
      <c r="C75" s="263"/>
      <c r="D75" s="263"/>
      <c r="E75" s="263"/>
      <c r="F75" s="263"/>
      <c r="G75" s="263"/>
      <c r="H75" s="263"/>
      <c r="I75" s="263"/>
      <c r="J75" s="263"/>
      <c r="K75" s="263"/>
      <c r="L75" s="263"/>
      <c r="M75" s="263"/>
      <c r="N75" s="263"/>
      <c r="O75" s="263"/>
      <c r="P75" s="263"/>
      <c r="Q75" s="263"/>
      <c r="R75" s="263"/>
      <c r="S75" s="263"/>
      <c r="T75" s="263"/>
      <c r="U75" s="263"/>
      <c r="V75" s="263"/>
      <c r="W75" s="263"/>
      <c r="X75" s="263"/>
      <c r="Y75" s="263"/>
      <c r="Z75" s="263"/>
      <c r="AA75" s="263"/>
      <c r="AB75" s="263"/>
      <c r="AC75" s="263"/>
      <c r="AD75" s="263"/>
      <c r="AE75" s="263"/>
      <c r="AF75" s="263"/>
      <c r="AG75" s="263"/>
      <c r="AH75" s="263"/>
      <c r="AI75" s="263"/>
      <c r="AJ75" s="263"/>
      <c r="AK75" s="263"/>
      <c r="AL75" s="263"/>
      <c r="AM75" s="263"/>
      <c r="AN75" s="263"/>
      <c r="AO75" s="263"/>
      <c r="AP75" s="263"/>
      <c r="AQ75" s="263"/>
      <c r="AR75" s="263"/>
      <c r="AS75" s="263"/>
      <c r="AT75" s="263"/>
      <c r="AU75" s="263"/>
      <c r="AV75" s="263"/>
      <c r="AW75" s="263"/>
      <c r="AX75" s="263"/>
      <c r="AY75" s="263"/>
      <c r="AZ75" s="263"/>
      <c r="BA75" s="263"/>
      <c r="BB75" s="263"/>
      <c r="BC75" s="263"/>
      <c r="BD75" s="263"/>
      <c r="BE75" s="263"/>
      <c r="BF75" s="263"/>
      <c r="BG75" s="263"/>
      <c r="BH75" s="263"/>
      <c r="BI75" s="263"/>
      <c r="BJ75" s="263"/>
      <c r="BK75" s="263"/>
      <c r="BL75" s="263"/>
      <c r="BM75" s="263"/>
      <c r="BN75" s="263"/>
      <c r="BO75" s="263"/>
      <c r="BP75" s="263"/>
      <c r="BQ75" s="263"/>
      <c r="BR75" s="263"/>
      <c r="BS75" s="263"/>
      <c r="BT75" s="263"/>
      <c r="BU75" s="263"/>
      <c r="BV75" s="263"/>
      <c r="BW75" s="263"/>
      <c r="BX75" s="263"/>
      <c r="BY75" s="263"/>
      <c r="BZ75" s="263"/>
      <c r="CA75" s="263"/>
      <c r="CB75" s="263"/>
      <c r="CC75" s="263"/>
      <c r="CD75" s="263"/>
      <c r="CE75" s="263"/>
      <c r="CF75" s="263"/>
      <c r="CG75" s="263"/>
      <c r="CH75" s="263"/>
      <c r="CI75" s="263"/>
      <c r="CJ75" s="263"/>
      <c r="CK75" s="263"/>
      <c r="CL75" s="263"/>
      <c r="CM75" s="263"/>
      <c r="CN75" s="263"/>
      <c r="CO75" s="263"/>
      <c r="CP75" s="263"/>
      <c r="CQ75" s="263"/>
      <c r="CR75" s="263"/>
      <c r="CS75" s="263"/>
      <c r="CT75" s="263"/>
      <c r="CU75" s="263"/>
      <c r="CV75" s="263"/>
      <c r="CW75" s="263"/>
      <c r="CX75" s="263"/>
      <c r="CY75" s="263"/>
      <c r="CZ75" s="263"/>
      <c r="DA75" s="263"/>
      <c r="DB75" s="263"/>
      <c r="DC75" s="263"/>
      <c r="DD75" s="263"/>
      <c r="DE75" s="263"/>
      <c r="DF75" s="263"/>
      <c r="DG75" s="263"/>
      <c r="DH75" s="263"/>
      <c r="DI75" s="263"/>
      <c r="DJ75" s="263"/>
      <c r="DK75" s="263"/>
      <c r="DL75" s="263"/>
      <c r="DM75" s="263"/>
      <c r="DN75" s="263"/>
      <c r="DO75" s="263"/>
      <c r="DP75" s="263"/>
      <c r="DQ75" s="263"/>
      <c r="DR75" s="263"/>
      <c r="DS75" s="263"/>
      <c r="DT75" s="263"/>
      <c r="DU75" s="263"/>
      <c r="DV75" s="263"/>
      <c r="DW75" s="263"/>
      <c r="DX75" s="263"/>
      <c r="DY75" s="263"/>
      <c r="DZ75" s="263"/>
      <c r="EA75" s="263"/>
      <c r="EB75" s="263"/>
      <c r="EC75" s="263"/>
      <c r="ED75" s="263"/>
      <c r="EE75" s="263"/>
      <c r="EF75" s="263"/>
      <c r="EG75" s="263"/>
      <c r="EH75" s="263"/>
      <c r="EI75" s="263"/>
      <c r="EJ75" s="263"/>
      <c r="EK75" s="263"/>
      <c r="EL75" s="263"/>
      <c r="EM75" s="263"/>
      <c r="EN75" s="263"/>
      <c r="EO75" s="263"/>
      <c r="EP75" s="263"/>
      <c r="EQ75" s="263"/>
      <c r="ER75" s="263"/>
      <c r="ES75" s="263"/>
      <c r="ET75" s="263"/>
      <c r="EU75" s="263"/>
      <c r="EV75" s="263"/>
      <c r="EW75" s="263"/>
      <c r="EX75" s="263"/>
      <c r="EY75" s="263"/>
      <c r="EZ75" s="263"/>
      <c r="FA75" s="263"/>
      <c r="FB75" s="263"/>
      <c r="FC75" s="263"/>
      <c r="FD75" s="263"/>
      <c r="FE75" s="263"/>
      <c r="FF75" s="263"/>
      <c r="FG75" s="263"/>
      <c r="FH75" s="263"/>
      <c r="FI75" s="263"/>
      <c r="FJ75" s="263"/>
      <c r="FK75" s="263"/>
      <c r="FL75" s="263"/>
      <c r="FM75" s="263"/>
      <c r="FN75" s="263"/>
      <c r="FO75" s="263"/>
      <c r="FP75" s="263"/>
      <c r="FQ75" s="263"/>
      <c r="FR75" s="263"/>
      <c r="FS75" s="263"/>
      <c r="FT75" s="263"/>
      <c r="FU75" s="263"/>
      <c r="FV75" s="263"/>
      <c r="FW75" s="263"/>
      <c r="FX75" s="263"/>
      <c r="FY75" s="263"/>
      <c r="FZ75" s="263"/>
      <c r="GA75" s="263"/>
      <c r="GB75" s="263"/>
      <c r="GC75" s="263"/>
      <c r="GD75" s="263"/>
      <c r="GE75" s="263"/>
      <c r="GF75" s="263"/>
      <c r="GG75" s="263"/>
      <c r="GH75" s="263"/>
      <c r="GI75" s="263"/>
      <c r="GJ75" s="263"/>
      <c r="GK75" s="263"/>
      <c r="GL75" s="263"/>
      <c r="GM75" s="263"/>
      <c r="GN75" s="263"/>
      <c r="GO75" s="263"/>
      <c r="GP75" s="263"/>
      <c r="GQ75" s="263"/>
      <c r="GR75" s="263"/>
      <c r="GS75" s="263"/>
      <c r="GT75" s="263"/>
      <c r="GU75" s="263"/>
      <c r="GV75" s="263"/>
      <c r="GW75" s="263"/>
      <c r="GX75" s="263"/>
      <c r="GY75" s="263"/>
      <c r="GZ75" s="263"/>
      <c r="HA75" s="263"/>
      <c r="HB75" s="263"/>
      <c r="HC75" s="263"/>
      <c r="HD75" s="263"/>
      <c r="HE75" s="263"/>
      <c r="HF75" s="263"/>
      <c r="HG75" s="263"/>
      <c r="HH75" s="263"/>
      <c r="HI75" s="263"/>
      <c r="HJ75" s="263"/>
      <c r="HK75" s="263"/>
      <c r="HL75" s="263"/>
      <c r="HM75" s="263"/>
      <c r="HN75" s="263"/>
      <c r="HO75" s="263"/>
      <c r="HP75" s="263"/>
      <c r="HQ75" s="263"/>
      <c r="HR75" s="263"/>
      <c r="HS75" s="263"/>
      <c r="HT75" s="263"/>
      <c r="HU75" s="263"/>
      <c r="HV75" s="263"/>
      <c r="HW75" s="263"/>
      <c r="HX75" s="263"/>
      <c r="HY75" s="263"/>
      <c r="HZ75" s="263"/>
      <c r="IA75" s="263"/>
      <c r="IB75" s="263"/>
      <c r="IC75" s="263"/>
      <c r="ID75" s="263"/>
      <c r="IE75" s="263"/>
      <c r="IF75" s="263"/>
      <c r="IG75" s="263"/>
      <c r="IH75" s="263"/>
      <c r="II75" s="263"/>
      <c r="IJ75" s="263"/>
      <c r="IK75" s="263"/>
      <c r="IL75" s="263"/>
      <c r="IM75" s="263"/>
      <c r="IN75" s="263"/>
      <c r="IO75" s="263"/>
      <c r="IP75" s="263"/>
      <c r="IQ75" s="263"/>
      <c r="IR75" s="263"/>
      <c r="IS75" s="263"/>
      <c r="IT75" s="263"/>
      <c r="IU75" s="263"/>
    </row>
    <row r="76" spans="1:255" ht="15.6">
      <c r="A76" s="263"/>
      <c r="B76" s="263"/>
      <c r="C76" s="263"/>
      <c r="D76" s="263"/>
      <c r="E76" s="263"/>
      <c r="F76" s="263"/>
      <c r="G76" s="263"/>
      <c r="H76" s="263"/>
      <c r="I76" s="263"/>
      <c r="J76" s="263"/>
      <c r="K76" s="263"/>
      <c r="L76" s="263"/>
      <c r="M76" s="263"/>
      <c r="N76" s="263"/>
      <c r="O76" s="263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3"/>
      <c r="AB76" s="263"/>
      <c r="AC76" s="263"/>
      <c r="AD76" s="263"/>
      <c r="AE76" s="263"/>
      <c r="AF76" s="263"/>
      <c r="AG76" s="263"/>
      <c r="AH76" s="263"/>
      <c r="AI76" s="263"/>
      <c r="AJ76" s="263"/>
      <c r="AK76" s="263"/>
      <c r="AL76" s="263"/>
      <c r="AM76" s="263"/>
      <c r="AN76" s="263"/>
      <c r="AO76" s="263"/>
      <c r="AP76" s="263"/>
      <c r="AQ76" s="263"/>
      <c r="AR76" s="263"/>
      <c r="AS76" s="263"/>
      <c r="AT76" s="263"/>
      <c r="AU76" s="263"/>
      <c r="AV76" s="263"/>
      <c r="AW76" s="263"/>
      <c r="AX76" s="263"/>
      <c r="AY76" s="263"/>
      <c r="AZ76" s="263"/>
      <c r="BA76" s="263"/>
      <c r="BB76" s="263"/>
      <c r="BC76" s="263"/>
      <c r="BD76" s="263"/>
      <c r="BE76" s="263"/>
      <c r="BF76" s="263"/>
      <c r="BG76" s="263"/>
      <c r="BH76" s="263"/>
      <c r="BI76" s="263"/>
      <c r="BJ76" s="263"/>
      <c r="BK76" s="263"/>
      <c r="BL76" s="263"/>
      <c r="BM76" s="263"/>
      <c r="BN76" s="263"/>
      <c r="BO76" s="263"/>
      <c r="BP76" s="263"/>
      <c r="BQ76" s="263"/>
      <c r="BR76" s="263"/>
      <c r="BS76" s="263"/>
      <c r="BT76" s="263"/>
      <c r="BU76" s="263"/>
      <c r="BV76" s="263"/>
      <c r="BW76" s="263"/>
      <c r="BX76" s="263"/>
      <c r="BY76" s="263"/>
      <c r="BZ76" s="263"/>
      <c r="CA76" s="263"/>
      <c r="CB76" s="263"/>
      <c r="CC76" s="263"/>
      <c r="CD76" s="263"/>
      <c r="CE76" s="263"/>
      <c r="CF76" s="263"/>
      <c r="CG76" s="263"/>
      <c r="CH76" s="263"/>
      <c r="CI76" s="263"/>
      <c r="CJ76" s="263"/>
      <c r="CK76" s="263"/>
      <c r="CL76" s="263"/>
      <c r="CM76" s="263"/>
      <c r="CN76" s="263"/>
      <c r="CO76" s="263"/>
      <c r="CP76" s="263"/>
      <c r="CQ76" s="263"/>
      <c r="CR76" s="263"/>
      <c r="CS76" s="263"/>
      <c r="CT76" s="263"/>
      <c r="CU76" s="263"/>
      <c r="CV76" s="263"/>
      <c r="CW76" s="263"/>
      <c r="CX76" s="263"/>
      <c r="CY76" s="263"/>
      <c r="CZ76" s="263"/>
      <c r="DA76" s="263"/>
      <c r="DB76" s="263"/>
      <c r="DC76" s="263"/>
      <c r="DD76" s="263"/>
      <c r="DE76" s="263"/>
      <c r="DF76" s="263"/>
      <c r="DG76" s="263"/>
      <c r="DH76" s="263"/>
      <c r="DI76" s="263"/>
      <c r="DJ76" s="263"/>
      <c r="DK76" s="263"/>
      <c r="DL76" s="263"/>
      <c r="DM76" s="263"/>
      <c r="DN76" s="263"/>
      <c r="DO76" s="263"/>
      <c r="DP76" s="263"/>
      <c r="DQ76" s="263"/>
      <c r="DR76" s="263"/>
      <c r="DS76" s="263"/>
      <c r="DT76" s="263"/>
      <c r="DU76" s="263"/>
      <c r="DV76" s="263"/>
      <c r="DW76" s="263"/>
      <c r="DX76" s="263"/>
      <c r="DY76" s="263"/>
      <c r="DZ76" s="263"/>
      <c r="EA76" s="263"/>
      <c r="EB76" s="263"/>
      <c r="EC76" s="263"/>
      <c r="ED76" s="263"/>
      <c r="EE76" s="263"/>
      <c r="EF76" s="263"/>
      <c r="EG76" s="263"/>
      <c r="EH76" s="263"/>
      <c r="EI76" s="263"/>
      <c r="EJ76" s="263"/>
      <c r="EK76" s="263"/>
      <c r="EL76" s="263"/>
      <c r="EM76" s="263"/>
      <c r="EN76" s="263"/>
      <c r="EO76" s="263"/>
      <c r="EP76" s="263"/>
      <c r="EQ76" s="263"/>
      <c r="ER76" s="263"/>
      <c r="ES76" s="263"/>
      <c r="ET76" s="263"/>
      <c r="EU76" s="263"/>
      <c r="EV76" s="263"/>
      <c r="EW76" s="263"/>
      <c r="EX76" s="263"/>
      <c r="EY76" s="263"/>
      <c r="EZ76" s="263"/>
      <c r="FA76" s="263"/>
      <c r="FB76" s="263"/>
      <c r="FC76" s="263"/>
      <c r="FD76" s="263"/>
      <c r="FE76" s="263"/>
      <c r="FF76" s="263"/>
      <c r="FG76" s="263"/>
      <c r="FH76" s="263"/>
      <c r="FI76" s="263"/>
      <c r="FJ76" s="263"/>
      <c r="FK76" s="263"/>
      <c r="FL76" s="263"/>
      <c r="FM76" s="263"/>
      <c r="FN76" s="263"/>
      <c r="FO76" s="263"/>
      <c r="FP76" s="263"/>
      <c r="FQ76" s="263"/>
      <c r="FR76" s="263"/>
      <c r="FS76" s="263"/>
      <c r="FT76" s="263"/>
      <c r="FU76" s="263"/>
      <c r="FV76" s="263"/>
      <c r="FW76" s="263"/>
      <c r="FX76" s="263"/>
      <c r="FY76" s="263"/>
      <c r="FZ76" s="263"/>
      <c r="GA76" s="263"/>
      <c r="GB76" s="263"/>
      <c r="GC76" s="263"/>
      <c r="GD76" s="263"/>
      <c r="GE76" s="263"/>
      <c r="GF76" s="263"/>
      <c r="GG76" s="263"/>
      <c r="GH76" s="263"/>
      <c r="GI76" s="263"/>
      <c r="GJ76" s="263"/>
      <c r="GK76" s="263"/>
      <c r="GL76" s="263"/>
      <c r="GM76" s="263"/>
      <c r="GN76" s="263"/>
      <c r="GO76" s="263"/>
      <c r="GP76" s="263"/>
      <c r="GQ76" s="263"/>
      <c r="GR76" s="263"/>
      <c r="GS76" s="263"/>
      <c r="GT76" s="263"/>
      <c r="GU76" s="263"/>
      <c r="GV76" s="263"/>
      <c r="GW76" s="263"/>
      <c r="GX76" s="263"/>
      <c r="GY76" s="263"/>
      <c r="GZ76" s="263"/>
      <c r="HA76" s="263"/>
      <c r="HB76" s="263"/>
      <c r="HC76" s="263"/>
      <c r="HD76" s="263"/>
      <c r="HE76" s="263"/>
      <c r="HF76" s="263"/>
      <c r="HG76" s="263"/>
      <c r="HH76" s="263"/>
      <c r="HI76" s="263"/>
      <c r="HJ76" s="263"/>
      <c r="HK76" s="263"/>
      <c r="HL76" s="263"/>
      <c r="HM76" s="263"/>
      <c r="HN76" s="263"/>
      <c r="HO76" s="263"/>
      <c r="HP76" s="263"/>
      <c r="HQ76" s="263"/>
      <c r="HR76" s="263"/>
      <c r="HS76" s="263"/>
      <c r="HT76" s="263"/>
      <c r="HU76" s="263"/>
      <c r="HV76" s="263"/>
      <c r="HW76" s="263"/>
      <c r="HX76" s="263"/>
      <c r="HY76" s="263"/>
      <c r="HZ76" s="263"/>
      <c r="IA76" s="263"/>
      <c r="IB76" s="263"/>
      <c r="IC76" s="263"/>
      <c r="ID76" s="263"/>
      <c r="IE76" s="263"/>
      <c r="IF76" s="263"/>
      <c r="IG76" s="263"/>
      <c r="IH76" s="263"/>
      <c r="II76" s="263"/>
      <c r="IJ76" s="263"/>
      <c r="IK76" s="263"/>
      <c r="IL76" s="263"/>
      <c r="IM76" s="263"/>
      <c r="IN76" s="263"/>
      <c r="IO76" s="263"/>
      <c r="IP76" s="263"/>
      <c r="IQ76" s="263"/>
      <c r="IR76" s="263"/>
      <c r="IS76" s="263"/>
      <c r="IT76" s="263"/>
      <c r="IU76" s="263"/>
    </row>
    <row r="77" spans="1:255" ht="15.6">
      <c r="A77" s="263"/>
      <c r="B77" s="263"/>
      <c r="C77" s="263"/>
      <c r="D77" s="263"/>
      <c r="E77" s="263"/>
      <c r="F77" s="263"/>
      <c r="G77" s="263"/>
      <c r="H77" s="263"/>
      <c r="I77" s="263"/>
      <c r="J77" s="263"/>
      <c r="K77" s="263"/>
      <c r="L77" s="263"/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263"/>
      <c r="AH77" s="263"/>
      <c r="AI77" s="263"/>
      <c r="AJ77" s="263"/>
      <c r="AK77" s="263"/>
      <c r="AL77" s="263"/>
      <c r="AM77" s="263"/>
      <c r="AN77" s="263"/>
      <c r="AO77" s="263"/>
      <c r="AP77" s="263"/>
      <c r="AQ77" s="263"/>
      <c r="AR77" s="263"/>
      <c r="AS77" s="263"/>
      <c r="AT77" s="263"/>
      <c r="AU77" s="263"/>
      <c r="AV77" s="263"/>
      <c r="AW77" s="263"/>
      <c r="AX77" s="263"/>
      <c r="AY77" s="263"/>
      <c r="AZ77" s="263"/>
      <c r="BA77" s="263"/>
      <c r="BB77" s="263"/>
      <c r="BC77" s="263"/>
      <c r="BD77" s="263"/>
      <c r="BE77" s="263"/>
      <c r="BF77" s="263"/>
      <c r="BG77" s="263"/>
      <c r="BH77" s="263"/>
      <c r="BI77" s="263"/>
      <c r="BJ77" s="263"/>
      <c r="BK77" s="263"/>
      <c r="BL77" s="263"/>
      <c r="BM77" s="263"/>
      <c r="BN77" s="263"/>
      <c r="BO77" s="263"/>
      <c r="BP77" s="263"/>
      <c r="BQ77" s="263"/>
      <c r="BR77" s="263"/>
      <c r="BS77" s="263"/>
      <c r="BT77" s="263"/>
      <c r="BU77" s="263"/>
      <c r="BV77" s="263"/>
      <c r="BW77" s="263"/>
      <c r="BX77" s="263"/>
      <c r="BY77" s="263"/>
      <c r="BZ77" s="263"/>
      <c r="CA77" s="263"/>
      <c r="CB77" s="263"/>
      <c r="CC77" s="263"/>
      <c r="CD77" s="263"/>
      <c r="CE77" s="263"/>
      <c r="CF77" s="263"/>
      <c r="CG77" s="263"/>
      <c r="CH77" s="263"/>
      <c r="CI77" s="263"/>
      <c r="CJ77" s="263"/>
      <c r="CK77" s="263"/>
      <c r="CL77" s="263"/>
      <c r="CM77" s="263"/>
      <c r="CN77" s="263"/>
      <c r="CO77" s="263"/>
      <c r="CP77" s="263"/>
      <c r="CQ77" s="263"/>
      <c r="CR77" s="263"/>
      <c r="CS77" s="263"/>
      <c r="CT77" s="263"/>
      <c r="CU77" s="263"/>
      <c r="CV77" s="263"/>
      <c r="CW77" s="263"/>
      <c r="CX77" s="263"/>
      <c r="CY77" s="263"/>
      <c r="CZ77" s="263"/>
      <c r="DA77" s="263"/>
      <c r="DB77" s="263"/>
      <c r="DC77" s="263"/>
      <c r="DD77" s="263"/>
      <c r="DE77" s="263"/>
      <c r="DF77" s="263"/>
      <c r="DG77" s="263"/>
      <c r="DH77" s="263"/>
      <c r="DI77" s="263"/>
      <c r="DJ77" s="263"/>
      <c r="DK77" s="263"/>
      <c r="DL77" s="263"/>
      <c r="DM77" s="263"/>
      <c r="DN77" s="263"/>
      <c r="DO77" s="263"/>
      <c r="DP77" s="263"/>
      <c r="DQ77" s="263"/>
      <c r="DR77" s="263"/>
      <c r="DS77" s="263"/>
      <c r="DT77" s="263"/>
      <c r="DU77" s="263"/>
      <c r="DV77" s="263"/>
      <c r="DW77" s="263"/>
      <c r="DX77" s="263"/>
      <c r="DY77" s="263"/>
      <c r="DZ77" s="263"/>
      <c r="EA77" s="263"/>
      <c r="EB77" s="263"/>
      <c r="EC77" s="263"/>
      <c r="ED77" s="263"/>
      <c r="EE77" s="263"/>
      <c r="EF77" s="263"/>
      <c r="EG77" s="263"/>
      <c r="EH77" s="263"/>
      <c r="EI77" s="263"/>
      <c r="EJ77" s="263"/>
      <c r="EK77" s="263"/>
      <c r="EL77" s="263"/>
      <c r="EM77" s="263"/>
      <c r="EN77" s="263"/>
      <c r="EO77" s="263"/>
      <c r="EP77" s="263"/>
      <c r="EQ77" s="263"/>
      <c r="ER77" s="263"/>
      <c r="ES77" s="263"/>
      <c r="ET77" s="263"/>
      <c r="EU77" s="263"/>
      <c r="EV77" s="263"/>
      <c r="EW77" s="263"/>
      <c r="EX77" s="263"/>
      <c r="EY77" s="263"/>
      <c r="EZ77" s="263"/>
      <c r="FA77" s="263"/>
      <c r="FB77" s="263"/>
      <c r="FC77" s="263"/>
      <c r="FD77" s="263"/>
      <c r="FE77" s="263"/>
      <c r="FF77" s="263"/>
      <c r="FG77" s="263"/>
      <c r="FH77" s="263"/>
      <c r="FI77" s="263"/>
      <c r="FJ77" s="263"/>
      <c r="FK77" s="263"/>
      <c r="FL77" s="263"/>
      <c r="FM77" s="263"/>
      <c r="FN77" s="263"/>
      <c r="FO77" s="263"/>
      <c r="FP77" s="263"/>
      <c r="FQ77" s="263"/>
      <c r="FR77" s="263"/>
      <c r="FS77" s="263"/>
      <c r="FT77" s="263"/>
      <c r="FU77" s="263"/>
      <c r="FV77" s="263"/>
      <c r="FW77" s="263"/>
      <c r="FX77" s="263"/>
      <c r="FY77" s="263"/>
      <c r="FZ77" s="263"/>
      <c r="GA77" s="263"/>
      <c r="GB77" s="263"/>
      <c r="GC77" s="263"/>
      <c r="GD77" s="263"/>
      <c r="GE77" s="263"/>
      <c r="GF77" s="263"/>
      <c r="GG77" s="263"/>
      <c r="GH77" s="263"/>
      <c r="GI77" s="263"/>
      <c r="GJ77" s="263"/>
      <c r="GK77" s="263"/>
      <c r="GL77" s="263"/>
      <c r="GM77" s="263"/>
      <c r="GN77" s="263"/>
      <c r="GO77" s="263"/>
      <c r="GP77" s="263"/>
      <c r="GQ77" s="263"/>
      <c r="GR77" s="263"/>
      <c r="GS77" s="263"/>
      <c r="GT77" s="263"/>
      <c r="GU77" s="263"/>
      <c r="GV77" s="263"/>
      <c r="GW77" s="263"/>
      <c r="GX77" s="263"/>
      <c r="GY77" s="263"/>
      <c r="GZ77" s="263"/>
      <c r="HA77" s="263"/>
      <c r="HB77" s="263"/>
      <c r="HC77" s="263"/>
      <c r="HD77" s="263"/>
      <c r="HE77" s="263"/>
      <c r="HF77" s="263"/>
      <c r="HG77" s="263"/>
      <c r="HH77" s="263"/>
      <c r="HI77" s="263"/>
      <c r="HJ77" s="263"/>
      <c r="HK77" s="263"/>
      <c r="HL77" s="263"/>
      <c r="HM77" s="263"/>
      <c r="HN77" s="263"/>
      <c r="HO77" s="263"/>
      <c r="HP77" s="263"/>
      <c r="HQ77" s="263"/>
      <c r="HR77" s="263"/>
      <c r="HS77" s="263"/>
      <c r="HT77" s="263"/>
      <c r="HU77" s="263"/>
      <c r="HV77" s="263"/>
      <c r="HW77" s="263"/>
      <c r="HX77" s="263"/>
      <c r="HY77" s="263"/>
      <c r="HZ77" s="263"/>
      <c r="IA77" s="263"/>
      <c r="IB77" s="263"/>
      <c r="IC77" s="263"/>
      <c r="ID77" s="263"/>
      <c r="IE77" s="263"/>
      <c r="IF77" s="263"/>
      <c r="IG77" s="263"/>
      <c r="IH77" s="263"/>
      <c r="II77" s="263"/>
      <c r="IJ77" s="263"/>
      <c r="IK77" s="263"/>
      <c r="IL77" s="263"/>
      <c r="IM77" s="263"/>
      <c r="IN77" s="263"/>
      <c r="IO77" s="263"/>
      <c r="IP77" s="263"/>
      <c r="IQ77" s="263"/>
      <c r="IR77" s="263"/>
      <c r="IS77" s="263"/>
      <c r="IT77" s="263"/>
      <c r="IU77" s="263"/>
    </row>
    <row r="78" spans="1:255" ht="15.6">
      <c r="A78" s="263"/>
      <c r="B78" s="263"/>
      <c r="C78" s="263"/>
      <c r="D78" s="263"/>
      <c r="E78" s="263"/>
      <c r="F78" s="263"/>
      <c r="G78" s="263"/>
      <c r="H78" s="263"/>
      <c r="I78" s="263"/>
      <c r="J78" s="263"/>
      <c r="K78" s="263"/>
      <c r="L78" s="263"/>
      <c r="M78" s="263"/>
      <c r="N78" s="263"/>
      <c r="O78" s="263"/>
      <c r="P78" s="263"/>
      <c r="Q78" s="263"/>
      <c r="R78" s="263"/>
      <c r="S78" s="263"/>
      <c r="T78" s="263"/>
      <c r="U78" s="263"/>
      <c r="V78" s="263"/>
      <c r="W78" s="263"/>
      <c r="X78" s="263"/>
      <c r="Y78" s="263"/>
      <c r="Z78" s="263"/>
      <c r="AA78" s="263"/>
      <c r="AB78" s="263"/>
      <c r="AC78" s="263"/>
      <c r="AD78" s="263"/>
      <c r="AE78" s="263"/>
      <c r="AF78" s="263"/>
      <c r="AG78" s="263"/>
      <c r="AH78" s="263"/>
      <c r="AI78" s="263"/>
      <c r="AJ78" s="263"/>
      <c r="AK78" s="263"/>
      <c r="AL78" s="263"/>
      <c r="AM78" s="263"/>
      <c r="AN78" s="263"/>
      <c r="AO78" s="263"/>
      <c r="AP78" s="263"/>
      <c r="AQ78" s="263"/>
      <c r="AR78" s="263"/>
      <c r="AS78" s="263"/>
      <c r="AT78" s="263"/>
      <c r="AU78" s="263"/>
      <c r="AV78" s="263"/>
      <c r="AW78" s="263"/>
      <c r="AX78" s="263"/>
      <c r="AY78" s="263"/>
      <c r="AZ78" s="263"/>
      <c r="BA78" s="263"/>
      <c r="BB78" s="263"/>
      <c r="BC78" s="263"/>
      <c r="BD78" s="263"/>
      <c r="BE78" s="263"/>
      <c r="BF78" s="263"/>
      <c r="BG78" s="263"/>
      <c r="BH78" s="263"/>
      <c r="BI78" s="263"/>
      <c r="BJ78" s="263"/>
      <c r="BK78" s="263"/>
      <c r="BL78" s="263"/>
      <c r="BM78" s="263"/>
      <c r="BN78" s="263"/>
      <c r="BO78" s="263"/>
      <c r="BP78" s="263"/>
      <c r="BQ78" s="263"/>
      <c r="BR78" s="263"/>
      <c r="BS78" s="263"/>
      <c r="BT78" s="263"/>
      <c r="BU78" s="263"/>
      <c r="BV78" s="263"/>
      <c r="BW78" s="263"/>
      <c r="BX78" s="263"/>
      <c r="BY78" s="263"/>
      <c r="BZ78" s="263"/>
      <c r="CA78" s="263"/>
      <c r="CB78" s="263"/>
      <c r="CC78" s="263"/>
      <c r="CD78" s="263"/>
      <c r="CE78" s="263"/>
      <c r="CF78" s="263"/>
      <c r="CG78" s="263"/>
      <c r="CH78" s="263"/>
      <c r="CI78" s="263"/>
      <c r="CJ78" s="263"/>
      <c r="CK78" s="263"/>
      <c r="CL78" s="263"/>
      <c r="CM78" s="263"/>
      <c r="CN78" s="263"/>
      <c r="CO78" s="263"/>
      <c r="CP78" s="263"/>
      <c r="CQ78" s="263"/>
      <c r="CR78" s="263"/>
      <c r="CS78" s="263"/>
      <c r="CT78" s="263"/>
      <c r="CU78" s="263"/>
      <c r="CV78" s="263"/>
      <c r="CW78" s="263"/>
      <c r="CX78" s="263"/>
      <c r="CY78" s="263"/>
      <c r="CZ78" s="263"/>
      <c r="DA78" s="263"/>
      <c r="DB78" s="263"/>
      <c r="DC78" s="263"/>
      <c r="DD78" s="263"/>
      <c r="DE78" s="263"/>
      <c r="DF78" s="263"/>
      <c r="DG78" s="263"/>
      <c r="DH78" s="263"/>
      <c r="DI78" s="263"/>
      <c r="DJ78" s="263"/>
      <c r="DK78" s="263"/>
      <c r="DL78" s="263"/>
      <c r="DM78" s="263"/>
      <c r="DN78" s="263"/>
      <c r="DO78" s="263"/>
      <c r="DP78" s="263"/>
      <c r="DQ78" s="263"/>
      <c r="DR78" s="263"/>
      <c r="DS78" s="263"/>
      <c r="DT78" s="263"/>
      <c r="DU78" s="263"/>
      <c r="DV78" s="263"/>
      <c r="DW78" s="263"/>
      <c r="DX78" s="263"/>
      <c r="DY78" s="263"/>
      <c r="DZ78" s="263"/>
      <c r="EA78" s="263"/>
      <c r="EB78" s="263"/>
      <c r="EC78" s="263"/>
      <c r="ED78" s="263"/>
      <c r="EE78" s="263"/>
      <c r="EF78" s="263"/>
      <c r="EG78" s="263"/>
      <c r="EH78" s="263"/>
      <c r="EI78" s="263"/>
      <c r="EJ78" s="263"/>
      <c r="EK78" s="263"/>
      <c r="EL78" s="263"/>
      <c r="EM78" s="263"/>
      <c r="EN78" s="263"/>
      <c r="EO78" s="263"/>
      <c r="EP78" s="263"/>
      <c r="EQ78" s="263"/>
      <c r="ER78" s="263"/>
      <c r="ES78" s="263"/>
      <c r="ET78" s="263"/>
      <c r="EU78" s="263"/>
      <c r="EV78" s="263"/>
      <c r="EW78" s="263"/>
      <c r="EX78" s="263"/>
      <c r="EY78" s="263"/>
      <c r="EZ78" s="263"/>
      <c r="FA78" s="263"/>
      <c r="FB78" s="263"/>
      <c r="FC78" s="263"/>
      <c r="FD78" s="263"/>
      <c r="FE78" s="263"/>
      <c r="FF78" s="263"/>
      <c r="FG78" s="263"/>
      <c r="FH78" s="263"/>
      <c r="FI78" s="263"/>
      <c r="FJ78" s="263"/>
      <c r="FK78" s="263"/>
      <c r="FL78" s="263"/>
      <c r="FM78" s="263"/>
      <c r="FN78" s="263"/>
      <c r="FO78" s="263"/>
      <c r="FP78" s="263"/>
      <c r="FQ78" s="263"/>
      <c r="FR78" s="263"/>
      <c r="FS78" s="263"/>
      <c r="FT78" s="263"/>
      <c r="FU78" s="263"/>
      <c r="FV78" s="263"/>
      <c r="FW78" s="263"/>
      <c r="FX78" s="263"/>
      <c r="FY78" s="263"/>
      <c r="FZ78" s="263"/>
      <c r="GA78" s="263"/>
      <c r="GB78" s="263"/>
      <c r="GC78" s="263"/>
      <c r="GD78" s="263"/>
      <c r="GE78" s="263"/>
      <c r="GF78" s="263"/>
      <c r="GG78" s="263"/>
      <c r="GH78" s="263"/>
      <c r="GI78" s="263"/>
      <c r="GJ78" s="263"/>
      <c r="GK78" s="263"/>
      <c r="GL78" s="263"/>
      <c r="GM78" s="263"/>
      <c r="GN78" s="263"/>
      <c r="GO78" s="263"/>
      <c r="GP78" s="263"/>
      <c r="GQ78" s="263"/>
      <c r="GR78" s="263"/>
      <c r="GS78" s="263"/>
      <c r="GT78" s="263"/>
      <c r="GU78" s="263"/>
      <c r="GV78" s="263"/>
      <c r="GW78" s="263"/>
      <c r="GX78" s="263"/>
      <c r="GY78" s="263"/>
      <c r="GZ78" s="263"/>
      <c r="HA78" s="263"/>
      <c r="HB78" s="263"/>
      <c r="HC78" s="263"/>
      <c r="HD78" s="263"/>
      <c r="HE78" s="263"/>
      <c r="HF78" s="263"/>
      <c r="HG78" s="263"/>
      <c r="HH78" s="263"/>
      <c r="HI78" s="263"/>
      <c r="HJ78" s="263"/>
      <c r="HK78" s="263"/>
      <c r="HL78" s="263"/>
      <c r="HM78" s="263"/>
      <c r="HN78" s="263"/>
      <c r="HO78" s="263"/>
      <c r="HP78" s="263"/>
      <c r="HQ78" s="263"/>
      <c r="HR78" s="263"/>
      <c r="HS78" s="263"/>
      <c r="HT78" s="263"/>
      <c r="HU78" s="263"/>
      <c r="HV78" s="263"/>
      <c r="HW78" s="263"/>
      <c r="HX78" s="263"/>
      <c r="HY78" s="263"/>
      <c r="HZ78" s="263"/>
      <c r="IA78" s="263"/>
      <c r="IB78" s="263"/>
      <c r="IC78" s="263"/>
      <c r="ID78" s="263"/>
      <c r="IE78" s="263"/>
      <c r="IF78" s="263"/>
      <c r="IG78" s="263"/>
      <c r="IH78" s="263"/>
      <c r="II78" s="263"/>
      <c r="IJ78" s="263"/>
      <c r="IK78" s="263"/>
      <c r="IL78" s="263"/>
      <c r="IM78" s="263"/>
      <c r="IN78" s="263"/>
      <c r="IO78" s="263"/>
      <c r="IP78" s="263"/>
      <c r="IQ78" s="263"/>
      <c r="IR78" s="263"/>
      <c r="IS78" s="263"/>
      <c r="IT78" s="263"/>
      <c r="IU78" s="263"/>
    </row>
    <row r="79" spans="1:255" ht="15.6">
      <c r="A79" s="263"/>
      <c r="B79" s="263"/>
      <c r="C79" s="263"/>
      <c r="D79" s="263"/>
      <c r="E79" s="263"/>
      <c r="F79" s="263"/>
      <c r="G79" s="263"/>
      <c r="H79" s="263"/>
      <c r="I79" s="263"/>
      <c r="J79" s="263"/>
      <c r="K79" s="263"/>
      <c r="L79" s="263"/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263"/>
      <c r="AA79" s="263"/>
      <c r="AB79" s="263"/>
      <c r="AC79" s="263"/>
      <c r="AD79" s="263"/>
      <c r="AE79" s="263"/>
      <c r="AF79" s="263"/>
      <c r="AG79" s="263"/>
      <c r="AH79" s="263"/>
      <c r="AI79" s="263"/>
      <c r="AJ79" s="263"/>
      <c r="AK79" s="263"/>
      <c r="AL79" s="263"/>
      <c r="AM79" s="263"/>
      <c r="AN79" s="263"/>
      <c r="AO79" s="263"/>
      <c r="AP79" s="263"/>
      <c r="AQ79" s="263"/>
      <c r="AR79" s="263"/>
      <c r="AS79" s="263"/>
      <c r="AT79" s="263"/>
      <c r="AU79" s="263"/>
      <c r="AV79" s="263"/>
      <c r="AW79" s="263"/>
      <c r="AX79" s="263"/>
      <c r="AY79" s="263"/>
      <c r="AZ79" s="263"/>
      <c r="BA79" s="263"/>
      <c r="BB79" s="263"/>
      <c r="BC79" s="263"/>
      <c r="BD79" s="263"/>
      <c r="BE79" s="263"/>
      <c r="BF79" s="263"/>
      <c r="BG79" s="263"/>
      <c r="BH79" s="263"/>
      <c r="BI79" s="263"/>
      <c r="BJ79" s="263"/>
      <c r="BK79" s="263"/>
      <c r="BL79" s="263"/>
      <c r="BM79" s="263"/>
      <c r="BN79" s="263"/>
      <c r="BO79" s="263"/>
      <c r="BP79" s="263"/>
      <c r="BQ79" s="263"/>
      <c r="BR79" s="263"/>
      <c r="BS79" s="263"/>
      <c r="BT79" s="263"/>
      <c r="BU79" s="263"/>
      <c r="BV79" s="263"/>
      <c r="BW79" s="263"/>
      <c r="BX79" s="263"/>
      <c r="BY79" s="263"/>
      <c r="BZ79" s="263"/>
      <c r="CA79" s="263"/>
      <c r="CB79" s="263"/>
      <c r="CC79" s="263"/>
      <c r="CD79" s="263"/>
      <c r="CE79" s="263"/>
      <c r="CF79" s="263"/>
      <c r="CG79" s="263"/>
      <c r="CH79" s="263"/>
      <c r="CI79" s="263"/>
      <c r="CJ79" s="263"/>
      <c r="CK79" s="263"/>
      <c r="CL79" s="263"/>
      <c r="CM79" s="263"/>
      <c r="CN79" s="263"/>
      <c r="CO79" s="263"/>
      <c r="CP79" s="263"/>
      <c r="CQ79" s="263"/>
      <c r="CR79" s="263"/>
      <c r="CS79" s="263"/>
      <c r="CT79" s="263"/>
      <c r="CU79" s="263"/>
      <c r="CV79" s="263"/>
      <c r="CW79" s="263"/>
      <c r="CX79" s="263"/>
      <c r="CY79" s="263"/>
      <c r="CZ79" s="263"/>
      <c r="DA79" s="263"/>
      <c r="DB79" s="263"/>
      <c r="DC79" s="263"/>
      <c r="DD79" s="263"/>
      <c r="DE79" s="263"/>
      <c r="DF79" s="263"/>
      <c r="DG79" s="263"/>
      <c r="DH79" s="263"/>
      <c r="DI79" s="263"/>
      <c r="DJ79" s="263"/>
      <c r="DK79" s="263"/>
      <c r="DL79" s="263"/>
      <c r="DM79" s="263"/>
      <c r="DN79" s="263"/>
      <c r="DO79" s="263"/>
      <c r="DP79" s="263"/>
      <c r="DQ79" s="263"/>
      <c r="DR79" s="263"/>
      <c r="DS79" s="263"/>
      <c r="DT79" s="263"/>
      <c r="DU79" s="263"/>
      <c r="DV79" s="263"/>
      <c r="DW79" s="263"/>
      <c r="DX79" s="263"/>
      <c r="DY79" s="263"/>
      <c r="DZ79" s="263"/>
      <c r="EA79" s="263"/>
      <c r="EB79" s="263"/>
      <c r="EC79" s="263"/>
      <c r="ED79" s="263"/>
      <c r="EE79" s="263"/>
      <c r="EF79" s="263"/>
      <c r="EG79" s="263"/>
      <c r="EH79" s="263"/>
      <c r="EI79" s="263"/>
      <c r="EJ79" s="263"/>
      <c r="EK79" s="263"/>
      <c r="EL79" s="263"/>
      <c r="EM79" s="263"/>
      <c r="EN79" s="263"/>
      <c r="EO79" s="263"/>
      <c r="EP79" s="263"/>
      <c r="EQ79" s="263"/>
      <c r="ER79" s="263"/>
      <c r="ES79" s="263"/>
      <c r="ET79" s="263"/>
      <c r="EU79" s="263"/>
      <c r="EV79" s="263"/>
      <c r="EW79" s="263"/>
      <c r="EX79" s="263"/>
      <c r="EY79" s="263"/>
      <c r="EZ79" s="263"/>
      <c r="FA79" s="263"/>
      <c r="FB79" s="263"/>
      <c r="FC79" s="263"/>
      <c r="FD79" s="263"/>
      <c r="FE79" s="263"/>
      <c r="FF79" s="263"/>
      <c r="FG79" s="263"/>
      <c r="FH79" s="263"/>
      <c r="FI79" s="263"/>
      <c r="FJ79" s="263"/>
      <c r="FK79" s="263"/>
      <c r="FL79" s="263"/>
      <c r="FM79" s="263"/>
      <c r="FN79" s="263"/>
      <c r="FO79" s="263"/>
      <c r="FP79" s="263"/>
      <c r="FQ79" s="263"/>
      <c r="FR79" s="263"/>
      <c r="FS79" s="263"/>
      <c r="FT79" s="263"/>
      <c r="FU79" s="263"/>
      <c r="FV79" s="263"/>
      <c r="FW79" s="263"/>
      <c r="FX79" s="263"/>
      <c r="FY79" s="263"/>
      <c r="FZ79" s="263"/>
      <c r="GA79" s="263"/>
      <c r="GB79" s="263"/>
      <c r="GC79" s="263"/>
      <c r="GD79" s="263"/>
      <c r="GE79" s="263"/>
      <c r="GF79" s="263"/>
      <c r="GG79" s="263"/>
      <c r="GH79" s="263"/>
      <c r="GI79" s="263"/>
      <c r="GJ79" s="263"/>
      <c r="GK79" s="263"/>
      <c r="GL79" s="263"/>
      <c r="GM79" s="263"/>
      <c r="GN79" s="263"/>
      <c r="GO79" s="263"/>
      <c r="GP79" s="263"/>
      <c r="GQ79" s="263"/>
      <c r="GR79" s="263"/>
      <c r="GS79" s="263"/>
      <c r="GT79" s="263"/>
      <c r="GU79" s="263"/>
      <c r="GV79" s="263"/>
      <c r="GW79" s="263"/>
      <c r="GX79" s="263"/>
      <c r="GY79" s="263"/>
      <c r="GZ79" s="263"/>
      <c r="HA79" s="263"/>
      <c r="HB79" s="263"/>
      <c r="HC79" s="263"/>
      <c r="HD79" s="263"/>
      <c r="HE79" s="263"/>
      <c r="HF79" s="263"/>
      <c r="HG79" s="263"/>
      <c r="HH79" s="263"/>
      <c r="HI79" s="263"/>
      <c r="HJ79" s="263"/>
      <c r="HK79" s="263"/>
      <c r="HL79" s="263"/>
      <c r="HM79" s="263"/>
      <c r="HN79" s="263"/>
      <c r="HO79" s="263"/>
      <c r="HP79" s="263"/>
      <c r="HQ79" s="263"/>
      <c r="HR79" s="263"/>
      <c r="HS79" s="263"/>
      <c r="HT79" s="263"/>
      <c r="HU79" s="263"/>
      <c r="HV79" s="263"/>
      <c r="HW79" s="263"/>
      <c r="HX79" s="263"/>
      <c r="HY79" s="263"/>
      <c r="HZ79" s="263"/>
      <c r="IA79" s="263"/>
      <c r="IB79" s="263"/>
      <c r="IC79" s="263"/>
      <c r="ID79" s="263"/>
      <c r="IE79" s="263"/>
      <c r="IF79" s="263"/>
      <c r="IG79" s="263"/>
      <c r="IH79" s="263"/>
      <c r="II79" s="263"/>
      <c r="IJ79" s="263"/>
      <c r="IK79" s="263"/>
      <c r="IL79" s="263"/>
      <c r="IM79" s="263"/>
      <c r="IN79" s="263"/>
      <c r="IO79" s="263"/>
      <c r="IP79" s="263"/>
      <c r="IQ79" s="263"/>
      <c r="IR79" s="263"/>
      <c r="IS79" s="263"/>
      <c r="IT79" s="263"/>
      <c r="IU79" s="263"/>
    </row>
    <row r="80" spans="1:255" ht="15.6">
      <c r="A80" s="263"/>
      <c r="B80" s="263"/>
      <c r="C80" s="263"/>
      <c r="D80" s="263"/>
      <c r="E80" s="263"/>
      <c r="F80" s="263"/>
      <c r="G80" s="263"/>
      <c r="H80" s="263"/>
      <c r="I80" s="263"/>
      <c r="J80" s="263"/>
      <c r="K80" s="263"/>
      <c r="L80" s="263"/>
      <c r="M80" s="263"/>
      <c r="N80" s="263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263"/>
      <c r="AO80" s="263"/>
      <c r="AP80" s="263"/>
      <c r="AQ80" s="263"/>
      <c r="AR80" s="263"/>
      <c r="AS80" s="263"/>
      <c r="AT80" s="263"/>
      <c r="AU80" s="263"/>
      <c r="AV80" s="263"/>
      <c r="AW80" s="263"/>
      <c r="AX80" s="263"/>
      <c r="AY80" s="263"/>
      <c r="AZ80" s="263"/>
      <c r="BA80" s="263"/>
      <c r="BB80" s="263"/>
      <c r="BC80" s="263"/>
      <c r="BD80" s="263"/>
      <c r="BE80" s="263"/>
      <c r="BF80" s="263"/>
      <c r="BG80" s="263"/>
      <c r="BH80" s="263"/>
      <c r="BI80" s="263"/>
      <c r="BJ80" s="263"/>
      <c r="BK80" s="263"/>
      <c r="BL80" s="263"/>
      <c r="BM80" s="263"/>
      <c r="BN80" s="263"/>
      <c r="BO80" s="263"/>
      <c r="BP80" s="263"/>
      <c r="BQ80" s="263"/>
      <c r="BR80" s="263"/>
      <c r="BS80" s="263"/>
      <c r="BT80" s="263"/>
      <c r="BU80" s="263"/>
      <c r="BV80" s="263"/>
      <c r="BW80" s="263"/>
      <c r="BX80" s="263"/>
      <c r="BY80" s="263"/>
      <c r="BZ80" s="263"/>
      <c r="CA80" s="263"/>
      <c r="CB80" s="263"/>
      <c r="CC80" s="263"/>
      <c r="CD80" s="263"/>
      <c r="CE80" s="263"/>
      <c r="CF80" s="263"/>
      <c r="CG80" s="263"/>
      <c r="CH80" s="263"/>
      <c r="CI80" s="263"/>
      <c r="CJ80" s="263"/>
      <c r="CK80" s="263"/>
      <c r="CL80" s="263"/>
      <c r="CM80" s="263"/>
      <c r="CN80" s="263"/>
      <c r="CO80" s="263"/>
      <c r="CP80" s="263"/>
      <c r="CQ80" s="263"/>
      <c r="CR80" s="263"/>
      <c r="CS80" s="263"/>
      <c r="CT80" s="263"/>
      <c r="CU80" s="263"/>
      <c r="CV80" s="263"/>
      <c r="CW80" s="263"/>
      <c r="CX80" s="263"/>
      <c r="CY80" s="263"/>
      <c r="CZ80" s="263"/>
      <c r="DA80" s="263"/>
      <c r="DB80" s="263"/>
      <c r="DC80" s="263"/>
      <c r="DD80" s="263"/>
      <c r="DE80" s="263"/>
      <c r="DF80" s="263"/>
      <c r="DG80" s="263"/>
      <c r="DH80" s="263"/>
      <c r="DI80" s="263"/>
      <c r="DJ80" s="263"/>
      <c r="DK80" s="263"/>
      <c r="DL80" s="263"/>
      <c r="DM80" s="263"/>
      <c r="DN80" s="263"/>
      <c r="DO80" s="263"/>
      <c r="DP80" s="263"/>
      <c r="DQ80" s="263"/>
      <c r="DR80" s="263"/>
      <c r="DS80" s="263"/>
      <c r="DT80" s="263"/>
      <c r="DU80" s="263"/>
      <c r="DV80" s="263"/>
      <c r="DW80" s="263"/>
      <c r="DX80" s="263"/>
      <c r="DY80" s="263"/>
      <c r="DZ80" s="263"/>
      <c r="EA80" s="263"/>
      <c r="EB80" s="263"/>
      <c r="EC80" s="263"/>
      <c r="ED80" s="263"/>
      <c r="EE80" s="263"/>
      <c r="EF80" s="263"/>
      <c r="EG80" s="263"/>
      <c r="EH80" s="263"/>
      <c r="EI80" s="263"/>
      <c r="EJ80" s="263"/>
      <c r="EK80" s="263"/>
      <c r="EL80" s="263"/>
      <c r="EM80" s="263"/>
      <c r="EN80" s="263"/>
      <c r="EO80" s="263"/>
      <c r="EP80" s="263"/>
      <c r="EQ80" s="263"/>
      <c r="ER80" s="263"/>
      <c r="ES80" s="263"/>
      <c r="ET80" s="263"/>
      <c r="EU80" s="263"/>
      <c r="EV80" s="263"/>
      <c r="EW80" s="263"/>
      <c r="EX80" s="263"/>
      <c r="EY80" s="263"/>
      <c r="EZ80" s="263"/>
      <c r="FA80" s="263"/>
      <c r="FB80" s="263"/>
      <c r="FC80" s="263"/>
      <c r="FD80" s="263"/>
      <c r="FE80" s="263"/>
      <c r="FF80" s="263"/>
      <c r="FG80" s="263"/>
      <c r="FH80" s="263"/>
      <c r="FI80" s="263"/>
      <c r="FJ80" s="263"/>
      <c r="FK80" s="263"/>
      <c r="FL80" s="263"/>
      <c r="FM80" s="263"/>
      <c r="FN80" s="263"/>
      <c r="FO80" s="263"/>
      <c r="FP80" s="263"/>
      <c r="FQ80" s="263"/>
      <c r="FR80" s="263"/>
      <c r="FS80" s="263"/>
      <c r="FT80" s="263"/>
      <c r="FU80" s="263"/>
      <c r="FV80" s="263"/>
      <c r="FW80" s="263"/>
      <c r="FX80" s="263"/>
      <c r="FY80" s="263"/>
      <c r="FZ80" s="263"/>
      <c r="GA80" s="263"/>
      <c r="GB80" s="263"/>
      <c r="GC80" s="263"/>
      <c r="GD80" s="263"/>
      <c r="GE80" s="263"/>
      <c r="GF80" s="263"/>
      <c r="GG80" s="263"/>
      <c r="GH80" s="263"/>
      <c r="GI80" s="263"/>
      <c r="GJ80" s="263"/>
      <c r="GK80" s="263"/>
      <c r="GL80" s="263"/>
      <c r="GM80" s="263"/>
      <c r="GN80" s="263"/>
      <c r="GO80" s="263"/>
      <c r="GP80" s="263"/>
      <c r="GQ80" s="263"/>
      <c r="GR80" s="263"/>
      <c r="GS80" s="263"/>
      <c r="GT80" s="263"/>
      <c r="GU80" s="263"/>
      <c r="GV80" s="263"/>
      <c r="GW80" s="263"/>
      <c r="GX80" s="263"/>
      <c r="GY80" s="263"/>
      <c r="GZ80" s="263"/>
      <c r="HA80" s="263"/>
      <c r="HB80" s="263"/>
      <c r="HC80" s="263"/>
      <c r="HD80" s="263"/>
      <c r="HE80" s="263"/>
      <c r="HF80" s="263"/>
      <c r="HG80" s="263"/>
      <c r="HH80" s="263"/>
      <c r="HI80" s="263"/>
      <c r="HJ80" s="263"/>
      <c r="HK80" s="263"/>
      <c r="HL80" s="263"/>
      <c r="HM80" s="263"/>
      <c r="HN80" s="263"/>
      <c r="HO80" s="263"/>
      <c r="HP80" s="263"/>
      <c r="HQ80" s="263"/>
      <c r="HR80" s="263"/>
      <c r="HS80" s="263"/>
      <c r="HT80" s="263"/>
      <c r="HU80" s="263"/>
      <c r="HV80" s="263"/>
      <c r="HW80" s="263"/>
      <c r="HX80" s="263"/>
      <c r="HY80" s="263"/>
      <c r="HZ80" s="263"/>
      <c r="IA80" s="263"/>
      <c r="IB80" s="263"/>
      <c r="IC80" s="263"/>
      <c r="ID80" s="263"/>
      <c r="IE80" s="263"/>
      <c r="IF80" s="263"/>
      <c r="IG80" s="263"/>
      <c r="IH80" s="263"/>
      <c r="II80" s="263"/>
      <c r="IJ80" s="263"/>
      <c r="IK80" s="263"/>
      <c r="IL80" s="263"/>
      <c r="IM80" s="263"/>
      <c r="IN80" s="263"/>
      <c r="IO80" s="263"/>
      <c r="IP80" s="263"/>
      <c r="IQ80" s="263"/>
      <c r="IR80" s="263"/>
      <c r="IS80" s="263"/>
      <c r="IT80" s="263"/>
      <c r="IU80" s="263"/>
    </row>
    <row r="81" spans="1:255" ht="15.6">
      <c r="A81" s="263"/>
      <c r="B81" s="263"/>
      <c r="C81" s="263"/>
      <c r="D81" s="263"/>
      <c r="E81" s="263"/>
      <c r="F81" s="263"/>
      <c r="G81" s="263"/>
      <c r="H81" s="263"/>
      <c r="I81" s="263"/>
      <c r="J81" s="263"/>
      <c r="K81" s="263"/>
      <c r="L81" s="263"/>
      <c r="M81" s="263"/>
      <c r="N81" s="263"/>
      <c r="O81" s="263"/>
      <c r="P81" s="263"/>
      <c r="Q81" s="263"/>
      <c r="R81" s="263"/>
      <c r="S81" s="263"/>
      <c r="T81" s="263"/>
      <c r="U81" s="263"/>
      <c r="V81" s="263"/>
      <c r="W81" s="263"/>
      <c r="X81" s="263"/>
      <c r="Y81" s="263"/>
      <c r="Z81" s="263"/>
      <c r="AA81" s="263"/>
      <c r="AB81" s="263"/>
      <c r="AC81" s="263"/>
      <c r="AD81" s="263"/>
      <c r="AE81" s="263"/>
      <c r="AF81" s="263"/>
      <c r="AG81" s="263"/>
      <c r="AH81" s="263"/>
      <c r="AI81" s="263"/>
      <c r="AJ81" s="263"/>
      <c r="AK81" s="263"/>
      <c r="AL81" s="263"/>
      <c r="AM81" s="263"/>
      <c r="AN81" s="263"/>
      <c r="AO81" s="263"/>
      <c r="AP81" s="263"/>
      <c r="AQ81" s="263"/>
      <c r="AR81" s="263"/>
      <c r="AS81" s="263"/>
      <c r="AT81" s="263"/>
      <c r="AU81" s="263"/>
      <c r="AV81" s="263"/>
      <c r="AW81" s="263"/>
      <c r="AX81" s="263"/>
      <c r="AY81" s="263"/>
      <c r="AZ81" s="263"/>
      <c r="BA81" s="263"/>
      <c r="BB81" s="263"/>
      <c r="BC81" s="263"/>
      <c r="BD81" s="263"/>
      <c r="BE81" s="263"/>
      <c r="BF81" s="263"/>
      <c r="BG81" s="263"/>
      <c r="BH81" s="263"/>
      <c r="BI81" s="263"/>
      <c r="BJ81" s="263"/>
      <c r="BK81" s="263"/>
      <c r="BL81" s="263"/>
      <c r="BM81" s="263"/>
      <c r="BN81" s="263"/>
      <c r="BO81" s="263"/>
      <c r="BP81" s="263"/>
      <c r="BQ81" s="263"/>
      <c r="BR81" s="263"/>
      <c r="BS81" s="263"/>
      <c r="BT81" s="263"/>
      <c r="BU81" s="263"/>
      <c r="BV81" s="263"/>
      <c r="BW81" s="263"/>
      <c r="BX81" s="263"/>
      <c r="BY81" s="263"/>
      <c r="BZ81" s="263"/>
      <c r="CA81" s="263"/>
      <c r="CB81" s="263"/>
      <c r="CC81" s="263"/>
      <c r="CD81" s="263"/>
      <c r="CE81" s="263"/>
      <c r="CF81" s="263"/>
      <c r="CG81" s="263"/>
      <c r="CH81" s="263"/>
      <c r="CI81" s="263"/>
      <c r="CJ81" s="263"/>
      <c r="CK81" s="263"/>
      <c r="CL81" s="263"/>
      <c r="CM81" s="263"/>
      <c r="CN81" s="263"/>
      <c r="CO81" s="263"/>
      <c r="CP81" s="263"/>
      <c r="CQ81" s="263"/>
      <c r="CR81" s="263"/>
      <c r="CS81" s="263"/>
      <c r="CT81" s="263"/>
      <c r="CU81" s="263"/>
      <c r="CV81" s="263"/>
      <c r="CW81" s="263"/>
      <c r="CX81" s="263"/>
      <c r="CY81" s="263"/>
      <c r="CZ81" s="263"/>
      <c r="DA81" s="263"/>
      <c r="DB81" s="263"/>
      <c r="DC81" s="263"/>
      <c r="DD81" s="263"/>
      <c r="DE81" s="263"/>
      <c r="DF81" s="263"/>
      <c r="DG81" s="263"/>
      <c r="DH81" s="263"/>
      <c r="DI81" s="263"/>
      <c r="DJ81" s="263"/>
      <c r="DK81" s="263"/>
      <c r="DL81" s="263"/>
      <c r="DM81" s="263"/>
      <c r="DN81" s="263"/>
      <c r="DO81" s="263"/>
      <c r="DP81" s="263"/>
      <c r="DQ81" s="263"/>
      <c r="DR81" s="263"/>
      <c r="DS81" s="263"/>
      <c r="DT81" s="263"/>
      <c r="DU81" s="263"/>
      <c r="DV81" s="263"/>
      <c r="DW81" s="263"/>
      <c r="DX81" s="263"/>
      <c r="DY81" s="263"/>
      <c r="DZ81" s="263"/>
      <c r="EA81" s="263"/>
      <c r="EB81" s="263"/>
      <c r="EC81" s="263"/>
      <c r="ED81" s="263"/>
      <c r="EE81" s="263"/>
      <c r="EF81" s="263"/>
      <c r="EG81" s="263"/>
      <c r="EH81" s="263"/>
      <c r="EI81" s="263"/>
      <c r="EJ81" s="263"/>
      <c r="EK81" s="263"/>
      <c r="EL81" s="263"/>
      <c r="EM81" s="263"/>
      <c r="EN81" s="263"/>
      <c r="EO81" s="263"/>
      <c r="EP81" s="263"/>
      <c r="EQ81" s="263"/>
      <c r="ER81" s="263"/>
      <c r="ES81" s="263"/>
      <c r="ET81" s="263"/>
      <c r="EU81" s="263"/>
      <c r="EV81" s="263"/>
      <c r="EW81" s="263"/>
      <c r="EX81" s="263"/>
      <c r="EY81" s="263"/>
      <c r="EZ81" s="263"/>
      <c r="FA81" s="263"/>
      <c r="FB81" s="263"/>
      <c r="FC81" s="263"/>
      <c r="FD81" s="263"/>
      <c r="FE81" s="263"/>
      <c r="FF81" s="263"/>
      <c r="FG81" s="263"/>
      <c r="FH81" s="263"/>
      <c r="FI81" s="263"/>
      <c r="FJ81" s="263"/>
      <c r="FK81" s="263"/>
      <c r="FL81" s="263"/>
      <c r="FM81" s="263"/>
      <c r="FN81" s="263"/>
      <c r="FO81" s="263"/>
      <c r="FP81" s="263"/>
      <c r="FQ81" s="263"/>
      <c r="FR81" s="263"/>
      <c r="FS81" s="263"/>
      <c r="FT81" s="263"/>
      <c r="FU81" s="263"/>
      <c r="FV81" s="263"/>
      <c r="FW81" s="263"/>
      <c r="FX81" s="263"/>
      <c r="FY81" s="263"/>
      <c r="FZ81" s="263"/>
      <c r="GA81" s="263"/>
      <c r="GB81" s="263"/>
      <c r="GC81" s="263"/>
      <c r="GD81" s="263"/>
      <c r="GE81" s="263"/>
      <c r="GF81" s="263"/>
      <c r="GG81" s="263"/>
      <c r="GH81" s="263"/>
      <c r="GI81" s="263"/>
      <c r="GJ81" s="263"/>
      <c r="GK81" s="263"/>
      <c r="GL81" s="263"/>
      <c r="GM81" s="263"/>
      <c r="GN81" s="263"/>
      <c r="GO81" s="263"/>
      <c r="GP81" s="263"/>
      <c r="GQ81" s="263"/>
      <c r="GR81" s="263"/>
      <c r="GS81" s="263"/>
      <c r="GT81" s="263"/>
      <c r="GU81" s="263"/>
      <c r="GV81" s="263"/>
      <c r="GW81" s="263"/>
      <c r="GX81" s="263"/>
      <c r="GY81" s="263"/>
      <c r="GZ81" s="263"/>
      <c r="HA81" s="263"/>
      <c r="HB81" s="263"/>
      <c r="HC81" s="263"/>
      <c r="HD81" s="263"/>
      <c r="HE81" s="263"/>
      <c r="HF81" s="263"/>
      <c r="HG81" s="263"/>
      <c r="HH81" s="263"/>
      <c r="HI81" s="263"/>
      <c r="HJ81" s="263"/>
      <c r="HK81" s="263"/>
      <c r="HL81" s="263"/>
      <c r="HM81" s="263"/>
      <c r="HN81" s="263"/>
      <c r="HO81" s="263"/>
      <c r="HP81" s="263"/>
      <c r="HQ81" s="263"/>
      <c r="HR81" s="263"/>
      <c r="HS81" s="263"/>
      <c r="HT81" s="263"/>
      <c r="HU81" s="263"/>
      <c r="HV81" s="263"/>
      <c r="HW81" s="263"/>
      <c r="HX81" s="263"/>
      <c r="HY81" s="263"/>
      <c r="HZ81" s="263"/>
      <c r="IA81" s="263"/>
      <c r="IB81" s="263"/>
      <c r="IC81" s="263"/>
      <c r="ID81" s="263"/>
      <c r="IE81" s="263"/>
      <c r="IF81" s="263"/>
      <c r="IG81" s="263"/>
      <c r="IH81" s="263"/>
      <c r="II81" s="263"/>
      <c r="IJ81" s="263"/>
      <c r="IK81" s="263"/>
      <c r="IL81" s="263"/>
      <c r="IM81" s="263"/>
      <c r="IN81" s="263"/>
      <c r="IO81" s="263"/>
      <c r="IP81" s="263"/>
      <c r="IQ81" s="263"/>
      <c r="IR81" s="263"/>
      <c r="IS81" s="263"/>
      <c r="IT81" s="263"/>
      <c r="IU81" s="263"/>
    </row>
    <row r="82" spans="1:255" ht="15.6">
      <c r="A82" s="263"/>
      <c r="B82" s="263"/>
      <c r="C82" s="263"/>
      <c r="D82" s="263"/>
      <c r="E82" s="263"/>
      <c r="F82" s="263"/>
      <c r="G82" s="263"/>
      <c r="H82" s="263"/>
      <c r="I82" s="263"/>
      <c r="J82" s="263"/>
      <c r="K82" s="263"/>
      <c r="L82" s="263"/>
      <c r="M82" s="263"/>
      <c r="N82" s="263"/>
      <c r="O82" s="263"/>
      <c r="P82" s="263"/>
      <c r="Q82" s="263"/>
      <c r="R82" s="263"/>
      <c r="S82" s="263"/>
      <c r="T82" s="263"/>
      <c r="U82" s="263"/>
      <c r="V82" s="263"/>
      <c r="W82" s="263"/>
      <c r="X82" s="263"/>
      <c r="Y82" s="263"/>
      <c r="Z82" s="263"/>
      <c r="AA82" s="263"/>
      <c r="AB82" s="263"/>
      <c r="AC82" s="263"/>
      <c r="AD82" s="263"/>
      <c r="AE82" s="263"/>
      <c r="AF82" s="263"/>
      <c r="AG82" s="263"/>
      <c r="AH82" s="263"/>
      <c r="AI82" s="263"/>
      <c r="AJ82" s="263"/>
      <c r="AK82" s="263"/>
      <c r="AL82" s="263"/>
      <c r="AM82" s="263"/>
      <c r="AN82" s="263"/>
      <c r="AO82" s="263"/>
      <c r="AP82" s="263"/>
      <c r="AQ82" s="263"/>
      <c r="AR82" s="263"/>
      <c r="AS82" s="263"/>
      <c r="AT82" s="263"/>
      <c r="AU82" s="263"/>
      <c r="AV82" s="263"/>
      <c r="AW82" s="263"/>
      <c r="AX82" s="263"/>
      <c r="AY82" s="263"/>
      <c r="AZ82" s="263"/>
      <c r="BA82" s="263"/>
      <c r="BB82" s="263"/>
      <c r="BC82" s="263"/>
      <c r="BD82" s="263"/>
      <c r="BE82" s="263"/>
      <c r="BF82" s="263"/>
      <c r="BG82" s="263"/>
      <c r="BH82" s="263"/>
      <c r="BI82" s="263"/>
      <c r="BJ82" s="263"/>
      <c r="BK82" s="263"/>
      <c r="BL82" s="263"/>
      <c r="BM82" s="263"/>
      <c r="BN82" s="263"/>
      <c r="BO82" s="263"/>
      <c r="BP82" s="263"/>
      <c r="BQ82" s="263"/>
      <c r="BR82" s="263"/>
      <c r="BS82" s="263"/>
      <c r="BT82" s="263"/>
      <c r="BU82" s="263"/>
      <c r="BV82" s="263"/>
      <c r="BW82" s="263"/>
      <c r="BX82" s="263"/>
      <c r="BY82" s="263"/>
      <c r="BZ82" s="263"/>
      <c r="CA82" s="263"/>
      <c r="CB82" s="263"/>
      <c r="CC82" s="263"/>
      <c r="CD82" s="263"/>
      <c r="CE82" s="263"/>
      <c r="CF82" s="263"/>
      <c r="CG82" s="263"/>
      <c r="CH82" s="263"/>
      <c r="CI82" s="263"/>
      <c r="CJ82" s="263"/>
      <c r="CK82" s="263"/>
      <c r="CL82" s="263"/>
      <c r="CM82" s="263"/>
      <c r="CN82" s="263"/>
      <c r="CO82" s="263"/>
      <c r="CP82" s="263"/>
      <c r="CQ82" s="263"/>
      <c r="CR82" s="263"/>
      <c r="CS82" s="263"/>
      <c r="CT82" s="263"/>
      <c r="CU82" s="263"/>
      <c r="CV82" s="263"/>
      <c r="CW82" s="263"/>
      <c r="CX82" s="263"/>
      <c r="CY82" s="263"/>
      <c r="CZ82" s="263"/>
      <c r="DA82" s="263"/>
      <c r="DB82" s="263"/>
      <c r="DC82" s="263"/>
      <c r="DD82" s="263"/>
      <c r="DE82" s="263"/>
      <c r="DF82" s="263"/>
      <c r="DG82" s="263"/>
      <c r="DH82" s="263"/>
      <c r="DI82" s="263"/>
      <c r="DJ82" s="263"/>
      <c r="DK82" s="263"/>
      <c r="DL82" s="263"/>
      <c r="DM82" s="263"/>
      <c r="DN82" s="263"/>
      <c r="DO82" s="263"/>
      <c r="DP82" s="263"/>
      <c r="DQ82" s="263"/>
      <c r="DR82" s="263"/>
      <c r="DS82" s="263"/>
      <c r="DT82" s="263"/>
      <c r="DU82" s="263"/>
      <c r="DV82" s="263"/>
      <c r="DW82" s="263"/>
      <c r="DX82" s="263"/>
      <c r="DY82" s="263"/>
      <c r="DZ82" s="263"/>
      <c r="EA82" s="263"/>
      <c r="EB82" s="263"/>
      <c r="EC82" s="263"/>
      <c r="ED82" s="263"/>
      <c r="EE82" s="263"/>
      <c r="EF82" s="263"/>
      <c r="EG82" s="263"/>
      <c r="EH82" s="263"/>
      <c r="EI82" s="263"/>
      <c r="EJ82" s="263"/>
      <c r="EK82" s="263"/>
      <c r="EL82" s="263"/>
      <c r="EM82" s="263"/>
      <c r="EN82" s="263"/>
      <c r="EO82" s="263"/>
      <c r="EP82" s="263"/>
      <c r="EQ82" s="263"/>
      <c r="ER82" s="263"/>
      <c r="ES82" s="263"/>
      <c r="ET82" s="263"/>
      <c r="EU82" s="263"/>
      <c r="EV82" s="263"/>
      <c r="EW82" s="263"/>
      <c r="EX82" s="263"/>
      <c r="EY82" s="263"/>
      <c r="EZ82" s="263"/>
      <c r="FA82" s="263"/>
      <c r="FB82" s="263"/>
      <c r="FC82" s="263"/>
      <c r="FD82" s="263"/>
      <c r="FE82" s="263"/>
      <c r="FF82" s="263"/>
      <c r="FG82" s="263"/>
      <c r="FH82" s="263"/>
      <c r="FI82" s="263"/>
      <c r="FJ82" s="263"/>
      <c r="FK82" s="263"/>
      <c r="FL82" s="263"/>
      <c r="FM82" s="263"/>
      <c r="FN82" s="263"/>
      <c r="FO82" s="263"/>
      <c r="FP82" s="263"/>
      <c r="FQ82" s="263"/>
      <c r="FR82" s="263"/>
      <c r="FS82" s="263"/>
      <c r="FT82" s="263"/>
      <c r="FU82" s="263"/>
      <c r="FV82" s="263"/>
      <c r="FW82" s="263"/>
      <c r="FX82" s="263"/>
      <c r="FY82" s="263"/>
      <c r="FZ82" s="263"/>
      <c r="GA82" s="263"/>
      <c r="GB82" s="263"/>
      <c r="GC82" s="263"/>
      <c r="GD82" s="263"/>
      <c r="GE82" s="263"/>
      <c r="GF82" s="263"/>
      <c r="GG82" s="263"/>
      <c r="GH82" s="263"/>
      <c r="GI82" s="263"/>
      <c r="GJ82" s="263"/>
      <c r="GK82" s="263"/>
      <c r="GL82" s="263"/>
      <c r="GM82" s="263"/>
      <c r="GN82" s="263"/>
      <c r="GO82" s="263"/>
      <c r="GP82" s="263"/>
      <c r="GQ82" s="263"/>
      <c r="GR82" s="263"/>
      <c r="GS82" s="263"/>
      <c r="GT82" s="263"/>
      <c r="GU82" s="263"/>
      <c r="GV82" s="263"/>
      <c r="GW82" s="263"/>
      <c r="GX82" s="263"/>
      <c r="GY82" s="263"/>
      <c r="GZ82" s="263"/>
      <c r="HA82" s="263"/>
      <c r="HB82" s="263"/>
      <c r="HC82" s="263"/>
      <c r="HD82" s="263"/>
      <c r="HE82" s="263"/>
      <c r="HF82" s="263"/>
      <c r="HG82" s="263"/>
      <c r="HH82" s="263"/>
      <c r="HI82" s="263"/>
      <c r="HJ82" s="263"/>
      <c r="HK82" s="263"/>
      <c r="HL82" s="263"/>
      <c r="HM82" s="263"/>
      <c r="HN82" s="263"/>
      <c r="HO82" s="263"/>
      <c r="HP82" s="263"/>
      <c r="HQ82" s="263"/>
      <c r="HR82" s="263"/>
      <c r="HS82" s="263"/>
      <c r="HT82" s="263"/>
      <c r="HU82" s="263"/>
      <c r="HV82" s="263"/>
      <c r="HW82" s="263"/>
      <c r="HX82" s="263"/>
      <c r="HY82" s="263"/>
      <c r="HZ82" s="263"/>
      <c r="IA82" s="263"/>
      <c r="IB82" s="263"/>
      <c r="IC82" s="263"/>
      <c r="ID82" s="263"/>
      <c r="IE82" s="263"/>
      <c r="IF82" s="263"/>
      <c r="IG82" s="263"/>
      <c r="IH82" s="263"/>
      <c r="II82" s="263"/>
      <c r="IJ82" s="263"/>
      <c r="IK82" s="263"/>
      <c r="IL82" s="263"/>
      <c r="IM82" s="263"/>
      <c r="IN82" s="263"/>
      <c r="IO82" s="263"/>
      <c r="IP82" s="263"/>
      <c r="IQ82" s="263"/>
      <c r="IR82" s="263"/>
      <c r="IS82" s="263"/>
      <c r="IT82" s="263"/>
      <c r="IU82" s="263"/>
    </row>
    <row r="83" spans="1:255" ht="15.6">
      <c r="A83" s="263"/>
      <c r="B83" s="263"/>
      <c r="C83" s="263"/>
      <c r="D83" s="263"/>
      <c r="E83" s="263"/>
      <c r="F83" s="263"/>
      <c r="G83" s="263"/>
      <c r="H83" s="263"/>
      <c r="I83" s="263"/>
      <c r="J83" s="263"/>
      <c r="K83" s="263"/>
      <c r="L83" s="263"/>
      <c r="M83" s="263"/>
      <c r="N83" s="263"/>
      <c r="O83" s="263"/>
      <c r="P83" s="263"/>
      <c r="Q83" s="263"/>
      <c r="R83" s="263"/>
      <c r="S83" s="263"/>
      <c r="T83" s="263"/>
      <c r="U83" s="263"/>
      <c r="V83" s="263"/>
      <c r="W83" s="263"/>
      <c r="X83" s="263"/>
      <c r="Y83" s="263"/>
      <c r="Z83" s="263"/>
      <c r="AA83" s="263"/>
      <c r="AB83" s="263"/>
      <c r="AC83" s="263"/>
      <c r="AD83" s="263"/>
      <c r="AE83" s="263"/>
      <c r="AF83" s="263"/>
      <c r="AG83" s="263"/>
      <c r="AH83" s="263"/>
      <c r="AI83" s="263"/>
      <c r="AJ83" s="263"/>
      <c r="AK83" s="263"/>
      <c r="AL83" s="263"/>
      <c r="AM83" s="263"/>
      <c r="AN83" s="263"/>
      <c r="AO83" s="263"/>
      <c r="AP83" s="263"/>
      <c r="AQ83" s="263"/>
      <c r="AR83" s="263"/>
      <c r="AS83" s="263"/>
      <c r="AT83" s="263"/>
      <c r="AU83" s="263"/>
      <c r="AV83" s="263"/>
      <c r="AW83" s="263"/>
      <c r="AX83" s="263"/>
      <c r="AY83" s="263"/>
      <c r="AZ83" s="263"/>
      <c r="BA83" s="263"/>
      <c r="BB83" s="263"/>
      <c r="BC83" s="263"/>
      <c r="BD83" s="263"/>
      <c r="BE83" s="263"/>
      <c r="BF83" s="263"/>
      <c r="BG83" s="263"/>
      <c r="BH83" s="263"/>
      <c r="BI83" s="263"/>
      <c r="BJ83" s="263"/>
      <c r="BK83" s="263"/>
      <c r="BL83" s="263"/>
      <c r="BM83" s="263"/>
      <c r="BN83" s="263"/>
      <c r="BO83" s="263"/>
      <c r="BP83" s="263"/>
      <c r="BQ83" s="263"/>
      <c r="BR83" s="263"/>
      <c r="BS83" s="263"/>
      <c r="BT83" s="263"/>
      <c r="BU83" s="263"/>
      <c r="BV83" s="263"/>
      <c r="BW83" s="263"/>
      <c r="BX83" s="263"/>
      <c r="BY83" s="263"/>
      <c r="BZ83" s="263"/>
      <c r="CA83" s="263"/>
      <c r="CB83" s="263"/>
      <c r="CC83" s="263"/>
      <c r="CD83" s="263"/>
      <c r="CE83" s="263"/>
      <c r="CF83" s="263"/>
      <c r="CG83" s="263"/>
      <c r="CH83" s="263"/>
      <c r="CI83" s="263"/>
      <c r="CJ83" s="263"/>
      <c r="CK83" s="263"/>
      <c r="CL83" s="263"/>
      <c r="CM83" s="263"/>
      <c r="CN83" s="263"/>
      <c r="CO83" s="263"/>
      <c r="CP83" s="263"/>
      <c r="CQ83" s="263"/>
      <c r="CR83" s="263"/>
      <c r="CS83" s="263"/>
      <c r="CT83" s="263"/>
      <c r="CU83" s="263"/>
      <c r="CV83" s="263"/>
      <c r="CW83" s="263"/>
      <c r="CX83" s="263"/>
      <c r="CY83" s="263"/>
      <c r="CZ83" s="263"/>
      <c r="DA83" s="263"/>
      <c r="DB83" s="263"/>
      <c r="DC83" s="263"/>
      <c r="DD83" s="263"/>
      <c r="DE83" s="263"/>
      <c r="DF83" s="263"/>
      <c r="DG83" s="263"/>
      <c r="DH83" s="263"/>
      <c r="DI83" s="263"/>
      <c r="DJ83" s="263"/>
      <c r="DK83" s="263"/>
      <c r="DL83" s="263"/>
      <c r="DM83" s="263"/>
      <c r="DN83" s="263"/>
      <c r="DO83" s="263"/>
      <c r="DP83" s="263"/>
      <c r="DQ83" s="263"/>
      <c r="DR83" s="263"/>
      <c r="DS83" s="263"/>
      <c r="DT83" s="263"/>
      <c r="DU83" s="263"/>
      <c r="DV83" s="263"/>
      <c r="DW83" s="263"/>
      <c r="DX83" s="263"/>
      <c r="DY83" s="263"/>
      <c r="DZ83" s="263"/>
      <c r="EA83" s="263"/>
      <c r="EB83" s="263"/>
      <c r="EC83" s="263"/>
      <c r="ED83" s="263"/>
      <c r="EE83" s="263"/>
      <c r="EF83" s="263"/>
      <c r="EG83" s="263"/>
      <c r="EH83" s="263"/>
      <c r="EI83" s="263"/>
      <c r="EJ83" s="263"/>
      <c r="EK83" s="263"/>
      <c r="EL83" s="263"/>
      <c r="EM83" s="263"/>
      <c r="EN83" s="263"/>
      <c r="EO83" s="263"/>
      <c r="EP83" s="263"/>
      <c r="EQ83" s="263"/>
      <c r="ER83" s="263"/>
      <c r="ES83" s="263"/>
      <c r="ET83" s="263"/>
      <c r="EU83" s="263"/>
      <c r="EV83" s="263"/>
      <c r="EW83" s="263"/>
      <c r="EX83" s="263"/>
      <c r="EY83" s="263"/>
      <c r="EZ83" s="263"/>
      <c r="FA83" s="263"/>
      <c r="FB83" s="263"/>
      <c r="FC83" s="263"/>
      <c r="FD83" s="263"/>
      <c r="FE83" s="263"/>
      <c r="FF83" s="263"/>
      <c r="FG83" s="263"/>
      <c r="FH83" s="263"/>
      <c r="FI83" s="263"/>
      <c r="FJ83" s="263"/>
      <c r="FK83" s="263"/>
      <c r="FL83" s="263"/>
      <c r="FM83" s="263"/>
      <c r="FN83" s="263"/>
      <c r="FO83" s="263"/>
      <c r="FP83" s="263"/>
      <c r="FQ83" s="263"/>
      <c r="FR83" s="263"/>
      <c r="FS83" s="263"/>
      <c r="FT83" s="263"/>
      <c r="FU83" s="263"/>
      <c r="FV83" s="263"/>
      <c r="FW83" s="263"/>
      <c r="FX83" s="263"/>
      <c r="FY83" s="263"/>
      <c r="FZ83" s="263"/>
      <c r="GA83" s="263"/>
      <c r="GB83" s="263"/>
      <c r="GC83" s="263"/>
      <c r="GD83" s="263"/>
      <c r="GE83" s="263"/>
      <c r="GF83" s="263"/>
      <c r="GG83" s="263"/>
      <c r="GH83" s="263"/>
      <c r="GI83" s="263"/>
      <c r="GJ83" s="263"/>
      <c r="GK83" s="263"/>
      <c r="GL83" s="263"/>
      <c r="GM83" s="263"/>
      <c r="GN83" s="263"/>
      <c r="GO83" s="263"/>
      <c r="GP83" s="263"/>
      <c r="GQ83" s="263"/>
      <c r="GR83" s="263"/>
      <c r="GS83" s="263"/>
      <c r="GT83" s="263"/>
      <c r="GU83" s="263"/>
      <c r="GV83" s="263"/>
      <c r="GW83" s="263"/>
      <c r="GX83" s="263"/>
      <c r="GY83" s="263"/>
      <c r="GZ83" s="263"/>
      <c r="HA83" s="263"/>
      <c r="HB83" s="263"/>
      <c r="HC83" s="263"/>
      <c r="HD83" s="263"/>
      <c r="HE83" s="263"/>
      <c r="HF83" s="263"/>
      <c r="HG83" s="263"/>
      <c r="HH83" s="263"/>
      <c r="HI83" s="263"/>
      <c r="HJ83" s="263"/>
      <c r="HK83" s="263"/>
      <c r="HL83" s="263"/>
      <c r="HM83" s="263"/>
      <c r="HN83" s="263"/>
      <c r="HO83" s="263"/>
      <c r="HP83" s="263"/>
      <c r="HQ83" s="263"/>
      <c r="HR83" s="263"/>
      <c r="HS83" s="263"/>
      <c r="HT83" s="263"/>
      <c r="HU83" s="263"/>
      <c r="HV83" s="263"/>
      <c r="HW83" s="263"/>
      <c r="HX83" s="263"/>
      <c r="HY83" s="263"/>
      <c r="HZ83" s="263"/>
      <c r="IA83" s="263"/>
      <c r="IB83" s="263"/>
      <c r="IC83" s="263"/>
      <c r="ID83" s="263"/>
      <c r="IE83" s="263"/>
      <c r="IF83" s="263"/>
      <c r="IG83" s="263"/>
      <c r="IH83" s="263"/>
      <c r="II83" s="263"/>
      <c r="IJ83" s="263"/>
      <c r="IK83" s="263"/>
      <c r="IL83" s="263"/>
      <c r="IM83" s="263"/>
      <c r="IN83" s="263"/>
      <c r="IO83" s="263"/>
      <c r="IP83" s="263"/>
      <c r="IQ83" s="263"/>
      <c r="IR83" s="263"/>
      <c r="IS83" s="263"/>
      <c r="IT83" s="263"/>
      <c r="IU83" s="263"/>
    </row>
    <row r="84" spans="1:255" ht="15.6">
      <c r="A84" s="263"/>
      <c r="B84" s="263"/>
      <c r="C84" s="263"/>
      <c r="D84" s="263"/>
      <c r="E84" s="263"/>
      <c r="F84" s="263"/>
      <c r="G84" s="263"/>
      <c r="H84" s="263"/>
      <c r="I84" s="263"/>
      <c r="J84" s="263"/>
      <c r="K84" s="263"/>
      <c r="L84" s="263"/>
      <c r="M84" s="263"/>
      <c r="N84" s="263"/>
      <c r="O84" s="263"/>
      <c r="P84" s="263"/>
      <c r="Q84" s="263"/>
      <c r="R84" s="263"/>
      <c r="S84" s="263"/>
      <c r="T84" s="263"/>
      <c r="U84" s="263"/>
      <c r="V84" s="263"/>
      <c r="W84" s="263"/>
      <c r="X84" s="263"/>
      <c r="Y84" s="263"/>
      <c r="Z84" s="263"/>
      <c r="AA84" s="263"/>
      <c r="AB84" s="263"/>
      <c r="AC84" s="263"/>
      <c r="AD84" s="263"/>
      <c r="AE84" s="263"/>
      <c r="AF84" s="263"/>
      <c r="AG84" s="263"/>
      <c r="AH84" s="263"/>
      <c r="AI84" s="263"/>
      <c r="AJ84" s="263"/>
      <c r="AK84" s="263"/>
      <c r="AL84" s="263"/>
      <c r="AM84" s="263"/>
      <c r="AN84" s="263"/>
      <c r="AO84" s="263"/>
      <c r="AP84" s="263"/>
      <c r="AQ84" s="263"/>
      <c r="AR84" s="263"/>
      <c r="AS84" s="263"/>
      <c r="AT84" s="263"/>
      <c r="AU84" s="263"/>
      <c r="AV84" s="263"/>
      <c r="AW84" s="263"/>
      <c r="AX84" s="263"/>
      <c r="AY84" s="263"/>
      <c r="AZ84" s="263"/>
      <c r="BA84" s="263"/>
      <c r="BB84" s="263"/>
      <c r="BC84" s="263"/>
      <c r="BD84" s="263"/>
      <c r="BE84" s="263"/>
      <c r="BF84" s="263"/>
      <c r="BG84" s="263"/>
      <c r="BH84" s="263"/>
      <c r="BI84" s="263"/>
      <c r="BJ84" s="263"/>
      <c r="BK84" s="263"/>
      <c r="BL84" s="263"/>
      <c r="BM84" s="263"/>
      <c r="BN84" s="263"/>
      <c r="BO84" s="263"/>
      <c r="BP84" s="263"/>
      <c r="BQ84" s="263"/>
      <c r="BR84" s="263"/>
      <c r="BS84" s="263"/>
      <c r="BT84" s="263"/>
      <c r="BU84" s="263"/>
      <c r="BV84" s="263"/>
      <c r="BW84" s="263"/>
      <c r="BX84" s="263"/>
      <c r="BY84" s="263"/>
      <c r="BZ84" s="263"/>
      <c r="CA84" s="263"/>
      <c r="CB84" s="263"/>
      <c r="CC84" s="263"/>
      <c r="CD84" s="263"/>
      <c r="CE84" s="263"/>
      <c r="CF84" s="263"/>
      <c r="CG84" s="263"/>
      <c r="CH84" s="263"/>
      <c r="CI84" s="263"/>
      <c r="CJ84" s="263"/>
      <c r="CK84" s="263"/>
      <c r="CL84" s="263"/>
      <c r="CM84" s="263"/>
      <c r="CN84" s="263"/>
      <c r="CO84" s="263"/>
      <c r="CP84" s="263"/>
      <c r="CQ84" s="263"/>
      <c r="CR84" s="263"/>
      <c r="CS84" s="263"/>
      <c r="CT84" s="263"/>
      <c r="CU84" s="263"/>
      <c r="CV84" s="263"/>
      <c r="CW84" s="263"/>
      <c r="CX84" s="263"/>
      <c r="CY84" s="263"/>
      <c r="CZ84" s="263"/>
      <c r="DA84" s="263"/>
      <c r="DB84" s="263"/>
      <c r="DC84" s="263"/>
      <c r="DD84" s="263"/>
      <c r="DE84" s="263"/>
      <c r="DF84" s="263"/>
      <c r="DG84" s="263"/>
      <c r="DH84" s="263"/>
      <c r="DI84" s="263"/>
      <c r="DJ84" s="263"/>
      <c r="DK84" s="263"/>
      <c r="DL84" s="263"/>
      <c r="DM84" s="263"/>
      <c r="DN84" s="263"/>
      <c r="DO84" s="263"/>
      <c r="DP84" s="263"/>
      <c r="DQ84" s="263"/>
      <c r="DR84" s="263"/>
      <c r="DS84" s="263"/>
      <c r="DT84" s="263"/>
      <c r="DU84" s="263"/>
      <c r="DV84" s="263"/>
      <c r="DW84" s="263"/>
      <c r="DX84" s="263"/>
      <c r="DY84" s="263"/>
      <c r="DZ84" s="263"/>
      <c r="EA84" s="263"/>
      <c r="EB84" s="263"/>
      <c r="EC84" s="263"/>
      <c r="ED84" s="263"/>
      <c r="EE84" s="263"/>
      <c r="EF84" s="263"/>
      <c r="EG84" s="263"/>
      <c r="EH84" s="263"/>
      <c r="EI84" s="263"/>
      <c r="EJ84" s="263"/>
      <c r="EK84" s="263"/>
      <c r="EL84" s="263"/>
      <c r="EM84" s="263"/>
      <c r="EN84" s="263"/>
      <c r="EO84" s="263"/>
      <c r="EP84" s="263"/>
      <c r="EQ84" s="263"/>
      <c r="ER84" s="263"/>
      <c r="ES84" s="263"/>
      <c r="ET84" s="263"/>
      <c r="EU84" s="263"/>
      <c r="EV84" s="263"/>
      <c r="EW84" s="263"/>
      <c r="EX84" s="263"/>
      <c r="EY84" s="263"/>
      <c r="EZ84" s="263"/>
      <c r="FA84" s="263"/>
      <c r="FB84" s="263"/>
      <c r="FC84" s="263"/>
      <c r="FD84" s="263"/>
      <c r="FE84" s="263"/>
      <c r="FF84" s="263"/>
      <c r="FG84" s="263"/>
      <c r="FH84" s="263"/>
      <c r="FI84" s="263"/>
      <c r="FJ84" s="263"/>
      <c r="FK84" s="263"/>
      <c r="FL84" s="263"/>
      <c r="FM84" s="263"/>
      <c r="FN84" s="263"/>
      <c r="FO84" s="263"/>
      <c r="FP84" s="263"/>
      <c r="FQ84" s="263"/>
      <c r="FR84" s="263"/>
      <c r="FS84" s="263"/>
      <c r="FT84" s="263"/>
      <c r="FU84" s="263"/>
      <c r="FV84" s="263"/>
      <c r="FW84" s="263"/>
      <c r="FX84" s="263"/>
      <c r="FY84" s="263"/>
      <c r="FZ84" s="263"/>
      <c r="GA84" s="263"/>
      <c r="GB84" s="263"/>
      <c r="GC84" s="263"/>
      <c r="GD84" s="263"/>
      <c r="GE84" s="263"/>
      <c r="GF84" s="263"/>
      <c r="GG84" s="263"/>
      <c r="GH84" s="263"/>
      <c r="GI84" s="263"/>
      <c r="GJ84" s="263"/>
      <c r="GK84" s="263"/>
      <c r="GL84" s="263"/>
      <c r="GM84" s="263"/>
      <c r="GN84" s="263"/>
      <c r="GO84" s="263"/>
      <c r="GP84" s="263"/>
      <c r="GQ84" s="263"/>
      <c r="GR84" s="263"/>
      <c r="GS84" s="263"/>
      <c r="GT84" s="263"/>
      <c r="GU84" s="263"/>
      <c r="GV84" s="263"/>
      <c r="GW84" s="263"/>
      <c r="GX84" s="263"/>
      <c r="GY84" s="263"/>
      <c r="GZ84" s="263"/>
      <c r="HA84" s="263"/>
      <c r="HB84" s="263"/>
      <c r="HC84" s="263"/>
      <c r="HD84" s="263"/>
      <c r="HE84" s="263"/>
      <c r="HF84" s="263"/>
      <c r="HG84" s="263"/>
      <c r="HH84" s="263"/>
      <c r="HI84" s="263"/>
      <c r="HJ84" s="263"/>
      <c r="HK84" s="263"/>
      <c r="HL84" s="263"/>
      <c r="HM84" s="263"/>
      <c r="HN84" s="263"/>
      <c r="HO84" s="263"/>
      <c r="HP84" s="263"/>
      <c r="HQ84" s="263"/>
      <c r="HR84" s="263"/>
      <c r="HS84" s="263"/>
      <c r="HT84" s="263"/>
      <c r="HU84" s="263"/>
      <c r="HV84" s="263"/>
      <c r="HW84" s="263"/>
      <c r="HX84" s="263"/>
      <c r="HY84" s="263"/>
      <c r="HZ84" s="263"/>
      <c r="IA84" s="263"/>
      <c r="IB84" s="263"/>
      <c r="IC84" s="263"/>
      <c r="ID84" s="263"/>
      <c r="IE84" s="263"/>
      <c r="IF84" s="263"/>
      <c r="IG84" s="263"/>
      <c r="IH84" s="263"/>
      <c r="II84" s="263"/>
      <c r="IJ84" s="263"/>
      <c r="IK84" s="263"/>
      <c r="IL84" s="263"/>
      <c r="IM84" s="263"/>
      <c r="IN84" s="263"/>
      <c r="IO84" s="263"/>
      <c r="IP84" s="263"/>
      <c r="IQ84" s="263"/>
      <c r="IR84" s="263"/>
      <c r="IS84" s="263"/>
      <c r="IT84" s="263"/>
      <c r="IU84" s="263"/>
    </row>
    <row r="85" spans="1:255" ht="15.6">
      <c r="A85" s="263"/>
      <c r="B85" s="263"/>
      <c r="C85" s="263"/>
      <c r="D85" s="263"/>
      <c r="E85" s="263"/>
      <c r="F85" s="263"/>
      <c r="G85" s="263"/>
      <c r="H85" s="263"/>
      <c r="I85" s="263"/>
      <c r="J85" s="263"/>
      <c r="K85" s="263"/>
      <c r="L85" s="263"/>
      <c r="M85" s="263"/>
      <c r="N85" s="263"/>
      <c r="O85" s="263"/>
      <c r="P85" s="263"/>
      <c r="Q85" s="263"/>
      <c r="R85" s="263"/>
      <c r="S85" s="263"/>
      <c r="T85" s="263"/>
      <c r="U85" s="263"/>
      <c r="V85" s="263"/>
      <c r="W85" s="263"/>
      <c r="X85" s="263"/>
      <c r="Y85" s="263"/>
      <c r="Z85" s="263"/>
      <c r="AA85" s="263"/>
      <c r="AB85" s="263"/>
      <c r="AC85" s="263"/>
      <c r="AD85" s="263"/>
      <c r="AE85" s="263"/>
      <c r="AF85" s="263"/>
      <c r="AG85" s="263"/>
      <c r="AH85" s="263"/>
      <c r="AI85" s="263"/>
      <c r="AJ85" s="263"/>
      <c r="AK85" s="263"/>
      <c r="AL85" s="263"/>
      <c r="AM85" s="263"/>
      <c r="AN85" s="263"/>
      <c r="AO85" s="263"/>
      <c r="AP85" s="263"/>
      <c r="AQ85" s="263"/>
      <c r="AR85" s="263"/>
      <c r="AS85" s="263"/>
      <c r="AT85" s="263"/>
      <c r="AU85" s="263"/>
      <c r="AV85" s="263"/>
      <c r="AW85" s="263"/>
      <c r="AX85" s="263"/>
      <c r="AY85" s="263"/>
      <c r="AZ85" s="263"/>
      <c r="BA85" s="263"/>
      <c r="BB85" s="263"/>
      <c r="BC85" s="263"/>
      <c r="BD85" s="263"/>
      <c r="BE85" s="263"/>
      <c r="BF85" s="263"/>
      <c r="BG85" s="263"/>
      <c r="BH85" s="263"/>
      <c r="BI85" s="263"/>
      <c r="BJ85" s="263"/>
      <c r="BK85" s="263"/>
      <c r="BL85" s="263"/>
      <c r="BM85" s="263"/>
      <c r="BN85" s="263"/>
      <c r="BO85" s="263"/>
      <c r="BP85" s="263"/>
      <c r="BQ85" s="263"/>
      <c r="BR85" s="263"/>
      <c r="BS85" s="263"/>
      <c r="BT85" s="263"/>
      <c r="BU85" s="263"/>
      <c r="BV85" s="263"/>
      <c r="BW85" s="263"/>
      <c r="BX85" s="263"/>
      <c r="BY85" s="263"/>
      <c r="BZ85" s="263"/>
      <c r="CA85" s="263"/>
      <c r="CB85" s="263"/>
      <c r="CC85" s="263"/>
      <c r="CD85" s="263"/>
      <c r="CE85" s="263"/>
      <c r="CF85" s="263"/>
      <c r="CG85" s="263"/>
      <c r="CH85" s="263"/>
      <c r="CI85" s="263"/>
      <c r="CJ85" s="263"/>
      <c r="CK85" s="263"/>
      <c r="CL85" s="263"/>
      <c r="CM85" s="263"/>
      <c r="CN85" s="263"/>
      <c r="CO85" s="263"/>
      <c r="CP85" s="263"/>
      <c r="CQ85" s="263"/>
      <c r="CR85" s="263"/>
      <c r="CS85" s="263"/>
      <c r="CT85" s="263"/>
      <c r="CU85" s="263"/>
      <c r="CV85" s="263"/>
      <c r="CW85" s="263"/>
      <c r="CX85" s="263"/>
      <c r="CY85" s="263"/>
      <c r="CZ85" s="263"/>
      <c r="DA85" s="263"/>
      <c r="DB85" s="263"/>
      <c r="DC85" s="263"/>
      <c r="DD85" s="263"/>
      <c r="DE85" s="263"/>
      <c r="DF85" s="263"/>
      <c r="DG85" s="263"/>
      <c r="DH85" s="263"/>
      <c r="DI85" s="263"/>
      <c r="DJ85" s="263"/>
      <c r="DK85" s="263"/>
      <c r="DL85" s="263"/>
      <c r="DM85" s="263"/>
      <c r="DN85" s="263"/>
      <c r="DO85" s="263"/>
      <c r="DP85" s="263"/>
      <c r="DQ85" s="263"/>
      <c r="DR85" s="263"/>
      <c r="DS85" s="263"/>
      <c r="DT85" s="263"/>
      <c r="DU85" s="263"/>
      <c r="DV85" s="263"/>
      <c r="DW85" s="263"/>
      <c r="DX85" s="263"/>
      <c r="DY85" s="263"/>
      <c r="DZ85" s="263"/>
      <c r="EA85" s="263"/>
      <c r="EB85" s="263"/>
      <c r="EC85" s="263"/>
      <c r="ED85" s="263"/>
      <c r="EE85" s="263"/>
      <c r="EF85" s="263"/>
      <c r="EG85" s="263"/>
      <c r="EH85" s="263"/>
      <c r="EI85" s="263"/>
      <c r="EJ85" s="263"/>
      <c r="EK85" s="263"/>
      <c r="EL85" s="263"/>
      <c r="EM85" s="263"/>
      <c r="EN85" s="263"/>
      <c r="EO85" s="263"/>
      <c r="EP85" s="263"/>
      <c r="EQ85" s="263"/>
      <c r="ER85" s="263"/>
      <c r="ES85" s="263"/>
      <c r="ET85" s="263"/>
      <c r="EU85" s="263"/>
      <c r="EV85" s="263"/>
      <c r="EW85" s="263"/>
      <c r="EX85" s="263"/>
      <c r="EY85" s="263"/>
      <c r="EZ85" s="263"/>
      <c r="FA85" s="263"/>
      <c r="FB85" s="263"/>
      <c r="FC85" s="263"/>
      <c r="FD85" s="263"/>
      <c r="FE85" s="263"/>
      <c r="FF85" s="263"/>
      <c r="FG85" s="263"/>
      <c r="FH85" s="263"/>
      <c r="FI85" s="263"/>
      <c r="FJ85" s="263"/>
      <c r="FK85" s="263"/>
      <c r="FL85" s="263"/>
      <c r="FM85" s="263"/>
      <c r="FN85" s="263"/>
      <c r="FO85" s="263"/>
      <c r="FP85" s="263"/>
      <c r="FQ85" s="263"/>
      <c r="FR85" s="263"/>
      <c r="FS85" s="263"/>
      <c r="FT85" s="263"/>
      <c r="FU85" s="263"/>
      <c r="FV85" s="263"/>
      <c r="FW85" s="263"/>
      <c r="FX85" s="263"/>
      <c r="FY85" s="263"/>
      <c r="FZ85" s="263"/>
      <c r="GA85" s="263"/>
      <c r="GB85" s="263"/>
      <c r="GC85" s="263"/>
      <c r="GD85" s="263"/>
      <c r="GE85" s="263"/>
      <c r="GF85" s="263"/>
      <c r="GG85" s="263"/>
      <c r="GH85" s="263"/>
      <c r="GI85" s="263"/>
      <c r="GJ85" s="263"/>
      <c r="GK85" s="263"/>
      <c r="GL85" s="263"/>
      <c r="GM85" s="263"/>
      <c r="GN85" s="263"/>
      <c r="GO85" s="263"/>
      <c r="GP85" s="263"/>
      <c r="GQ85" s="263"/>
      <c r="GR85" s="263"/>
      <c r="GS85" s="263"/>
      <c r="GT85" s="263"/>
      <c r="GU85" s="263"/>
      <c r="GV85" s="263"/>
      <c r="GW85" s="263"/>
      <c r="GX85" s="263"/>
      <c r="GY85" s="263"/>
      <c r="GZ85" s="263"/>
      <c r="HA85" s="263"/>
      <c r="HB85" s="263"/>
      <c r="HC85" s="263"/>
      <c r="HD85" s="263"/>
      <c r="HE85" s="263"/>
      <c r="HF85" s="263"/>
      <c r="HG85" s="263"/>
      <c r="HH85" s="263"/>
      <c r="HI85" s="263"/>
      <c r="HJ85" s="263"/>
      <c r="HK85" s="263"/>
      <c r="HL85" s="263"/>
      <c r="HM85" s="263"/>
      <c r="HN85" s="263"/>
      <c r="HO85" s="263"/>
      <c r="HP85" s="263"/>
      <c r="HQ85" s="263"/>
      <c r="HR85" s="263"/>
      <c r="HS85" s="263"/>
      <c r="HT85" s="263"/>
      <c r="HU85" s="263"/>
      <c r="HV85" s="263"/>
      <c r="HW85" s="263"/>
      <c r="HX85" s="263"/>
      <c r="HY85" s="263"/>
      <c r="HZ85" s="263"/>
      <c r="IA85" s="263"/>
      <c r="IB85" s="263"/>
      <c r="IC85" s="263"/>
      <c r="ID85" s="263"/>
      <c r="IE85" s="263"/>
      <c r="IF85" s="263"/>
      <c r="IG85" s="263"/>
      <c r="IH85" s="263"/>
      <c r="II85" s="263"/>
      <c r="IJ85" s="263"/>
      <c r="IK85" s="263"/>
      <c r="IL85" s="263"/>
      <c r="IM85" s="263"/>
      <c r="IN85" s="263"/>
      <c r="IO85" s="263"/>
      <c r="IP85" s="263"/>
      <c r="IQ85" s="263"/>
      <c r="IR85" s="263"/>
      <c r="IS85" s="263"/>
      <c r="IT85" s="263"/>
      <c r="IU85" s="263"/>
    </row>
    <row r="86" spans="1:255" ht="15.6">
      <c r="A86" s="263"/>
      <c r="B86" s="263"/>
      <c r="C86" s="263"/>
      <c r="D86" s="263"/>
      <c r="E86" s="263"/>
      <c r="F86" s="263"/>
      <c r="G86" s="263"/>
      <c r="H86" s="263"/>
      <c r="I86" s="263"/>
      <c r="J86" s="263"/>
      <c r="K86" s="263"/>
      <c r="L86" s="263"/>
      <c r="M86" s="263"/>
      <c r="N86" s="263"/>
      <c r="O86" s="263"/>
      <c r="P86" s="263"/>
      <c r="Q86" s="263"/>
      <c r="R86" s="263"/>
      <c r="S86" s="263"/>
      <c r="T86" s="263"/>
      <c r="U86" s="263"/>
      <c r="V86" s="263"/>
      <c r="W86" s="263"/>
      <c r="X86" s="263"/>
      <c r="Y86" s="263"/>
      <c r="Z86" s="263"/>
      <c r="AA86" s="263"/>
      <c r="AB86" s="263"/>
      <c r="AC86" s="263"/>
      <c r="AD86" s="263"/>
      <c r="AE86" s="263"/>
      <c r="AF86" s="263"/>
      <c r="AG86" s="263"/>
      <c r="AH86" s="263"/>
      <c r="AI86" s="263"/>
      <c r="AJ86" s="263"/>
      <c r="AK86" s="263"/>
      <c r="AL86" s="263"/>
      <c r="AM86" s="263"/>
      <c r="AN86" s="263"/>
      <c r="AO86" s="263"/>
      <c r="AP86" s="263"/>
      <c r="AQ86" s="263"/>
      <c r="AR86" s="263"/>
      <c r="AS86" s="263"/>
      <c r="AT86" s="263"/>
      <c r="AU86" s="263"/>
      <c r="AV86" s="263"/>
      <c r="AW86" s="263"/>
      <c r="AX86" s="263"/>
      <c r="AY86" s="263"/>
      <c r="AZ86" s="263"/>
      <c r="BA86" s="263"/>
      <c r="BB86" s="263"/>
      <c r="BC86" s="263"/>
      <c r="BD86" s="263"/>
      <c r="BE86" s="263"/>
      <c r="BF86" s="263"/>
      <c r="BG86" s="263"/>
      <c r="BH86" s="263"/>
      <c r="BI86" s="263"/>
      <c r="BJ86" s="263"/>
      <c r="BK86" s="263"/>
      <c r="BL86" s="263"/>
      <c r="BM86" s="263"/>
      <c r="BN86" s="263"/>
      <c r="BO86" s="263"/>
      <c r="BP86" s="263"/>
      <c r="BQ86" s="263"/>
      <c r="BR86" s="263"/>
      <c r="BS86" s="263"/>
      <c r="BT86" s="263"/>
      <c r="BU86" s="263"/>
      <c r="BV86" s="263"/>
      <c r="BW86" s="263"/>
      <c r="BX86" s="263"/>
      <c r="BY86" s="263"/>
      <c r="BZ86" s="263"/>
      <c r="CA86" s="263"/>
      <c r="CB86" s="263"/>
      <c r="CC86" s="263"/>
      <c r="CD86" s="263"/>
      <c r="CE86" s="263"/>
      <c r="CF86" s="263"/>
      <c r="CG86" s="263"/>
      <c r="CH86" s="263"/>
      <c r="CI86" s="263"/>
      <c r="CJ86" s="263"/>
      <c r="CK86" s="263"/>
      <c r="CL86" s="263"/>
      <c r="CM86" s="263"/>
      <c r="CN86" s="263"/>
      <c r="CO86" s="263"/>
      <c r="CP86" s="263"/>
      <c r="CQ86" s="263"/>
      <c r="CR86" s="263"/>
      <c r="CS86" s="263"/>
      <c r="CT86" s="263"/>
      <c r="CU86" s="263"/>
      <c r="CV86" s="263"/>
      <c r="CW86" s="263"/>
      <c r="CX86" s="263"/>
      <c r="CY86" s="263"/>
      <c r="CZ86" s="263"/>
      <c r="DA86" s="263"/>
      <c r="DB86" s="263"/>
      <c r="DC86" s="263"/>
      <c r="DD86" s="263"/>
      <c r="DE86" s="263"/>
      <c r="DF86" s="263"/>
      <c r="DG86" s="263"/>
      <c r="DH86" s="263"/>
      <c r="DI86" s="263"/>
      <c r="DJ86" s="263"/>
      <c r="DK86" s="263"/>
      <c r="DL86" s="263"/>
      <c r="DM86" s="263"/>
      <c r="DN86" s="263"/>
      <c r="DO86" s="263"/>
      <c r="DP86" s="263"/>
      <c r="DQ86" s="263"/>
      <c r="DR86" s="263"/>
      <c r="DS86" s="263"/>
      <c r="DT86" s="263"/>
      <c r="DU86" s="263"/>
      <c r="DV86" s="263"/>
      <c r="DW86" s="263"/>
      <c r="DX86" s="263"/>
      <c r="DY86" s="263"/>
      <c r="DZ86" s="263"/>
      <c r="EA86" s="263"/>
      <c r="EB86" s="263"/>
      <c r="EC86" s="263"/>
      <c r="ED86" s="263"/>
      <c r="EE86" s="263"/>
      <c r="EF86" s="263"/>
      <c r="EG86" s="263"/>
      <c r="EH86" s="263"/>
      <c r="EI86" s="263"/>
      <c r="EJ86" s="263"/>
      <c r="EK86" s="263"/>
      <c r="EL86" s="263"/>
      <c r="EM86" s="263"/>
      <c r="EN86" s="263"/>
      <c r="EO86" s="263"/>
      <c r="EP86" s="263"/>
      <c r="EQ86" s="263"/>
      <c r="ER86" s="263"/>
      <c r="ES86" s="263"/>
      <c r="ET86" s="263"/>
      <c r="EU86" s="263"/>
      <c r="EV86" s="263"/>
      <c r="EW86" s="263"/>
      <c r="EX86" s="263"/>
      <c r="EY86" s="263"/>
      <c r="EZ86" s="263"/>
      <c r="FA86" s="263"/>
      <c r="FB86" s="263"/>
      <c r="FC86" s="263"/>
      <c r="FD86" s="263"/>
      <c r="FE86" s="263"/>
      <c r="FF86" s="263"/>
      <c r="FG86" s="263"/>
      <c r="FH86" s="263"/>
      <c r="FI86" s="263"/>
      <c r="FJ86" s="263"/>
      <c r="FK86" s="263"/>
      <c r="FL86" s="263"/>
      <c r="FM86" s="263"/>
      <c r="FN86" s="263"/>
      <c r="FO86" s="263"/>
      <c r="FP86" s="263"/>
      <c r="FQ86" s="263"/>
      <c r="FR86" s="263"/>
      <c r="FS86" s="263"/>
      <c r="FT86" s="263"/>
      <c r="FU86" s="263"/>
      <c r="FV86" s="263"/>
      <c r="FW86" s="263"/>
      <c r="FX86" s="263"/>
      <c r="FY86" s="263"/>
      <c r="FZ86" s="263"/>
      <c r="GA86" s="263"/>
      <c r="GB86" s="263"/>
      <c r="GC86" s="263"/>
      <c r="GD86" s="263"/>
      <c r="GE86" s="263"/>
      <c r="GF86" s="263"/>
      <c r="GG86" s="263"/>
      <c r="GH86" s="263"/>
      <c r="GI86" s="263"/>
      <c r="GJ86" s="263"/>
      <c r="GK86" s="263"/>
      <c r="GL86" s="263"/>
      <c r="GM86" s="263"/>
      <c r="GN86" s="263"/>
      <c r="GO86" s="263"/>
      <c r="GP86" s="263"/>
      <c r="GQ86" s="263"/>
      <c r="GR86" s="263"/>
      <c r="GS86" s="263"/>
      <c r="GT86" s="263"/>
      <c r="GU86" s="263"/>
      <c r="GV86" s="263"/>
      <c r="GW86" s="263"/>
      <c r="GX86" s="263"/>
      <c r="GY86" s="263"/>
      <c r="GZ86" s="263"/>
      <c r="HA86" s="263"/>
      <c r="HB86" s="263"/>
      <c r="HC86" s="263"/>
      <c r="HD86" s="263"/>
      <c r="HE86" s="263"/>
      <c r="HF86" s="263"/>
      <c r="HG86" s="263"/>
      <c r="HH86" s="263"/>
      <c r="HI86" s="263"/>
      <c r="HJ86" s="263"/>
      <c r="HK86" s="263"/>
      <c r="HL86" s="263"/>
      <c r="HM86" s="263"/>
      <c r="HN86" s="263"/>
      <c r="HO86" s="263"/>
      <c r="HP86" s="263"/>
      <c r="HQ86" s="263"/>
      <c r="HR86" s="263"/>
      <c r="HS86" s="263"/>
      <c r="HT86" s="263"/>
      <c r="HU86" s="263"/>
      <c r="HV86" s="263"/>
      <c r="HW86" s="263"/>
      <c r="HX86" s="263"/>
      <c r="HY86" s="263"/>
      <c r="HZ86" s="263"/>
      <c r="IA86" s="263"/>
      <c r="IB86" s="263"/>
      <c r="IC86" s="263"/>
      <c r="ID86" s="263"/>
      <c r="IE86" s="263"/>
      <c r="IF86" s="263"/>
      <c r="IG86" s="263"/>
      <c r="IH86" s="263"/>
      <c r="II86" s="263"/>
      <c r="IJ86" s="263"/>
      <c r="IK86" s="263"/>
      <c r="IL86" s="263"/>
      <c r="IM86" s="263"/>
      <c r="IN86" s="263"/>
      <c r="IO86" s="263"/>
      <c r="IP86" s="263"/>
      <c r="IQ86" s="263"/>
      <c r="IR86" s="263"/>
      <c r="IS86" s="263"/>
      <c r="IT86" s="263"/>
      <c r="IU86" s="263"/>
    </row>
    <row r="87" spans="1:255" ht="15.6">
      <c r="A87" s="263"/>
      <c r="B87" s="263"/>
      <c r="C87" s="263"/>
      <c r="D87" s="263"/>
      <c r="E87" s="263"/>
      <c r="F87" s="263"/>
      <c r="G87" s="263"/>
      <c r="H87" s="263"/>
      <c r="I87" s="263"/>
      <c r="J87" s="263"/>
      <c r="K87" s="263"/>
      <c r="L87" s="263"/>
      <c r="M87" s="263"/>
      <c r="N87" s="263"/>
      <c r="O87" s="263"/>
      <c r="P87" s="263"/>
      <c r="Q87" s="263"/>
      <c r="R87" s="263"/>
      <c r="S87" s="263"/>
      <c r="T87" s="263"/>
      <c r="U87" s="263"/>
      <c r="V87" s="263"/>
      <c r="W87" s="263"/>
      <c r="X87" s="263"/>
      <c r="Y87" s="263"/>
      <c r="Z87" s="263"/>
      <c r="AA87" s="263"/>
      <c r="AB87" s="263"/>
      <c r="AC87" s="263"/>
      <c r="AD87" s="263"/>
      <c r="AE87" s="263"/>
      <c r="AF87" s="263"/>
      <c r="AG87" s="263"/>
      <c r="AH87" s="263"/>
      <c r="AI87" s="263"/>
      <c r="AJ87" s="263"/>
      <c r="AK87" s="263"/>
      <c r="AL87" s="263"/>
      <c r="AM87" s="263"/>
      <c r="AN87" s="263"/>
      <c r="AO87" s="263"/>
      <c r="AP87" s="263"/>
      <c r="AQ87" s="263"/>
      <c r="AR87" s="263"/>
      <c r="AS87" s="263"/>
      <c r="AT87" s="263"/>
      <c r="AU87" s="263"/>
      <c r="AV87" s="263"/>
      <c r="AW87" s="263"/>
      <c r="AX87" s="263"/>
      <c r="AY87" s="263"/>
      <c r="AZ87" s="263"/>
      <c r="BA87" s="263"/>
      <c r="BB87" s="263"/>
      <c r="BC87" s="263"/>
      <c r="BD87" s="263"/>
      <c r="BE87" s="263"/>
      <c r="BF87" s="263"/>
      <c r="BG87" s="263"/>
      <c r="BH87" s="263"/>
      <c r="BI87" s="263"/>
      <c r="BJ87" s="263"/>
      <c r="BK87" s="263"/>
      <c r="BL87" s="263"/>
      <c r="BM87" s="263"/>
      <c r="BN87" s="263"/>
      <c r="BO87" s="263"/>
      <c r="BP87" s="263"/>
      <c r="BQ87" s="263"/>
      <c r="BR87" s="263"/>
      <c r="BS87" s="263"/>
      <c r="BT87" s="263"/>
      <c r="BU87" s="263"/>
      <c r="BV87" s="263"/>
      <c r="BW87" s="263"/>
      <c r="BX87" s="263"/>
      <c r="BY87" s="263"/>
      <c r="BZ87" s="263"/>
      <c r="CA87" s="263"/>
      <c r="CB87" s="263"/>
      <c r="CC87" s="263"/>
      <c r="CD87" s="263"/>
      <c r="CE87" s="263"/>
      <c r="CF87" s="263"/>
      <c r="CG87" s="263"/>
      <c r="CH87" s="263"/>
      <c r="CI87" s="263"/>
      <c r="CJ87" s="263"/>
      <c r="CK87" s="263"/>
      <c r="CL87" s="263"/>
      <c r="CM87" s="263"/>
      <c r="CN87" s="263"/>
      <c r="CO87" s="263"/>
      <c r="CP87" s="263"/>
      <c r="CQ87" s="263"/>
      <c r="CR87" s="263"/>
      <c r="CS87" s="263"/>
      <c r="CT87" s="263"/>
      <c r="CU87" s="263"/>
      <c r="CV87" s="263"/>
      <c r="CW87" s="263"/>
      <c r="CX87" s="263"/>
      <c r="CY87" s="263"/>
      <c r="CZ87" s="263"/>
      <c r="DA87" s="263"/>
      <c r="DB87" s="263"/>
      <c r="DC87" s="263"/>
      <c r="DD87" s="263"/>
      <c r="DE87" s="263"/>
      <c r="DF87" s="263"/>
      <c r="DG87" s="263"/>
      <c r="DH87" s="263"/>
      <c r="DI87" s="263"/>
      <c r="DJ87" s="263"/>
      <c r="DK87" s="263"/>
      <c r="DL87" s="263"/>
      <c r="DM87" s="263"/>
      <c r="DN87" s="263"/>
      <c r="DO87" s="263"/>
      <c r="DP87" s="263"/>
      <c r="DQ87" s="263"/>
      <c r="DR87" s="263"/>
      <c r="DS87" s="263"/>
      <c r="DT87" s="263"/>
      <c r="DU87" s="263"/>
      <c r="DV87" s="263"/>
      <c r="DW87" s="263"/>
      <c r="DX87" s="263"/>
      <c r="DY87" s="263"/>
      <c r="DZ87" s="263"/>
      <c r="EA87" s="263"/>
      <c r="EB87" s="263"/>
      <c r="EC87" s="263"/>
      <c r="ED87" s="263"/>
      <c r="EE87" s="263"/>
      <c r="EF87" s="263"/>
      <c r="EG87" s="263"/>
      <c r="EH87" s="263"/>
      <c r="EI87" s="263"/>
      <c r="EJ87" s="263"/>
      <c r="EK87" s="263"/>
      <c r="EL87" s="263"/>
      <c r="EM87" s="263"/>
      <c r="EN87" s="263"/>
      <c r="EO87" s="263"/>
      <c r="EP87" s="263"/>
      <c r="EQ87" s="263"/>
      <c r="ER87" s="263"/>
      <c r="ES87" s="263"/>
      <c r="ET87" s="263"/>
      <c r="EU87" s="263"/>
      <c r="EV87" s="263"/>
      <c r="EW87" s="263"/>
      <c r="EX87" s="263"/>
      <c r="EY87" s="263"/>
      <c r="EZ87" s="263"/>
      <c r="FA87" s="263"/>
      <c r="FB87" s="263"/>
      <c r="FC87" s="263"/>
      <c r="FD87" s="263"/>
      <c r="FE87" s="263"/>
      <c r="FF87" s="263"/>
      <c r="FG87" s="263"/>
      <c r="FH87" s="263"/>
      <c r="FI87" s="263"/>
      <c r="FJ87" s="263"/>
      <c r="FK87" s="263"/>
      <c r="FL87" s="263"/>
      <c r="FM87" s="263"/>
      <c r="FN87" s="263"/>
      <c r="FO87" s="263"/>
      <c r="FP87" s="263"/>
      <c r="FQ87" s="263"/>
      <c r="FR87" s="263"/>
      <c r="FS87" s="263"/>
      <c r="FT87" s="263"/>
      <c r="FU87" s="263"/>
      <c r="FV87" s="263"/>
      <c r="FW87" s="263"/>
      <c r="FX87" s="263"/>
      <c r="FY87" s="263"/>
      <c r="FZ87" s="263"/>
      <c r="GA87" s="263"/>
      <c r="GB87" s="263"/>
      <c r="GC87" s="263"/>
      <c r="GD87" s="263"/>
      <c r="GE87" s="263"/>
      <c r="GF87" s="263"/>
      <c r="GG87" s="263"/>
      <c r="GH87" s="263"/>
      <c r="GI87" s="263"/>
      <c r="GJ87" s="263"/>
      <c r="GK87" s="263"/>
      <c r="GL87" s="263"/>
      <c r="GM87" s="263"/>
      <c r="GN87" s="263"/>
      <c r="GO87" s="263"/>
      <c r="GP87" s="263"/>
      <c r="GQ87" s="263"/>
      <c r="GR87" s="263"/>
      <c r="GS87" s="263"/>
      <c r="GT87" s="263"/>
      <c r="GU87" s="263"/>
      <c r="GV87" s="263"/>
      <c r="GW87" s="263"/>
      <c r="GX87" s="263"/>
      <c r="GY87" s="263"/>
      <c r="GZ87" s="263"/>
      <c r="HA87" s="263"/>
      <c r="HB87" s="263"/>
      <c r="HC87" s="263"/>
      <c r="HD87" s="263"/>
      <c r="HE87" s="263"/>
      <c r="HF87" s="263"/>
      <c r="HG87" s="263"/>
      <c r="HH87" s="263"/>
      <c r="HI87" s="263"/>
      <c r="HJ87" s="263"/>
      <c r="HK87" s="263"/>
      <c r="HL87" s="263"/>
      <c r="HM87" s="263"/>
      <c r="HN87" s="263"/>
      <c r="HO87" s="263"/>
      <c r="HP87" s="263"/>
      <c r="HQ87" s="263"/>
      <c r="HR87" s="263"/>
      <c r="HS87" s="263"/>
      <c r="HT87" s="263"/>
      <c r="HU87" s="263"/>
      <c r="HV87" s="263"/>
      <c r="HW87" s="263"/>
      <c r="HX87" s="263"/>
      <c r="HY87" s="263"/>
      <c r="HZ87" s="263"/>
      <c r="IA87" s="263"/>
      <c r="IB87" s="263"/>
      <c r="IC87" s="263"/>
      <c r="ID87" s="263"/>
      <c r="IE87" s="263"/>
      <c r="IF87" s="263"/>
      <c r="IG87" s="263"/>
      <c r="IH87" s="263"/>
      <c r="II87" s="263"/>
      <c r="IJ87" s="263"/>
      <c r="IK87" s="263"/>
      <c r="IL87" s="263"/>
      <c r="IM87" s="263"/>
      <c r="IN87" s="263"/>
      <c r="IO87" s="263"/>
      <c r="IP87" s="263"/>
      <c r="IQ87" s="263"/>
      <c r="IR87" s="263"/>
      <c r="IS87" s="263"/>
      <c r="IT87" s="263"/>
      <c r="IU87" s="263"/>
    </row>
    <row r="88" spans="1:255" ht="15.6">
      <c r="A88" s="263"/>
      <c r="B88" s="263"/>
      <c r="C88" s="263"/>
      <c r="D88" s="263"/>
      <c r="E88" s="263"/>
      <c r="F88" s="263"/>
      <c r="G88" s="263"/>
      <c r="H88" s="263"/>
      <c r="I88" s="263"/>
      <c r="J88" s="263"/>
      <c r="K88" s="263"/>
      <c r="L88" s="263"/>
      <c r="M88" s="263"/>
      <c r="N88" s="263"/>
      <c r="O88" s="263"/>
      <c r="P88" s="263"/>
      <c r="Q88" s="263"/>
      <c r="R88" s="263"/>
      <c r="S88" s="263"/>
      <c r="T88" s="263"/>
      <c r="U88" s="263"/>
      <c r="V88" s="263"/>
      <c r="W88" s="263"/>
      <c r="X88" s="263"/>
      <c r="Y88" s="263"/>
      <c r="Z88" s="263"/>
      <c r="AA88" s="263"/>
      <c r="AB88" s="263"/>
      <c r="AC88" s="263"/>
      <c r="AD88" s="263"/>
      <c r="AE88" s="263"/>
      <c r="AF88" s="263"/>
      <c r="AG88" s="263"/>
      <c r="AH88" s="263"/>
      <c r="AI88" s="263"/>
      <c r="AJ88" s="263"/>
      <c r="AK88" s="263"/>
      <c r="AL88" s="263"/>
      <c r="AM88" s="263"/>
      <c r="AN88" s="263"/>
      <c r="AO88" s="263"/>
      <c r="AP88" s="263"/>
      <c r="AQ88" s="263"/>
      <c r="AR88" s="263"/>
      <c r="AS88" s="263"/>
      <c r="AT88" s="263"/>
      <c r="AU88" s="263"/>
      <c r="AV88" s="263"/>
      <c r="AW88" s="263"/>
      <c r="AX88" s="263"/>
      <c r="AY88" s="263"/>
      <c r="AZ88" s="263"/>
      <c r="BA88" s="263"/>
      <c r="BB88" s="263"/>
      <c r="BC88" s="263"/>
      <c r="BD88" s="263"/>
      <c r="BE88" s="263"/>
      <c r="BF88" s="263"/>
      <c r="BG88" s="263"/>
      <c r="BH88" s="263"/>
      <c r="BI88" s="263"/>
      <c r="BJ88" s="263"/>
      <c r="BK88" s="263"/>
      <c r="BL88" s="263"/>
      <c r="BM88" s="263"/>
      <c r="BN88" s="263"/>
      <c r="BO88" s="263"/>
      <c r="BP88" s="263"/>
      <c r="BQ88" s="263"/>
      <c r="BR88" s="263"/>
      <c r="BS88" s="263"/>
      <c r="BT88" s="263"/>
      <c r="BU88" s="263"/>
      <c r="BV88" s="263"/>
      <c r="BW88" s="263"/>
      <c r="BX88" s="263"/>
      <c r="BY88" s="263"/>
      <c r="BZ88" s="263"/>
      <c r="CA88" s="263"/>
      <c r="CB88" s="263"/>
      <c r="CC88" s="263"/>
      <c r="CD88" s="263"/>
      <c r="CE88" s="263"/>
      <c r="CF88" s="263"/>
      <c r="CG88" s="263"/>
      <c r="CH88" s="263"/>
      <c r="CI88" s="263"/>
      <c r="CJ88" s="263"/>
      <c r="CK88" s="263"/>
      <c r="CL88" s="263"/>
      <c r="CM88" s="263"/>
      <c r="CN88" s="263"/>
      <c r="CO88" s="263"/>
      <c r="CP88" s="263"/>
      <c r="CQ88" s="263"/>
      <c r="CR88" s="263"/>
      <c r="CS88" s="263"/>
      <c r="CT88" s="263"/>
      <c r="CU88" s="263"/>
      <c r="CV88" s="263"/>
      <c r="CW88" s="263"/>
      <c r="CX88" s="263"/>
      <c r="CY88" s="263"/>
      <c r="CZ88" s="263"/>
      <c r="DA88" s="263"/>
      <c r="DB88" s="263"/>
      <c r="DC88" s="263"/>
      <c r="DD88" s="263"/>
      <c r="DE88" s="263"/>
      <c r="DF88" s="263"/>
      <c r="DG88" s="263"/>
      <c r="DH88" s="263"/>
      <c r="DI88" s="263"/>
      <c r="DJ88" s="263"/>
      <c r="DK88" s="263"/>
      <c r="DL88" s="263"/>
      <c r="DM88" s="263"/>
      <c r="DN88" s="263"/>
      <c r="DO88" s="263"/>
      <c r="DP88" s="263"/>
      <c r="DQ88" s="263"/>
      <c r="DR88" s="263"/>
      <c r="DS88" s="263"/>
      <c r="DT88" s="263"/>
      <c r="DU88" s="263"/>
      <c r="DV88" s="263"/>
      <c r="DW88" s="263"/>
      <c r="DX88" s="263"/>
      <c r="DY88" s="263"/>
      <c r="DZ88" s="263"/>
      <c r="EA88" s="263"/>
      <c r="EB88" s="263"/>
      <c r="EC88" s="263"/>
      <c r="ED88" s="263"/>
      <c r="EE88" s="263"/>
      <c r="EF88" s="263"/>
      <c r="EG88" s="263"/>
      <c r="EH88" s="263"/>
      <c r="EI88" s="263"/>
      <c r="EJ88" s="263"/>
      <c r="EK88" s="263"/>
      <c r="EL88" s="263"/>
      <c r="EM88" s="263"/>
      <c r="EN88" s="263"/>
      <c r="EO88" s="263"/>
      <c r="EP88" s="263"/>
      <c r="EQ88" s="263"/>
      <c r="ER88" s="263"/>
      <c r="ES88" s="263"/>
      <c r="ET88" s="263"/>
      <c r="EU88" s="263"/>
      <c r="EV88" s="263"/>
      <c r="EW88" s="263"/>
      <c r="EX88" s="263"/>
      <c r="EY88" s="263"/>
      <c r="EZ88" s="263"/>
      <c r="FA88" s="263"/>
      <c r="FB88" s="263"/>
      <c r="FC88" s="263"/>
      <c r="FD88" s="263"/>
      <c r="FE88" s="263"/>
      <c r="FF88" s="263"/>
      <c r="FG88" s="263"/>
      <c r="FH88" s="263"/>
      <c r="FI88" s="263"/>
      <c r="FJ88" s="263"/>
      <c r="FK88" s="263"/>
      <c r="FL88" s="263"/>
      <c r="FM88" s="263"/>
      <c r="FN88" s="263"/>
      <c r="FO88" s="263"/>
      <c r="FP88" s="263"/>
      <c r="FQ88" s="263"/>
      <c r="FR88" s="263"/>
      <c r="FS88" s="263"/>
      <c r="FT88" s="263"/>
      <c r="FU88" s="263"/>
      <c r="FV88" s="263"/>
      <c r="FW88" s="263"/>
      <c r="FX88" s="263"/>
      <c r="FY88" s="263"/>
      <c r="FZ88" s="263"/>
      <c r="GA88" s="263"/>
      <c r="GB88" s="263"/>
      <c r="GC88" s="263"/>
      <c r="GD88" s="263"/>
      <c r="GE88" s="263"/>
      <c r="GF88" s="263"/>
      <c r="GG88" s="263"/>
      <c r="GH88" s="263"/>
      <c r="GI88" s="263"/>
      <c r="GJ88" s="263"/>
      <c r="GK88" s="263"/>
      <c r="GL88" s="263"/>
      <c r="GM88" s="263"/>
      <c r="GN88" s="263"/>
      <c r="GO88" s="263"/>
      <c r="GP88" s="263"/>
      <c r="GQ88" s="263"/>
      <c r="GR88" s="263"/>
      <c r="GS88" s="263"/>
      <c r="GT88" s="263"/>
      <c r="GU88" s="263"/>
      <c r="GV88" s="263"/>
      <c r="GW88" s="263"/>
      <c r="GX88" s="263"/>
      <c r="GY88" s="263"/>
      <c r="GZ88" s="263"/>
      <c r="HA88" s="263"/>
      <c r="HB88" s="263"/>
      <c r="HC88" s="263"/>
      <c r="HD88" s="263"/>
      <c r="HE88" s="263"/>
      <c r="HF88" s="263"/>
      <c r="HG88" s="263"/>
      <c r="HH88" s="263"/>
      <c r="HI88" s="263"/>
      <c r="HJ88" s="263"/>
      <c r="HK88" s="263"/>
      <c r="HL88" s="263"/>
      <c r="HM88" s="263"/>
      <c r="HN88" s="263"/>
      <c r="HO88" s="263"/>
      <c r="HP88" s="263"/>
      <c r="HQ88" s="263"/>
      <c r="HR88" s="263"/>
      <c r="HS88" s="263"/>
      <c r="HT88" s="263"/>
      <c r="HU88" s="263"/>
      <c r="HV88" s="263"/>
      <c r="HW88" s="263"/>
      <c r="HX88" s="263"/>
      <c r="HY88" s="263"/>
      <c r="HZ88" s="263"/>
      <c r="IA88" s="263"/>
      <c r="IB88" s="263"/>
      <c r="IC88" s="263"/>
      <c r="ID88" s="263"/>
      <c r="IE88" s="263"/>
      <c r="IF88" s="263"/>
      <c r="IG88" s="263"/>
      <c r="IH88" s="263"/>
      <c r="II88" s="263"/>
      <c r="IJ88" s="263"/>
      <c r="IK88" s="263"/>
      <c r="IL88" s="263"/>
      <c r="IM88" s="263"/>
      <c r="IN88" s="263"/>
      <c r="IO88" s="263"/>
      <c r="IP88" s="263"/>
      <c r="IQ88" s="263"/>
      <c r="IR88" s="263"/>
      <c r="IS88" s="263"/>
      <c r="IT88" s="263"/>
      <c r="IU88" s="263"/>
    </row>
    <row r="89" spans="1:255" ht="15.6">
      <c r="A89" s="263"/>
      <c r="B89" s="263"/>
      <c r="C89" s="263"/>
      <c r="D89" s="263"/>
      <c r="E89" s="263"/>
      <c r="F89" s="263"/>
      <c r="G89" s="263"/>
      <c r="H89" s="263"/>
      <c r="I89" s="263"/>
      <c r="J89" s="263"/>
      <c r="K89" s="263"/>
      <c r="L89" s="263"/>
      <c r="M89" s="263"/>
      <c r="N89" s="263"/>
      <c r="O89" s="263"/>
      <c r="P89" s="263"/>
      <c r="Q89" s="263"/>
      <c r="R89" s="263"/>
      <c r="S89" s="263"/>
      <c r="T89" s="263"/>
      <c r="U89" s="263"/>
      <c r="V89" s="263"/>
      <c r="W89" s="263"/>
      <c r="X89" s="263"/>
      <c r="Y89" s="263"/>
      <c r="Z89" s="263"/>
      <c r="AA89" s="263"/>
      <c r="AB89" s="263"/>
      <c r="AC89" s="263"/>
      <c r="AD89" s="263"/>
      <c r="AE89" s="263"/>
      <c r="AF89" s="263"/>
      <c r="AG89" s="263"/>
      <c r="AH89" s="263"/>
      <c r="AI89" s="263"/>
      <c r="AJ89" s="263"/>
      <c r="AK89" s="263"/>
      <c r="AL89" s="263"/>
      <c r="AM89" s="263"/>
      <c r="AN89" s="263"/>
      <c r="AO89" s="263"/>
      <c r="AP89" s="263"/>
      <c r="AQ89" s="263"/>
      <c r="AR89" s="263"/>
      <c r="AS89" s="263"/>
      <c r="AT89" s="263"/>
      <c r="AU89" s="263"/>
      <c r="AV89" s="263"/>
      <c r="AW89" s="263"/>
      <c r="AX89" s="263"/>
      <c r="AY89" s="263"/>
      <c r="AZ89" s="263"/>
      <c r="BA89" s="263"/>
      <c r="BB89" s="263"/>
      <c r="BC89" s="263"/>
      <c r="BD89" s="263"/>
      <c r="BE89" s="263"/>
      <c r="BF89" s="263"/>
      <c r="BG89" s="263"/>
      <c r="BH89" s="263"/>
      <c r="BI89" s="263"/>
      <c r="BJ89" s="263"/>
      <c r="BK89" s="263"/>
      <c r="BL89" s="263"/>
      <c r="BM89" s="263"/>
      <c r="BN89" s="263"/>
      <c r="BO89" s="263"/>
      <c r="BP89" s="263"/>
      <c r="BQ89" s="263"/>
      <c r="BR89" s="263"/>
      <c r="BS89" s="263"/>
      <c r="BT89" s="263"/>
      <c r="BU89" s="263"/>
      <c r="BV89" s="263"/>
      <c r="BW89" s="263"/>
      <c r="BX89" s="263"/>
      <c r="BY89" s="263"/>
      <c r="BZ89" s="263"/>
      <c r="CA89" s="263"/>
      <c r="CB89" s="263"/>
      <c r="CC89" s="263"/>
      <c r="CD89" s="263"/>
      <c r="CE89" s="263"/>
      <c r="CF89" s="263"/>
      <c r="CG89" s="263"/>
      <c r="CH89" s="263"/>
      <c r="CI89" s="263"/>
      <c r="CJ89" s="263"/>
      <c r="CK89" s="263"/>
      <c r="CL89" s="263"/>
      <c r="CM89" s="263"/>
      <c r="CN89" s="263"/>
      <c r="CO89" s="263"/>
      <c r="CP89" s="263"/>
      <c r="CQ89" s="263"/>
      <c r="CR89" s="263"/>
      <c r="CS89" s="263"/>
      <c r="CT89" s="263"/>
      <c r="CU89" s="263"/>
      <c r="CV89" s="263"/>
      <c r="CW89" s="263"/>
      <c r="CX89" s="263"/>
      <c r="CY89" s="263"/>
      <c r="CZ89" s="263"/>
      <c r="DA89" s="263"/>
      <c r="DB89" s="263"/>
      <c r="DC89" s="263"/>
      <c r="DD89" s="263"/>
      <c r="DE89" s="263"/>
      <c r="DF89" s="263"/>
      <c r="DG89" s="263"/>
      <c r="DH89" s="263"/>
      <c r="DI89" s="263"/>
      <c r="DJ89" s="263"/>
      <c r="DK89" s="263"/>
      <c r="DL89" s="263"/>
      <c r="DM89" s="263"/>
      <c r="DN89" s="263"/>
      <c r="DO89" s="263"/>
      <c r="DP89" s="263"/>
      <c r="DQ89" s="263"/>
      <c r="DR89" s="263"/>
      <c r="DS89" s="263"/>
      <c r="DT89" s="263"/>
      <c r="DU89" s="263"/>
      <c r="DV89" s="263"/>
      <c r="DW89" s="263"/>
      <c r="DX89" s="263"/>
      <c r="DY89" s="263"/>
      <c r="DZ89" s="263"/>
      <c r="EA89" s="263"/>
      <c r="EB89" s="263"/>
      <c r="EC89" s="263"/>
      <c r="ED89" s="263"/>
      <c r="EE89" s="263"/>
      <c r="EF89" s="263"/>
      <c r="EG89" s="263"/>
      <c r="EH89" s="263"/>
      <c r="EI89" s="263"/>
      <c r="EJ89" s="263"/>
      <c r="EK89" s="263"/>
      <c r="EL89" s="263"/>
      <c r="EM89" s="263"/>
      <c r="EN89" s="263"/>
      <c r="EO89" s="263"/>
      <c r="EP89" s="263"/>
      <c r="EQ89" s="263"/>
      <c r="ER89" s="263"/>
      <c r="ES89" s="263"/>
      <c r="ET89" s="263"/>
      <c r="EU89" s="263"/>
      <c r="EV89" s="263"/>
      <c r="EW89" s="263"/>
      <c r="EX89" s="263"/>
      <c r="EY89" s="263"/>
      <c r="EZ89" s="263"/>
      <c r="FA89" s="263"/>
      <c r="FB89" s="263"/>
      <c r="FC89" s="263"/>
      <c r="FD89" s="263"/>
      <c r="FE89" s="263"/>
      <c r="FF89" s="263"/>
      <c r="FG89" s="263"/>
      <c r="FH89" s="263"/>
      <c r="FI89" s="263"/>
      <c r="FJ89" s="263"/>
      <c r="FK89" s="263"/>
      <c r="FL89" s="263"/>
      <c r="FM89" s="263"/>
      <c r="FN89" s="263"/>
      <c r="FO89" s="263"/>
      <c r="FP89" s="263"/>
      <c r="FQ89" s="263"/>
      <c r="FR89" s="263"/>
      <c r="FS89" s="263"/>
      <c r="FT89" s="263"/>
      <c r="FU89" s="263"/>
      <c r="FV89" s="263"/>
      <c r="FW89" s="263"/>
      <c r="FX89" s="263"/>
      <c r="FY89" s="263"/>
      <c r="FZ89" s="263"/>
      <c r="GA89" s="263"/>
      <c r="GB89" s="263"/>
      <c r="GC89" s="263"/>
      <c r="GD89" s="263"/>
      <c r="GE89" s="263"/>
      <c r="GF89" s="263"/>
      <c r="GG89" s="263"/>
      <c r="GH89" s="263"/>
      <c r="GI89" s="263"/>
      <c r="GJ89" s="263"/>
      <c r="GK89" s="263"/>
      <c r="GL89" s="263"/>
      <c r="GM89" s="263"/>
      <c r="GN89" s="263"/>
      <c r="GO89" s="263"/>
      <c r="GP89" s="263"/>
      <c r="GQ89" s="263"/>
      <c r="GR89" s="263"/>
      <c r="GS89" s="263"/>
      <c r="GT89" s="263"/>
      <c r="GU89" s="263"/>
      <c r="GV89" s="263"/>
      <c r="GW89" s="263"/>
      <c r="GX89" s="263"/>
      <c r="GY89" s="263"/>
      <c r="GZ89" s="263"/>
      <c r="HA89" s="263"/>
      <c r="HB89" s="263"/>
      <c r="HC89" s="263"/>
      <c r="HD89" s="263"/>
      <c r="HE89" s="263"/>
      <c r="HF89" s="263"/>
      <c r="HG89" s="263"/>
      <c r="HH89" s="263"/>
      <c r="HI89" s="263"/>
      <c r="HJ89" s="263"/>
      <c r="HK89" s="263"/>
      <c r="HL89" s="263"/>
      <c r="HM89" s="263"/>
      <c r="HN89" s="263"/>
      <c r="HO89" s="263"/>
      <c r="HP89" s="263"/>
      <c r="HQ89" s="263"/>
      <c r="HR89" s="263"/>
      <c r="HS89" s="263"/>
      <c r="HT89" s="263"/>
      <c r="HU89" s="263"/>
      <c r="HV89" s="263"/>
      <c r="HW89" s="263"/>
      <c r="HX89" s="263"/>
      <c r="HY89" s="263"/>
      <c r="HZ89" s="263"/>
      <c r="IA89" s="263"/>
      <c r="IB89" s="263"/>
      <c r="IC89" s="263"/>
      <c r="ID89" s="263"/>
      <c r="IE89" s="263"/>
      <c r="IF89" s="263"/>
      <c r="IG89" s="263"/>
      <c r="IH89" s="263"/>
      <c r="II89" s="263"/>
      <c r="IJ89" s="263"/>
      <c r="IK89" s="263"/>
      <c r="IL89" s="263"/>
      <c r="IM89" s="263"/>
      <c r="IN89" s="263"/>
      <c r="IO89" s="263"/>
      <c r="IP89" s="263"/>
      <c r="IQ89" s="263"/>
      <c r="IR89" s="263"/>
      <c r="IS89" s="263"/>
      <c r="IT89" s="263"/>
      <c r="IU89" s="263"/>
    </row>
    <row r="90" spans="1:255" ht="15.6">
      <c r="A90" s="263"/>
      <c r="B90" s="263"/>
      <c r="C90" s="263"/>
      <c r="D90" s="263"/>
      <c r="E90" s="263"/>
      <c r="F90" s="263"/>
      <c r="G90" s="263"/>
      <c r="H90" s="263"/>
      <c r="I90" s="263"/>
      <c r="J90" s="263"/>
      <c r="K90" s="263"/>
      <c r="L90" s="263"/>
      <c r="M90" s="263"/>
      <c r="N90" s="263"/>
      <c r="O90" s="263"/>
      <c r="P90" s="263"/>
      <c r="Q90" s="263"/>
      <c r="R90" s="263"/>
      <c r="S90" s="263"/>
      <c r="T90" s="263"/>
      <c r="U90" s="263"/>
      <c r="V90" s="263"/>
      <c r="W90" s="263"/>
      <c r="X90" s="263"/>
      <c r="Y90" s="263"/>
      <c r="Z90" s="263"/>
      <c r="AA90" s="263"/>
      <c r="AB90" s="263"/>
      <c r="AC90" s="263"/>
      <c r="AD90" s="263"/>
      <c r="AE90" s="263"/>
      <c r="AF90" s="263"/>
      <c r="AG90" s="263"/>
      <c r="AH90" s="263"/>
      <c r="AI90" s="263"/>
      <c r="AJ90" s="263"/>
      <c r="AK90" s="263"/>
      <c r="AL90" s="263"/>
      <c r="AM90" s="263"/>
      <c r="AN90" s="263"/>
      <c r="AO90" s="263"/>
      <c r="AP90" s="263"/>
      <c r="AQ90" s="263"/>
      <c r="AR90" s="263"/>
      <c r="AS90" s="263"/>
      <c r="AT90" s="263"/>
      <c r="AU90" s="263"/>
      <c r="AV90" s="263"/>
      <c r="AW90" s="263"/>
      <c r="AX90" s="263"/>
      <c r="AY90" s="263"/>
      <c r="AZ90" s="263"/>
      <c r="BA90" s="263"/>
      <c r="BB90" s="263"/>
      <c r="BC90" s="263"/>
      <c r="BD90" s="263"/>
      <c r="BE90" s="263"/>
      <c r="BF90" s="263"/>
      <c r="BG90" s="263"/>
      <c r="BH90" s="263"/>
      <c r="BI90" s="263"/>
      <c r="BJ90" s="263"/>
      <c r="BK90" s="263"/>
      <c r="BL90" s="263"/>
      <c r="BM90" s="263"/>
      <c r="BN90" s="263"/>
      <c r="BO90" s="263"/>
      <c r="BP90" s="263"/>
      <c r="BQ90" s="263"/>
      <c r="BR90" s="263"/>
      <c r="BS90" s="263"/>
      <c r="BT90" s="263"/>
      <c r="BU90" s="263"/>
      <c r="BV90" s="263"/>
      <c r="BW90" s="263"/>
      <c r="BX90" s="263"/>
      <c r="BY90" s="263"/>
      <c r="BZ90" s="263"/>
      <c r="CA90" s="263"/>
      <c r="CB90" s="263"/>
      <c r="CC90" s="263"/>
      <c r="CD90" s="263"/>
      <c r="CE90" s="263"/>
      <c r="CF90" s="263"/>
      <c r="CG90" s="263"/>
      <c r="CH90" s="263"/>
      <c r="CI90" s="263"/>
      <c r="CJ90" s="263"/>
      <c r="CK90" s="263"/>
      <c r="CL90" s="263"/>
      <c r="CM90" s="263"/>
      <c r="CN90" s="263"/>
      <c r="CO90" s="263"/>
      <c r="CP90" s="263"/>
      <c r="CQ90" s="263"/>
      <c r="CR90" s="263"/>
      <c r="CS90" s="263"/>
      <c r="CT90" s="263"/>
      <c r="CU90" s="263"/>
      <c r="CV90" s="263"/>
      <c r="CW90" s="263"/>
      <c r="CX90" s="263"/>
      <c r="CY90" s="263"/>
      <c r="CZ90" s="263"/>
      <c r="DA90" s="263"/>
      <c r="DB90" s="263"/>
      <c r="DC90" s="263"/>
      <c r="DD90" s="263"/>
      <c r="DE90" s="263"/>
      <c r="DF90" s="263"/>
      <c r="DG90" s="263"/>
      <c r="DH90" s="263"/>
      <c r="DI90" s="263"/>
      <c r="DJ90" s="263"/>
      <c r="DK90" s="263"/>
      <c r="DL90" s="263"/>
      <c r="DM90" s="263"/>
      <c r="DN90" s="263"/>
      <c r="DO90" s="263"/>
      <c r="DP90" s="263"/>
      <c r="DQ90" s="263"/>
      <c r="DR90" s="263"/>
      <c r="DS90" s="263"/>
      <c r="DT90" s="263"/>
      <c r="DU90" s="263"/>
      <c r="DV90" s="263"/>
      <c r="DW90" s="263"/>
      <c r="DX90" s="263"/>
      <c r="DY90" s="263"/>
      <c r="DZ90" s="263"/>
      <c r="EA90" s="263"/>
      <c r="EB90" s="263"/>
      <c r="EC90" s="263"/>
      <c r="ED90" s="263"/>
      <c r="EE90" s="263"/>
      <c r="EF90" s="263"/>
      <c r="EG90" s="263"/>
      <c r="EH90" s="263"/>
      <c r="EI90" s="263"/>
      <c r="EJ90" s="263"/>
      <c r="EK90" s="263"/>
      <c r="EL90" s="263"/>
      <c r="EM90" s="263"/>
      <c r="EN90" s="263"/>
      <c r="EO90" s="263"/>
      <c r="EP90" s="263"/>
      <c r="EQ90" s="263"/>
      <c r="ER90" s="263"/>
      <c r="ES90" s="263"/>
      <c r="ET90" s="263"/>
      <c r="EU90" s="263"/>
      <c r="EV90" s="263"/>
      <c r="EW90" s="263"/>
      <c r="EX90" s="263"/>
      <c r="EY90" s="263"/>
      <c r="EZ90" s="263"/>
      <c r="FA90" s="263"/>
      <c r="FB90" s="263"/>
      <c r="FC90" s="263"/>
      <c r="FD90" s="263"/>
      <c r="FE90" s="263"/>
      <c r="FF90" s="263"/>
      <c r="FG90" s="263"/>
      <c r="FH90" s="263"/>
      <c r="FI90" s="263"/>
      <c r="FJ90" s="263"/>
      <c r="FK90" s="263"/>
      <c r="FL90" s="263"/>
      <c r="FM90" s="263"/>
      <c r="FN90" s="263"/>
      <c r="FO90" s="263"/>
      <c r="FP90" s="263"/>
      <c r="FQ90" s="263"/>
      <c r="FR90" s="263"/>
      <c r="FS90" s="263"/>
      <c r="FT90" s="263"/>
      <c r="FU90" s="263"/>
      <c r="FV90" s="263"/>
      <c r="FW90" s="263"/>
      <c r="FX90" s="263"/>
      <c r="FY90" s="263"/>
      <c r="FZ90" s="263"/>
      <c r="GA90" s="263"/>
      <c r="GB90" s="263"/>
      <c r="GC90" s="263"/>
      <c r="GD90" s="263"/>
      <c r="GE90" s="263"/>
      <c r="GF90" s="263"/>
      <c r="GG90" s="263"/>
      <c r="GH90" s="263"/>
      <c r="GI90" s="263"/>
      <c r="GJ90" s="263"/>
      <c r="GK90" s="263"/>
      <c r="GL90" s="263"/>
      <c r="GM90" s="263"/>
      <c r="GN90" s="263"/>
      <c r="GO90" s="263"/>
      <c r="GP90" s="263"/>
      <c r="GQ90" s="263"/>
      <c r="GR90" s="263"/>
      <c r="GS90" s="263"/>
      <c r="GT90" s="263"/>
      <c r="GU90" s="263"/>
      <c r="GV90" s="263"/>
      <c r="GW90" s="263"/>
      <c r="GX90" s="263"/>
      <c r="GY90" s="263"/>
      <c r="GZ90" s="263"/>
      <c r="HA90" s="263"/>
      <c r="HB90" s="263"/>
      <c r="HC90" s="263"/>
      <c r="HD90" s="263"/>
      <c r="HE90" s="263"/>
      <c r="HF90" s="263"/>
      <c r="HG90" s="263"/>
      <c r="HH90" s="263"/>
      <c r="HI90" s="263"/>
      <c r="HJ90" s="263"/>
      <c r="HK90" s="263"/>
      <c r="HL90" s="263"/>
      <c r="HM90" s="263"/>
      <c r="HN90" s="263"/>
      <c r="HO90" s="263"/>
      <c r="HP90" s="263"/>
      <c r="HQ90" s="263"/>
      <c r="HR90" s="263"/>
      <c r="HS90" s="263"/>
      <c r="HT90" s="263"/>
      <c r="HU90" s="263"/>
      <c r="HV90" s="263"/>
      <c r="HW90" s="263"/>
      <c r="HX90" s="263"/>
      <c r="HY90" s="263"/>
      <c r="HZ90" s="263"/>
      <c r="IA90" s="263"/>
      <c r="IB90" s="263"/>
      <c r="IC90" s="263"/>
      <c r="ID90" s="263"/>
      <c r="IE90" s="263"/>
      <c r="IF90" s="263"/>
      <c r="IG90" s="263"/>
      <c r="IH90" s="263"/>
      <c r="II90" s="263"/>
      <c r="IJ90" s="263"/>
      <c r="IK90" s="263"/>
      <c r="IL90" s="263"/>
      <c r="IM90" s="263"/>
      <c r="IN90" s="263"/>
      <c r="IO90" s="263"/>
      <c r="IP90" s="263"/>
      <c r="IQ90" s="263"/>
      <c r="IR90" s="263"/>
      <c r="IS90" s="263"/>
      <c r="IT90" s="263"/>
      <c r="IU90" s="263"/>
    </row>
    <row r="91" spans="1:255" ht="15.6">
      <c r="A91" s="263"/>
      <c r="B91" s="263"/>
      <c r="C91" s="263"/>
      <c r="D91" s="263"/>
      <c r="E91" s="263"/>
      <c r="F91" s="263"/>
      <c r="G91" s="263"/>
      <c r="H91" s="263"/>
      <c r="I91" s="263"/>
      <c r="J91" s="263"/>
      <c r="K91" s="263"/>
      <c r="L91" s="263"/>
      <c r="M91" s="263"/>
      <c r="N91" s="263"/>
      <c r="O91" s="263"/>
      <c r="P91" s="263"/>
      <c r="Q91" s="263"/>
      <c r="R91" s="263"/>
      <c r="S91" s="263"/>
      <c r="T91" s="263"/>
      <c r="U91" s="263"/>
      <c r="V91" s="263"/>
      <c r="W91" s="263"/>
      <c r="X91" s="263"/>
      <c r="Y91" s="263"/>
      <c r="Z91" s="263"/>
      <c r="AA91" s="263"/>
      <c r="AB91" s="263"/>
      <c r="AC91" s="263"/>
      <c r="AD91" s="263"/>
      <c r="AE91" s="263"/>
      <c r="AF91" s="263"/>
      <c r="AG91" s="263"/>
      <c r="AH91" s="263"/>
      <c r="AI91" s="263"/>
      <c r="AJ91" s="263"/>
      <c r="AK91" s="263"/>
      <c r="AL91" s="263"/>
      <c r="AM91" s="263"/>
      <c r="AN91" s="263"/>
      <c r="AO91" s="263"/>
      <c r="AP91" s="263"/>
      <c r="AQ91" s="263"/>
      <c r="AR91" s="263"/>
      <c r="AS91" s="263"/>
      <c r="AT91" s="263"/>
      <c r="AU91" s="263"/>
      <c r="AV91" s="263"/>
      <c r="AW91" s="263"/>
      <c r="AX91" s="263"/>
      <c r="AY91" s="263"/>
      <c r="AZ91" s="263"/>
      <c r="BA91" s="263"/>
      <c r="BB91" s="263"/>
      <c r="BC91" s="263"/>
      <c r="BD91" s="263"/>
      <c r="BE91" s="263"/>
      <c r="BF91" s="263"/>
      <c r="BG91" s="263"/>
      <c r="BH91" s="263"/>
      <c r="BI91" s="263"/>
      <c r="BJ91" s="263"/>
      <c r="BK91" s="263"/>
      <c r="BL91" s="263"/>
      <c r="BM91" s="263"/>
      <c r="BN91" s="263"/>
      <c r="BO91" s="263"/>
      <c r="BP91" s="263"/>
      <c r="BQ91" s="263"/>
      <c r="BR91" s="263"/>
      <c r="BS91" s="263"/>
      <c r="BT91" s="263"/>
      <c r="BU91" s="263"/>
      <c r="BV91" s="263"/>
      <c r="BW91" s="263"/>
      <c r="BX91" s="263"/>
      <c r="BY91" s="263"/>
      <c r="BZ91" s="263"/>
      <c r="CA91" s="263"/>
      <c r="CB91" s="263"/>
      <c r="CC91" s="263"/>
      <c r="CD91" s="263"/>
      <c r="CE91" s="263"/>
      <c r="CF91" s="263"/>
      <c r="CG91" s="263"/>
      <c r="CH91" s="263"/>
      <c r="CI91" s="263"/>
      <c r="CJ91" s="263"/>
      <c r="CK91" s="263"/>
      <c r="CL91" s="263"/>
      <c r="CM91" s="263"/>
      <c r="CN91" s="263"/>
      <c r="CO91" s="263"/>
      <c r="CP91" s="263"/>
      <c r="CQ91" s="263"/>
      <c r="CR91" s="263"/>
      <c r="CS91" s="263"/>
      <c r="CT91" s="263"/>
      <c r="CU91" s="263"/>
      <c r="CV91" s="263"/>
      <c r="CW91" s="263"/>
      <c r="CX91" s="263"/>
      <c r="CY91" s="263"/>
      <c r="CZ91" s="263"/>
      <c r="DA91" s="263"/>
      <c r="DB91" s="263"/>
      <c r="DC91" s="263"/>
      <c r="DD91" s="263"/>
      <c r="DE91" s="263"/>
      <c r="DF91" s="263"/>
      <c r="DG91" s="263"/>
      <c r="DH91" s="263"/>
      <c r="DI91" s="263"/>
      <c r="DJ91" s="263"/>
      <c r="DK91" s="263"/>
      <c r="DL91" s="263"/>
      <c r="DM91" s="263"/>
      <c r="DN91" s="263"/>
      <c r="DO91" s="263"/>
      <c r="DP91" s="263"/>
      <c r="DQ91" s="263"/>
      <c r="DR91" s="263"/>
      <c r="DS91" s="263"/>
      <c r="DT91" s="263"/>
      <c r="DU91" s="263"/>
      <c r="DV91" s="263"/>
      <c r="DW91" s="263"/>
      <c r="DX91" s="263"/>
      <c r="DY91" s="263"/>
      <c r="DZ91" s="263"/>
      <c r="EA91" s="263"/>
      <c r="EB91" s="263"/>
      <c r="EC91" s="263"/>
      <c r="ED91" s="263"/>
      <c r="EE91" s="263"/>
      <c r="EF91" s="263"/>
      <c r="EG91" s="263"/>
      <c r="EH91" s="263"/>
      <c r="EI91" s="263"/>
      <c r="EJ91" s="263"/>
      <c r="EK91" s="263"/>
      <c r="EL91" s="263"/>
      <c r="EM91" s="263"/>
      <c r="EN91" s="263"/>
      <c r="EO91" s="263"/>
      <c r="EP91" s="263"/>
      <c r="EQ91" s="263"/>
      <c r="ER91" s="263"/>
      <c r="ES91" s="263"/>
      <c r="ET91" s="263"/>
      <c r="EU91" s="263"/>
      <c r="EV91" s="263"/>
      <c r="EW91" s="263"/>
      <c r="EX91" s="263"/>
      <c r="EY91" s="263"/>
      <c r="EZ91" s="263"/>
      <c r="FA91" s="263"/>
      <c r="FB91" s="263"/>
      <c r="FC91" s="263"/>
      <c r="FD91" s="263"/>
      <c r="FE91" s="263"/>
      <c r="FF91" s="263"/>
      <c r="FG91" s="263"/>
      <c r="FH91" s="263"/>
      <c r="FI91" s="263"/>
      <c r="FJ91" s="263"/>
      <c r="FK91" s="263"/>
      <c r="FL91" s="263"/>
      <c r="FM91" s="263"/>
      <c r="FN91" s="263"/>
      <c r="FO91" s="263"/>
      <c r="FP91" s="263"/>
      <c r="FQ91" s="263"/>
      <c r="FR91" s="263"/>
      <c r="FS91" s="263"/>
      <c r="FT91" s="263"/>
      <c r="FU91" s="263"/>
      <c r="FV91" s="263"/>
      <c r="FW91" s="263"/>
      <c r="FX91" s="263"/>
      <c r="FY91" s="263"/>
      <c r="FZ91" s="263"/>
      <c r="GA91" s="263"/>
      <c r="GB91" s="263"/>
      <c r="GC91" s="263"/>
      <c r="GD91" s="263"/>
      <c r="GE91" s="263"/>
      <c r="GF91" s="263"/>
      <c r="GG91" s="263"/>
      <c r="GH91" s="263"/>
      <c r="GI91" s="263"/>
      <c r="GJ91" s="263"/>
      <c r="GK91" s="263"/>
      <c r="GL91" s="263"/>
      <c r="GM91" s="263"/>
      <c r="GN91" s="263"/>
      <c r="GO91" s="263"/>
      <c r="GP91" s="263"/>
      <c r="GQ91" s="263"/>
      <c r="GR91" s="263"/>
      <c r="GS91" s="263"/>
      <c r="GT91" s="263"/>
      <c r="GU91" s="263"/>
      <c r="GV91" s="263"/>
      <c r="GW91" s="263"/>
      <c r="GX91" s="263"/>
      <c r="GY91" s="263"/>
      <c r="GZ91" s="263"/>
      <c r="HA91" s="263"/>
      <c r="HB91" s="263"/>
      <c r="HC91" s="263"/>
      <c r="HD91" s="263"/>
      <c r="HE91" s="263"/>
      <c r="HF91" s="263"/>
      <c r="HG91" s="263"/>
      <c r="HH91" s="263"/>
      <c r="HI91" s="263"/>
      <c r="HJ91" s="263"/>
      <c r="HK91" s="263"/>
      <c r="HL91" s="263"/>
      <c r="HM91" s="263"/>
      <c r="HN91" s="263"/>
      <c r="HO91" s="263"/>
      <c r="HP91" s="263"/>
      <c r="HQ91" s="263"/>
      <c r="HR91" s="263"/>
      <c r="HS91" s="263"/>
      <c r="HT91" s="263"/>
      <c r="HU91" s="263"/>
      <c r="HV91" s="263"/>
      <c r="HW91" s="263"/>
      <c r="HX91" s="263"/>
      <c r="HY91" s="263"/>
      <c r="HZ91" s="263"/>
      <c r="IA91" s="263"/>
      <c r="IB91" s="263"/>
      <c r="IC91" s="263"/>
      <c r="ID91" s="263"/>
      <c r="IE91" s="263"/>
      <c r="IF91" s="263"/>
      <c r="IG91" s="263"/>
      <c r="IH91" s="263"/>
      <c r="II91" s="263"/>
      <c r="IJ91" s="263"/>
      <c r="IK91" s="263"/>
      <c r="IL91" s="263"/>
      <c r="IM91" s="263"/>
      <c r="IN91" s="263"/>
      <c r="IO91" s="263"/>
      <c r="IP91" s="263"/>
      <c r="IQ91" s="263"/>
      <c r="IR91" s="263"/>
      <c r="IS91" s="263"/>
      <c r="IT91" s="263"/>
      <c r="IU91" s="263"/>
    </row>
    <row r="92" spans="1:255" ht="15.6">
      <c r="A92" s="263"/>
      <c r="B92" s="263"/>
      <c r="C92" s="263"/>
      <c r="D92" s="263"/>
      <c r="E92" s="263"/>
      <c r="F92" s="263"/>
      <c r="G92" s="263"/>
      <c r="H92" s="263"/>
      <c r="I92" s="263"/>
      <c r="J92" s="263"/>
      <c r="K92" s="263"/>
      <c r="L92" s="263"/>
      <c r="M92" s="263"/>
      <c r="N92" s="263"/>
      <c r="O92" s="263"/>
      <c r="P92" s="263"/>
      <c r="Q92" s="263"/>
      <c r="R92" s="263"/>
      <c r="S92" s="263"/>
      <c r="T92" s="263"/>
      <c r="U92" s="263"/>
      <c r="V92" s="263"/>
      <c r="W92" s="263"/>
      <c r="X92" s="263"/>
      <c r="Y92" s="263"/>
      <c r="Z92" s="263"/>
      <c r="AA92" s="263"/>
      <c r="AB92" s="263"/>
      <c r="AC92" s="263"/>
      <c r="AD92" s="263"/>
      <c r="AE92" s="263"/>
      <c r="AF92" s="263"/>
      <c r="AG92" s="263"/>
      <c r="AH92" s="263"/>
      <c r="AI92" s="263"/>
      <c r="AJ92" s="263"/>
      <c r="AK92" s="263"/>
      <c r="AL92" s="263"/>
      <c r="AM92" s="263"/>
      <c r="AN92" s="263"/>
      <c r="AO92" s="263"/>
      <c r="AP92" s="263"/>
      <c r="AQ92" s="263"/>
      <c r="AR92" s="263"/>
      <c r="AS92" s="263"/>
      <c r="AT92" s="263"/>
      <c r="AU92" s="263"/>
      <c r="AV92" s="263"/>
      <c r="AW92" s="263"/>
      <c r="AX92" s="263"/>
      <c r="AY92" s="263"/>
      <c r="AZ92" s="263"/>
      <c r="BA92" s="263"/>
      <c r="BB92" s="263"/>
      <c r="BC92" s="263"/>
      <c r="BD92" s="263"/>
      <c r="BE92" s="263"/>
      <c r="BF92" s="263"/>
      <c r="BG92" s="263"/>
      <c r="BH92" s="263"/>
      <c r="BI92" s="263"/>
      <c r="BJ92" s="263"/>
      <c r="BK92" s="263"/>
      <c r="BL92" s="263"/>
      <c r="BM92" s="263"/>
      <c r="BN92" s="263"/>
      <c r="BO92" s="263"/>
      <c r="BP92" s="263"/>
      <c r="BQ92" s="263"/>
      <c r="BR92" s="263"/>
      <c r="BS92" s="263"/>
      <c r="BT92" s="263"/>
      <c r="BU92" s="263"/>
      <c r="BV92" s="263"/>
      <c r="BW92" s="263"/>
      <c r="BX92" s="263"/>
      <c r="BY92" s="263"/>
      <c r="BZ92" s="263"/>
      <c r="CA92" s="263"/>
      <c r="CB92" s="263"/>
      <c r="CC92" s="263"/>
      <c r="CD92" s="263"/>
      <c r="CE92" s="263"/>
      <c r="CF92" s="263"/>
      <c r="CG92" s="263"/>
      <c r="CH92" s="263"/>
      <c r="CI92" s="263"/>
      <c r="CJ92" s="263"/>
      <c r="CK92" s="263"/>
      <c r="CL92" s="263"/>
      <c r="CM92" s="263"/>
      <c r="CN92" s="263"/>
      <c r="CO92" s="263"/>
      <c r="CP92" s="263"/>
      <c r="CQ92" s="263"/>
      <c r="CR92" s="263"/>
      <c r="CS92" s="263"/>
      <c r="CT92" s="263"/>
      <c r="CU92" s="263"/>
      <c r="CV92" s="263"/>
      <c r="CW92" s="263"/>
      <c r="CX92" s="263"/>
      <c r="CY92" s="263"/>
      <c r="CZ92" s="263"/>
      <c r="DA92" s="263"/>
      <c r="DB92" s="263"/>
      <c r="DC92" s="263"/>
      <c r="DD92" s="263"/>
      <c r="DE92" s="263"/>
      <c r="DF92" s="263"/>
      <c r="DG92" s="263"/>
      <c r="DH92" s="263"/>
      <c r="DI92" s="263"/>
      <c r="DJ92" s="263"/>
      <c r="DK92" s="263"/>
      <c r="DL92" s="263"/>
      <c r="DM92" s="263"/>
      <c r="DN92" s="263"/>
      <c r="DO92" s="263"/>
      <c r="DP92" s="263"/>
      <c r="DQ92" s="263"/>
      <c r="DR92" s="263"/>
      <c r="DS92" s="263"/>
      <c r="DT92" s="263"/>
      <c r="DU92" s="263"/>
      <c r="DV92" s="263"/>
      <c r="DW92" s="263"/>
      <c r="DX92" s="263"/>
      <c r="DY92" s="263"/>
      <c r="DZ92" s="263"/>
      <c r="EA92" s="263"/>
      <c r="EB92" s="263"/>
      <c r="EC92" s="263"/>
      <c r="ED92" s="263"/>
      <c r="EE92" s="263"/>
      <c r="EF92" s="263"/>
      <c r="EG92" s="263"/>
      <c r="EH92" s="263"/>
      <c r="EI92" s="263"/>
      <c r="EJ92" s="263"/>
      <c r="EK92" s="263"/>
      <c r="EL92" s="263"/>
      <c r="EM92" s="263"/>
      <c r="EN92" s="263"/>
      <c r="EO92" s="263"/>
      <c r="EP92" s="263"/>
      <c r="EQ92" s="263"/>
      <c r="ER92" s="263"/>
      <c r="ES92" s="263"/>
      <c r="ET92" s="263"/>
      <c r="EU92" s="263"/>
      <c r="EV92" s="263"/>
      <c r="EW92" s="263"/>
      <c r="EX92" s="263"/>
      <c r="EY92" s="263"/>
      <c r="EZ92" s="263"/>
      <c r="FA92" s="263"/>
      <c r="FB92" s="263"/>
      <c r="FC92" s="263"/>
      <c r="FD92" s="263"/>
      <c r="FE92" s="263"/>
      <c r="FF92" s="263"/>
      <c r="FG92" s="263"/>
      <c r="FH92" s="263"/>
      <c r="FI92" s="263"/>
      <c r="FJ92" s="263"/>
      <c r="FK92" s="263"/>
      <c r="FL92" s="263"/>
      <c r="FM92" s="263"/>
      <c r="FN92" s="263"/>
      <c r="FO92" s="263"/>
      <c r="FP92" s="263"/>
      <c r="FQ92" s="263"/>
      <c r="FR92" s="263"/>
      <c r="FS92" s="263"/>
      <c r="FT92" s="263"/>
      <c r="FU92" s="263"/>
      <c r="FV92" s="263"/>
      <c r="FW92" s="263"/>
      <c r="FX92" s="263"/>
      <c r="FY92" s="263"/>
      <c r="FZ92" s="263"/>
      <c r="GA92" s="263"/>
      <c r="GB92" s="263"/>
      <c r="GC92" s="263"/>
      <c r="GD92" s="263"/>
      <c r="GE92" s="263"/>
      <c r="GF92" s="263"/>
      <c r="GG92" s="263"/>
      <c r="GH92" s="263"/>
      <c r="GI92" s="263"/>
      <c r="GJ92" s="263"/>
      <c r="GK92" s="263"/>
      <c r="GL92" s="263"/>
      <c r="GM92" s="263"/>
      <c r="GN92" s="263"/>
      <c r="GO92" s="263"/>
      <c r="GP92" s="263"/>
      <c r="GQ92" s="263"/>
      <c r="GR92" s="263"/>
      <c r="GS92" s="263"/>
      <c r="GT92" s="263"/>
      <c r="GU92" s="263"/>
      <c r="GV92" s="263"/>
      <c r="GW92" s="263"/>
      <c r="GX92" s="263"/>
      <c r="GY92" s="263"/>
      <c r="GZ92" s="263"/>
      <c r="HA92" s="263"/>
      <c r="HB92" s="263"/>
      <c r="HC92" s="263"/>
      <c r="HD92" s="263"/>
      <c r="HE92" s="263"/>
      <c r="HF92" s="263"/>
      <c r="HG92" s="263"/>
      <c r="HH92" s="263"/>
      <c r="HI92" s="263"/>
      <c r="HJ92" s="263"/>
      <c r="HK92" s="263"/>
      <c r="HL92" s="263"/>
      <c r="HM92" s="263"/>
      <c r="HN92" s="263"/>
      <c r="HO92" s="263"/>
      <c r="HP92" s="263"/>
      <c r="HQ92" s="263"/>
      <c r="HR92" s="263"/>
      <c r="HS92" s="263"/>
      <c r="HT92" s="263"/>
      <c r="HU92" s="263"/>
      <c r="HV92" s="263"/>
      <c r="HW92" s="263"/>
      <c r="HX92" s="263"/>
      <c r="HY92" s="263"/>
      <c r="HZ92" s="263"/>
      <c r="IA92" s="263"/>
      <c r="IB92" s="263"/>
      <c r="IC92" s="263"/>
      <c r="ID92" s="263"/>
      <c r="IE92" s="263"/>
      <c r="IF92" s="263"/>
      <c r="IG92" s="263"/>
      <c r="IH92" s="263"/>
      <c r="II92" s="263"/>
      <c r="IJ92" s="263"/>
      <c r="IK92" s="263"/>
      <c r="IL92" s="263"/>
      <c r="IM92" s="263"/>
      <c r="IN92" s="263"/>
      <c r="IO92" s="263"/>
      <c r="IP92" s="263"/>
      <c r="IQ92" s="263"/>
      <c r="IR92" s="263"/>
      <c r="IS92" s="263"/>
      <c r="IT92" s="263"/>
      <c r="IU92" s="263"/>
    </row>
    <row r="93" spans="1:255" ht="15.6">
      <c r="A93" s="263"/>
      <c r="B93" s="263"/>
      <c r="C93" s="263"/>
      <c r="D93" s="263"/>
      <c r="E93" s="263"/>
      <c r="F93" s="263"/>
      <c r="G93" s="263"/>
      <c r="H93" s="263"/>
      <c r="I93" s="263"/>
      <c r="J93" s="263"/>
      <c r="K93" s="263"/>
      <c r="L93" s="263"/>
      <c r="M93" s="263"/>
      <c r="N93" s="263"/>
      <c r="O93" s="263"/>
      <c r="P93" s="263"/>
      <c r="Q93" s="263"/>
      <c r="R93" s="263"/>
      <c r="S93" s="263"/>
      <c r="T93" s="263"/>
      <c r="U93" s="263"/>
      <c r="V93" s="263"/>
      <c r="W93" s="263"/>
      <c r="X93" s="263"/>
      <c r="Y93" s="263"/>
      <c r="Z93" s="263"/>
      <c r="AA93" s="263"/>
      <c r="AB93" s="263"/>
      <c r="AC93" s="263"/>
      <c r="AD93" s="263"/>
      <c r="AE93" s="263"/>
      <c r="AF93" s="263"/>
      <c r="AG93" s="263"/>
      <c r="AH93" s="263"/>
      <c r="AI93" s="263"/>
      <c r="AJ93" s="263"/>
      <c r="AK93" s="263"/>
      <c r="AL93" s="263"/>
      <c r="AM93" s="263"/>
      <c r="AN93" s="263"/>
      <c r="AO93" s="263"/>
      <c r="AP93" s="263"/>
      <c r="AQ93" s="263"/>
      <c r="AR93" s="263"/>
      <c r="AS93" s="263"/>
      <c r="AT93" s="263"/>
      <c r="AU93" s="263"/>
      <c r="AV93" s="263"/>
      <c r="AW93" s="263"/>
      <c r="AX93" s="263"/>
      <c r="AY93" s="263"/>
      <c r="AZ93" s="263"/>
      <c r="BA93" s="263"/>
      <c r="BB93" s="263"/>
      <c r="BC93" s="263"/>
      <c r="BD93" s="263"/>
      <c r="BE93" s="263"/>
      <c r="BF93" s="263"/>
      <c r="BG93" s="263"/>
      <c r="BH93" s="263"/>
      <c r="BI93" s="263"/>
      <c r="BJ93" s="263"/>
      <c r="BK93" s="263"/>
      <c r="BL93" s="263"/>
      <c r="BM93" s="263"/>
      <c r="BN93" s="263"/>
      <c r="BO93" s="263"/>
      <c r="BP93" s="263"/>
      <c r="BQ93" s="263"/>
      <c r="BR93" s="263"/>
      <c r="BS93" s="263"/>
      <c r="BT93" s="263"/>
      <c r="BU93" s="263"/>
      <c r="BV93" s="263"/>
      <c r="BW93" s="263"/>
      <c r="BX93" s="263"/>
      <c r="BY93" s="263"/>
      <c r="BZ93" s="263"/>
      <c r="CA93" s="263"/>
      <c r="CB93" s="263"/>
      <c r="CC93" s="263"/>
      <c r="CD93" s="263"/>
      <c r="CE93" s="263"/>
      <c r="CF93" s="263"/>
      <c r="CG93" s="263"/>
      <c r="CH93" s="263"/>
      <c r="CI93" s="263"/>
      <c r="CJ93" s="263"/>
      <c r="CK93" s="263"/>
      <c r="CL93" s="263"/>
      <c r="CM93" s="263"/>
      <c r="CN93" s="263"/>
      <c r="CO93" s="263"/>
      <c r="CP93" s="263"/>
      <c r="CQ93" s="263"/>
      <c r="CR93" s="263"/>
      <c r="CS93" s="263"/>
      <c r="CT93" s="263"/>
      <c r="CU93" s="263"/>
      <c r="CV93" s="263"/>
      <c r="CW93" s="263"/>
      <c r="CX93" s="263"/>
      <c r="CY93" s="263"/>
      <c r="CZ93" s="263"/>
      <c r="DA93" s="263"/>
      <c r="DB93" s="263"/>
      <c r="DC93" s="263"/>
      <c r="DD93" s="263"/>
      <c r="DE93" s="263"/>
      <c r="DF93" s="263"/>
      <c r="DG93" s="263"/>
      <c r="DH93" s="263"/>
      <c r="DI93" s="263"/>
      <c r="DJ93" s="263"/>
      <c r="DK93" s="263"/>
      <c r="DL93" s="263"/>
      <c r="DM93" s="263"/>
      <c r="DN93" s="263"/>
      <c r="DO93" s="263"/>
      <c r="DP93" s="263"/>
      <c r="DQ93" s="263"/>
      <c r="DR93" s="263"/>
      <c r="DS93" s="263"/>
      <c r="DT93" s="263"/>
      <c r="DU93" s="263"/>
      <c r="DV93" s="263"/>
      <c r="DW93" s="263"/>
      <c r="DX93" s="263"/>
      <c r="DY93" s="263"/>
      <c r="DZ93" s="263"/>
      <c r="EA93" s="263"/>
      <c r="EB93" s="263"/>
      <c r="EC93" s="263"/>
      <c r="ED93" s="263"/>
      <c r="EE93" s="263"/>
      <c r="EF93" s="263"/>
      <c r="EG93" s="263"/>
      <c r="EH93" s="263"/>
      <c r="EI93" s="263"/>
      <c r="EJ93" s="263"/>
      <c r="EK93" s="263"/>
      <c r="EL93" s="263"/>
      <c r="EM93" s="263"/>
      <c r="EN93" s="263"/>
      <c r="EO93" s="263"/>
      <c r="EP93" s="263"/>
      <c r="EQ93" s="263"/>
      <c r="ER93" s="263"/>
      <c r="ES93" s="263"/>
      <c r="ET93" s="263"/>
      <c r="EU93" s="263"/>
      <c r="EV93" s="263"/>
      <c r="EW93" s="263"/>
      <c r="EX93" s="263"/>
      <c r="EY93" s="263"/>
      <c r="EZ93" s="263"/>
      <c r="FA93" s="263"/>
      <c r="FB93" s="263"/>
      <c r="FC93" s="263"/>
      <c r="FD93" s="263"/>
      <c r="FE93" s="263"/>
      <c r="FF93" s="263"/>
      <c r="FG93" s="263"/>
      <c r="FH93" s="263"/>
      <c r="FI93" s="263"/>
      <c r="FJ93" s="263"/>
      <c r="FK93" s="263"/>
      <c r="FL93" s="263"/>
      <c r="FM93" s="263"/>
      <c r="FN93" s="263"/>
      <c r="FO93" s="263"/>
      <c r="FP93" s="263"/>
      <c r="FQ93" s="263"/>
      <c r="FR93" s="263"/>
      <c r="FS93" s="263"/>
      <c r="FT93" s="263"/>
      <c r="FU93" s="263"/>
      <c r="FV93" s="263"/>
      <c r="FW93" s="263"/>
      <c r="FX93" s="263"/>
      <c r="FY93" s="263"/>
      <c r="FZ93" s="263"/>
      <c r="GA93" s="263"/>
      <c r="GB93" s="263"/>
      <c r="GC93" s="263"/>
      <c r="GD93" s="263"/>
      <c r="GE93" s="263"/>
      <c r="GF93" s="263"/>
      <c r="GG93" s="263"/>
      <c r="GH93" s="263"/>
      <c r="GI93" s="263"/>
      <c r="GJ93" s="263"/>
      <c r="GK93" s="263"/>
      <c r="GL93" s="263"/>
      <c r="GM93" s="263"/>
      <c r="GN93" s="263"/>
      <c r="GO93" s="263"/>
      <c r="GP93" s="263"/>
      <c r="GQ93" s="263"/>
      <c r="GR93" s="263"/>
      <c r="GS93" s="263"/>
      <c r="GT93" s="263"/>
      <c r="GU93" s="263"/>
      <c r="GV93" s="263"/>
      <c r="GW93" s="263"/>
      <c r="GX93" s="263"/>
      <c r="GY93" s="263"/>
      <c r="GZ93" s="263"/>
      <c r="HA93" s="263"/>
      <c r="HB93" s="263"/>
      <c r="HC93" s="263"/>
      <c r="HD93" s="263"/>
      <c r="HE93" s="263"/>
      <c r="HF93" s="263"/>
      <c r="HG93" s="263"/>
      <c r="HH93" s="263"/>
      <c r="HI93" s="263"/>
      <c r="HJ93" s="263"/>
      <c r="HK93" s="263"/>
      <c r="HL93" s="263"/>
      <c r="HM93" s="263"/>
      <c r="HN93" s="263"/>
      <c r="HO93" s="263"/>
      <c r="HP93" s="263"/>
      <c r="HQ93" s="263"/>
      <c r="HR93" s="263"/>
      <c r="HS93" s="263"/>
      <c r="HT93" s="263"/>
      <c r="HU93" s="263"/>
      <c r="HV93" s="263"/>
      <c r="HW93" s="263"/>
      <c r="HX93" s="263"/>
      <c r="HY93" s="263"/>
      <c r="HZ93" s="263"/>
      <c r="IA93" s="263"/>
      <c r="IB93" s="263"/>
      <c r="IC93" s="263"/>
      <c r="ID93" s="263"/>
      <c r="IE93" s="263"/>
      <c r="IF93" s="263"/>
      <c r="IG93" s="263"/>
      <c r="IH93" s="263"/>
      <c r="II93" s="263"/>
      <c r="IJ93" s="263"/>
      <c r="IK93" s="263"/>
      <c r="IL93" s="263"/>
      <c r="IM93" s="263"/>
      <c r="IN93" s="263"/>
      <c r="IO93" s="263"/>
      <c r="IP93" s="263"/>
      <c r="IQ93" s="263"/>
      <c r="IR93" s="263"/>
      <c r="IS93" s="263"/>
      <c r="IT93" s="263"/>
      <c r="IU93" s="263"/>
    </row>
    <row r="94" spans="1:255" ht="15.6">
      <c r="A94" s="263"/>
      <c r="B94" s="263"/>
      <c r="C94" s="263"/>
      <c r="D94" s="263"/>
      <c r="E94" s="263"/>
      <c r="F94" s="263"/>
      <c r="G94" s="263"/>
      <c r="H94" s="263"/>
      <c r="I94" s="263"/>
      <c r="J94" s="263"/>
      <c r="K94" s="263"/>
      <c r="L94" s="263"/>
      <c r="M94" s="263"/>
      <c r="N94" s="263"/>
      <c r="O94" s="263"/>
      <c r="P94" s="263"/>
      <c r="Q94" s="263"/>
      <c r="R94" s="263"/>
      <c r="S94" s="263"/>
      <c r="T94" s="263"/>
      <c r="U94" s="263"/>
      <c r="V94" s="263"/>
      <c r="W94" s="263"/>
      <c r="X94" s="263"/>
      <c r="Y94" s="263"/>
      <c r="Z94" s="263"/>
      <c r="AA94" s="263"/>
      <c r="AB94" s="263"/>
      <c r="AC94" s="263"/>
      <c r="AD94" s="263"/>
      <c r="AE94" s="263"/>
      <c r="AF94" s="263"/>
      <c r="AG94" s="263"/>
      <c r="AH94" s="263"/>
      <c r="AI94" s="263"/>
      <c r="AJ94" s="263"/>
      <c r="AK94" s="263"/>
      <c r="AL94" s="263"/>
      <c r="AM94" s="263"/>
      <c r="AN94" s="263"/>
      <c r="AO94" s="263"/>
      <c r="AP94" s="263"/>
      <c r="AQ94" s="263"/>
      <c r="AR94" s="263"/>
      <c r="AS94" s="263"/>
      <c r="AT94" s="263"/>
      <c r="AU94" s="263"/>
      <c r="AV94" s="263"/>
      <c r="AW94" s="263"/>
      <c r="AX94" s="263"/>
      <c r="AY94" s="263"/>
      <c r="AZ94" s="263"/>
      <c r="BA94" s="263"/>
      <c r="BB94" s="263"/>
      <c r="BC94" s="263"/>
      <c r="BD94" s="263"/>
      <c r="BE94" s="263"/>
      <c r="BF94" s="263"/>
      <c r="BG94" s="263"/>
      <c r="BH94" s="263"/>
      <c r="BI94" s="263"/>
      <c r="BJ94" s="263"/>
      <c r="BK94" s="263"/>
      <c r="BL94" s="263"/>
      <c r="BM94" s="263"/>
      <c r="BN94" s="263"/>
      <c r="BO94" s="263"/>
      <c r="BP94" s="263"/>
      <c r="BQ94" s="263"/>
      <c r="BR94" s="263"/>
      <c r="BS94" s="263"/>
      <c r="BT94" s="263"/>
      <c r="BU94" s="263"/>
      <c r="BV94" s="263"/>
      <c r="BW94" s="263"/>
      <c r="BX94" s="263"/>
      <c r="BY94" s="263"/>
      <c r="BZ94" s="263"/>
      <c r="CA94" s="263"/>
      <c r="CB94" s="263"/>
      <c r="CC94" s="263"/>
      <c r="CD94" s="263"/>
      <c r="CE94" s="263"/>
      <c r="CF94" s="263"/>
      <c r="CG94" s="263"/>
      <c r="CH94" s="263"/>
      <c r="CI94" s="263"/>
      <c r="CJ94" s="263"/>
      <c r="CK94" s="263"/>
      <c r="CL94" s="263"/>
      <c r="CM94" s="263"/>
      <c r="CN94" s="263"/>
      <c r="CO94" s="263"/>
      <c r="CP94" s="263"/>
      <c r="CQ94" s="263"/>
      <c r="CR94" s="263"/>
      <c r="CS94" s="263"/>
      <c r="CT94" s="263"/>
      <c r="CU94" s="263"/>
      <c r="CV94" s="263"/>
      <c r="CW94" s="263"/>
      <c r="CX94" s="263"/>
      <c r="CY94" s="263"/>
      <c r="CZ94" s="263"/>
      <c r="DA94" s="263"/>
      <c r="DB94" s="263"/>
      <c r="DC94" s="263"/>
      <c r="DD94" s="263"/>
      <c r="DE94" s="263"/>
      <c r="DF94" s="263"/>
      <c r="DG94" s="263"/>
      <c r="DH94" s="263"/>
      <c r="DI94" s="263"/>
      <c r="DJ94" s="263"/>
      <c r="DK94" s="263"/>
      <c r="DL94" s="263"/>
      <c r="DM94" s="263"/>
      <c r="DN94" s="263"/>
      <c r="DO94" s="263"/>
      <c r="DP94" s="263"/>
      <c r="DQ94" s="263"/>
      <c r="DR94" s="263"/>
      <c r="DS94" s="263"/>
      <c r="DT94" s="263"/>
      <c r="DU94" s="263"/>
      <c r="DV94" s="263"/>
      <c r="DW94" s="263"/>
      <c r="DX94" s="263"/>
      <c r="DY94" s="263"/>
      <c r="DZ94" s="263"/>
      <c r="EA94" s="263"/>
      <c r="EB94" s="263"/>
      <c r="EC94" s="263"/>
      <c r="ED94" s="263"/>
      <c r="EE94" s="263"/>
      <c r="EF94" s="263"/>
      <c r="EG94" s="263"/>
      <c r="EH94" s="263"/>
      <c r="EI94" s="263"/>
      <c r="EJ94" s="263"/>
      <c r="EK94" s="263"/>
      <c r="EL94" s="263"/>
      <c r="EM94" s="263"/>
      <c r="EN94" s="263"/>
      <c r="EO94" s="263"/>
      <c r="EP94" s="263"/>
      <c r="EQ94" s="263"/>
      <c r="ER94" s="263"/>
      <c r="ES94" s="263"/>
      <c r="ET94" s="263"/>
      <c r="EU94" s="263"/>
      <c r="EV94" s="263"/>
      <c r="EW94" s="263"/>
      <c r="EX94" s="263"/>
      <c r="EY94" s="263"/>
      <c r="EZ94" s="263"/>
      <c r="FA94" s="263"/>
      <c r="FB94" s="263"/>
      <c r="FC94" s="263"/>
      <c r="FD94" s="263"/>
      <c r="FE94" s="263"/>
      <c r="FF94" s="263"/>
      <c r="FG94" s="263"/>
      <c r="FH94" s="263"/>
      <c r="FI94" s="263"/>
      <c r="FJ94" s="263"/>
      <c r="FK94" s="263"/>
      <c r="FL94" s="263"/>
      <c r="FM94" s="263"/>
      <c r="FN94" s="263"/>
      <c r="FO94" s="263"/>
      <c r="FP94" s="263"/>
      <c r="FQ94" s="263"/>
      <c r="FR94" s="263"/>
      <c r="FS94" s="263"/>
      <c r="FT94" s="263"/>
      <c r="FU94" s="263"/>
      <c r="FV94" s="263"/>
      <c r="FW94" s="263"/>
      <c r="FX94" s="263"/>
      <c r="FY94" s="263"/>
      <c r="FZ94" s="263"/>
      <c r="GA94" s="263"/>
      <c r="GB94" s="263"/>
      <c r="GC94" s="263"/>
      <c r="GD94" s="263"/>
      <c r="GE94" s="263"/>
      <c r="GF94" s="263"/>
      <c r="GG94" s="263"/>
      <c r="GH94" s="263"/>
      <c r="GI94" s="263"/>
      <c r="GJ94" s="263"/>
      <c r="GK94" s="263"/>
      <c r="GL94" s="263"/>
      <c r="GM94" s="263"/>
      <c r="GN94" s="263"/>
      <c r="GO94" s="263"/>
      <c r="GP94" s="263"/>
      <c r="GQ94" s="263"/>
      <c r="GR94" s="263"/>
      <c r="GS94" s="263"/>
      <c r="GT94" s="263"/>
      <c r="GU94" s="263"/>
      <c r="GV94" s="263"/>
      <c r="GW94" s="263"/>
      <c r="GX94" s="263"/>
      <c r="GY94" s="263"/>
      <c r="GZ94" s="263"/>
      <c r="HA94" s="263"/>
      <c r="HB94" s="263"/>
      <c r="HC94" s="263"/>
      <c r="HD94" s="263"/>
      <c r="HE94" s="263"/>
      <c r="HF94" s="263"/>
      <c r="HG94" s="263"/>
      <c r="HH94" s="263"/>
      <c r="HI94" s="263"/>
      <c r="HJ94" s="263"/>
      <c r="HK94" s="263"/>
      <c r="HL94" s="263"/>
      <c r="HM94" s="263"/>
      <c r="HN94" s="263"/>
      <c r="HO94" s="263"/>
      <c r="HP94" s="263"/>
      <c r="HQ94" s="263"/>
      <c r="HR94" s="263"/>
      <c r="HS94" s="263"/>
      <c r="HT94" s="263"/>
      <c r="HU94" s="263"/>
      <c r="HV94" s="263"/>
      <c r="HW94" s="263"/>
      <c r="HX94" s="263"/>
      <c r="HY94" s="263"/>
      <c r="HZ94" s="263"/>
      <c r="IA94" s="263"/>
      <c r="IB94" s="263"/>
      <c r="IC94" s="263"/>
      <c r="ID94" s="263"/>
      <c r="IE94" s="263"/>
      <c r="IF94" s="263"/>
      <c r="IG94" s="263"/>
      <c r="IH94" s="263"/>
      <c r="II94" s="263"/>
      <c r="IJ94" s="263"/>
      <c r="IK94" s="263"/>
      <c r="IL94" s="263"/>
      <c r="IM94" s="263"/>
      <c r="IN94" s="263"/>
      <c r="IO94" s="263"/>
      <c r="IP94" s="263"/>
      <c r="IQ94" s="263"/>
      <c r="IR94" s="263"/>
      <c r="IS94" s="263"/>
      <c r="IT94" s="263"/>
      <c r="IU94" s="263"/>
    </row>
    <row r="95" spans="1:255" ht="15.6">
      <c r="A95" s="263"/>
      <c r="B95" s="263"/>
      <c r="C95" s="263"/>
      <c r="D95" s="263"/>
      <c r="E95" s="263"/>
      <c r="F95" s="263"/>
      <c r="G95" s="263"/>
      <c r="H95" s="263"/>
      <c r="I95" s="263"/>
      <c r="J95" s="263"/>
      <c r="K95" s="263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3"/>
      <c r="AA95" s="263"/>
      <c r="AB95" s="263"/>
      <c r="AC95" s="263"/>
      <c r="AD95" s="263"/>
      <c r="AE95" s="263"/>
      <c r="AF95" s="263"/>
      <c r="AG95" s="263"/>
      <c r="AH95" s="263"/>
      <c r="AI95" s="263"/>
      <c r="AJ95" s="263"/>
      <c r="AK95" s="263"/>
      <c r="AL95" s="263"/>
      <c r="AM95" s="263"/>
      <c r="AN95" s="263"/>
      <c r="AO95" s="263"/>
      <c r="AP95" s="263"/>
      <c r="AQ95" s="263"/>
      <c r="AR95" s="263"/>
      <c r="AS95" s="263"/>
      <c r="AT95" s="263"/>
      <c r="AU95" s="263"/>
      <c r="AV95" s="263"/>
      <c r="AW95" s="263"/>
      <c r="AX95" s="263"/>
      <c r="AY95" s="263"/>
      <c r="AZ95" s="263"/>
      <c r="BA95" s="263"/>
      <c r="BB95" s="263"/>
      <c r="BC95" s="263"/>
      <c r="BD95" s="263"/>
      <c r="BE95" s="263"/>
      <c r="BF95" s="263"/>
      <c r="BG95" s="263"/>
      <c r="BH95" s="263"/>
      <c r="BI95" s="263"/>
      <c r="BJ95" s="263"/>
      <c r="BK95" s="263"/>
      <c r="BL95" s="263"/>
      <c r="BM95" s="263"/>
      <c r="BN95" s="263"/>
      <c r="BO95" s="263"/>
      <c r="BP95" s="263"/>
      <c r="BQ95" s="263"/>
      <c r="BR95" s="263"/>
      <c r="BS95" s="263"/>
      <c r="BT95" s="263"/>
      <c r="BU95" s="263"/>
      <c r="BV95" s="263"/>
      <c r="BW95" s="263"/>
      <c r="BX95" s="263"/>
      <c r="BY95" s="263"/>
      <c r="BZ95" s="263"/>
      <c r="CA95" s="263"/>
      <c r="CB95" s="263"/>
      <c r="CC95" s="263"/>
      <c r="CD95" s="263"/>
      <c r="CE95" s="263"/>
      <c r="CF95" s="263"/>
      <c r="CG95" s="263"/>
      <c r="CH95" s="263"/>
      <c r="CI95" s="263"/>
      <c r="CJ95" s="263"/>
      <c r="CK95" s="263"/>
      <c r="CL95" s="263"/>
      <c r="CM95" s="263"/>
      <c r="CN95" s="263"/>
      <c r="CO95" s="263"/>
      <c r="CP95" s="263"/>
      <c r="CQ95" s="263"/>
      <c r="CR95" s="263"/>
      <c r="CS95" s="263"/>
      <c r="CT95" s="263"/>
      <c r="CU95" s="263"/>
      <c r="CV95" s="263"/>
      <c r="CW95" s="263"/>
      <c r="CX95" s="263"/>
      <c r="CY95" s="263"/>
      <c r="CZ95" s="263"/>
      <c r="DA95" s="263"/>
      <c r="DB95" s="263"/>
      <c r="DC95" s="263"/>
      <c r="DD95" s="263"/>
      <c r="DE95" s="263"/>
      <c r="DF95" s="263"/>
      <c r="DG95" s="263"/>
      <c r="DH95" s="263"/>
      <c r="DI95" s="263"/>
      <c r="DJ95" s="263"/>
      <c r="DK95" s="263"/>
      <c r="DL95" s="263"/>
      <c r="DM95" s="263"/>
      <c r="DN95" s="263"/>
      <c r="DO95" s="263"/>
      <c r="DP95" s="263"/>
      <c r="DQ95" s="263"/>
      <c r="DR95" s="263"/>
      <c r="DS95" s="263"/>
      <c r="DT95" s="263"/>
      <c r="DU95" s="263"/>
      <c r="DV95" s="263"/>
      <c r="DW95" s="263"/>
      <c r="DX95" s="263"/>
      <c r="DY95" s="263"/>
      <c r="DZ95" s="263"/>
      <c r="EA95" s="263"/>
      <c r="EB95" s="263"/>
      <c r="EC95" s="263"/>
      <c r="ED95" s="263"/>
      <c r="EE95" s="263"/>
      <c r="EF95" s="263"/>
      <c r="EG95" s="263"/>
      <c r="EH95" s="263"/>
      <c r="EI95" s="263"/>
      <c r="EJ95" s="263"/>
      <c r="EK95" s="263"/>
      <c r="EL95" s="263"/>
      <c r="EM95" s="263"/>
      <c r="EN95" s="263"/>
      <c r="EO95" s="263"/>
      <c r="EP95" s="263"/>
      <c r="EQ95" s="263"/>
      <c r="ER95" s="263"/>
      <c r="ES95" s="263"/>
      <c r="ET95" s="263"/>
      <c r="EU95" s="263"/>
      <c r="EV95" s="263"/>
      <c r="EW95" s="263"/>
      <c r="EX95" s="263"/>
      <c r="EY95" s="263"/>
      <c r="EZ95" s="263"/>
      <c r="FA95" s="263"/>
      <c r="FB95" s="263"/>
      <c r="FC95" s="263"/>
      <c r="FD95" s="263"/>
      <c r="FE95" s="263"/>
      <c r="FF95" s="263"/>
      <c r="FG95" s="263"/>
      <c r="FH95" s="263"/>
      <c r="FI95" s="263"/>
      <c r="FJ95" s="263"/>
      <c r="FK95" s="263"/>
      <c r="FL95" s="263"/>
      <c r="FM95" s="263"/>
      <c r="FN95" s="263"/>
      <c r="FO95" s="263"/>
      <c r="FP95" s="263"/>
      <c r="FQ95" s="263"/>
      <c r="FR95" s="263"/>
      <c r="FS95" s="263"/>
      <c r="FT95" s="263"/>
      <c r="FU95" s="263"/>
      <c r="FV95" s="263"/>
      <c r="FW95" s="263"/>
      <c r="FX95" s="263"/>
      <c r="FY95" s="263"/>
      <c r="FZ95" s="263"/>
      <c r="GA95" s="263"/>
      <c r="GB95" s="263"/>
      <c r="GC95" s="263"/>
      <c r="GD95" s="263"/>
      <c r="GE95" s="263"/>
      <c r="GF95" s="263"/>
      <c r="GG95" s="263"/>
      <c r="GH95" s="263"/>
      <c r="GI95" s="263"/>
      <c r="GJ95" s="263"/>
      <c r="GK95" s="263"/>
      <c r="GL95" s="263"/>
      <c r="GM95" s="263"/>
      <c r="GN95" s="263"/>
      <c r="GO95" s="263"/>
      <c r="GP95" s="263"/>
      <c r="GQ95" s="263"/>
      <c r="GR95" s="263"/>
      <c r="GS95" s="263"/>
      <c r="GT95" s="263"/>
      <c r="GU95" s="263"/>
      <c r="GV95" s="263"/>
      <c r="GW95" s="263"/>
      <c r="GX95" s="263"/>
      <c r="GY95" s="263"/>
      <c r="GZ95" s="263"/>
      <c r="HA95" s="263"/>
      <c r="HB95" s="263"/>
      <c r="HC95" s="263"/>
      <c r="HD95" s="263"/>
      <c r="HE95" s="263"/>
      <c r="HF95" s="263"/>
      <c r="HG95" s="263"/>
      <c r="HH95" s="263"/>
      <c r="HI95" s="263"/>
      <c r="HJ95" s="263"/>
      <c r="HK95" s="263"/>
      <c r="HL95" s="263"/>
      <c r="HM95" s="263"/>
      <c r="HN95" s="263"/>
      <c r="HO95" s="263"/>
      <c r="HP95" s="263"/>
      <c r="HQ95" s="263"/>
      <c r="HR95" s="263"/>
      <c r="HS95" s="263"/>
      <c r="HT95" s="263"/>
      <c r="HU95" s="263"/>
      <c r="HV95" s="263"/>
      <c r="HW95" s="263"/>
      <c r="HX95" s="263"/>
      <c r="HY95" s="263"/>
      <c r="HZ95" s="263"/>
      <c r="IA95" s="263"/>
      <c r="IB95" s="263"/>
      <c r="IC95" s="263"/>
      <c r="ID95" s="263"/>
      <c r="IE95" s="263"/>
      <c r="IF95" s="263"/>
      <c r="IG95" s="263"/>
      <c r="IH95" s="263"/>
      <c r="II95" s="263"/>
      <c r="IJ95" s="263"/>
      <c r="IK95" s="263"/>
      <c r="IL95" s="263"/>
      <c r="IM95" s="263"/>
      <c r="IN95" s="263"/>
      <c r="IO95" s="263"/>
      <c r="IP95" s="263"/>
      <c r="IQ95" s="263"/>
      <c r="IR95" s="263"/>
      <c r="IS95" s="263"/>
      <c r="IT95" s="263"/>
      <c r="IU95" s="263"/>
    </row>
    <row r="96" spans="1:255" ht="15.6">
      <c r="A96" s="263"/>
      <c r="B96" s="263"/>
      <c r="C96" s="263"/>
      <c r="D96" s="263"/>
      <c r="E96" s="263"/>
      <c r="F96" s="263"/>
      <c r="G96" s="263"/>
      <c r="H96" s="263"/>
      <c r="I96" s="263"/>
      <c r="J96" s="263"/>
      <c r="K96" s="263"/>
      <c r="L96" s="263"/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263"/>
      <c r="AA96" s="263"/>
      <c r="AB96" s="263"/>
      <c r="AC96" s="263"/>
      <c r="AD96" s="263"/>
      <c r="AE96" s="263"/>
      <c r="AF96" s="263"/>
      <c r="AG96" s="263"/>
      <c r="AH96" s="263"/>
      <c r="AI96" s="263"/>
      <c r="AJ96" s="263"/>
      <c r="AK96" s="263"/>
      <c r="AL96" s="263"/>
      <c r="AM96" s="263"/>
      <c r="AN96" s="263"/>
      <c r="AO96" s="263"/>
      <c r="AP96" s="263"/>
      <c r="AQ96" s="263"/>
      <c r="AR96" s="263"/>
      <c r="AS96" s="263"/>
      <c r="AT96" s="263"/>
      <c r="AU96" s="263"/>
      <c r="AV96" s="263"/>
      <c r="AW96" s="263"/>
      <c r="AX96" s="263"/>
      <c r="AY96" s="263"/>
      <c r="AZ96" s="263"/>
      <c r="BA96" s="263"/>
      <c r="BB96" s="263"/>
      <c r="BC96" s="263"/>
      <c r="BD96" s="263"/>
      <c r="BE96" s="263"/>
      <c r="BF96" s="263"/>
      <c r="BG96" s="263"/>
      <c r="BH96" s="263"/>
      <c r="BI96" s="263"/>
      <c r="BJ96" s="263"/>
      <c r="BK96" s="263"/>
      <c r="BL96" s="263"/>
      <c r="BM96" s="263"/>
      <c r="BN96" s="263"/>
      <c r="BO96" s="263"/>
      <c r="BP96" s="263"/>
      <c r="BQ96" s="263"/>
      <c r="BR96" s="263"/>
      <c r="BS96" s="263"/>
      <c r="BT96" s="263"/>
      <c r="BU96" s="263"/>
      <c r="BV96" s="263"/>
      <c r="BW96" s="263"/>
      <c r="BX96" s="263"/>
      <c r="BY96" s="263"/>
      <c r="BZ96" s="263"/>
      <c r="CA96" s="263"/>
      <c r="CB96" s="263"/>
      <c r="CC96" s="263"/>
      <c r="CD96" s="263"/>
      <c r="CE96" s="263"/>
      <c r="CF96" s="263"/>
      <c r="CG96" s="263"/>
      <c r="CH96" s="263"/>
      <c r="CI96" s="263"/>
      <c r="CJ96" s="263"/>
      <c r="CK96" s="263"/>
      <c r="CL96" s="263"/>
      <c r="CM96" s="263"/>
      <c r="CN96" s="263"/>
      <c r="CO96" s="263"/>
      <c r="CP96" s="263"/>
      <c r="CQ96" s="263"/>
      <c r="CR96" s="263"/>
      <c r="CS96" s="263"/>
      <c r="CT96" s="263"/>
      <c r="CU96" s="263"/>
      <c r="CV96" s="263"/>
      <c r="CW96" s="263"/>
      <c r="CX96" s="263"/>
      <c r="CY96" s="263"/>
      <c r="CZ96" s="263"/>
      <c r="DA96" s="263"/>
      <c r="DB96" s="263"/>
      <c r="DC96" s="263"/>
      <c r="DD96" s="263"/>
      <c r="DE96" s="263"/>
      <c r="DF96" s="263"/>
      <c r="DG96" s="263"/>
      <c r="DH96" s="263"/>
      <c r="DI96" s="263"/>
      <c r="DJ96" s="263"/>
      <c r="DK96" s="263"/>
      <c r="DL96" s="263"/>
      <c r="DM96" s="263"/>
      <c r="DN96" s="263"/>
      <c r="DO96" s="263"/>
      <c r="DP96" s="263"/>
      <c r="DQ96" s="263"/>
      <c r="DR96" s="263"/>
      <c r="DS96" s="263"/>
      <c r="DT96" s="263"/>
      <c r="DU96" s="263"/>
      <c r="DV96" s="263"/>
      <c r="DW96" s="263"/>
      <c r="DX96" s="263"/>
      <c r="DY96" s="263"/>
      <c r="DZ96" s="263"/>
      <c r="EA96" s="263"/>
      <c r="EB96" s="263"/>
      <c r="EC96" s="263"/>
      <c r="ED96" s="263"/>
      <c r="EE96" s="263"/>
      <c r="EF96" s="263"/>
      <c r="EG96" s="263"/>
      <c r="EH96" s="263"/>
      <c r="EI96" s="263"/>
      <c r="EJ96" s="263"/>
      <c r="EK96" s="263"/>
      <c r="EL96" s="263"/>
      <c r="EM96" s="263"/>
      <c r="EN96" s="263"/>
      <c r="EO96" s="263"/>
      <c r="EP96" s="263"/>
      <c r="EQ96" s="263"/>
      <c r="ER96" s="263"/>
      <c r="ES96" s="263"/>
      <c r="ET96" s="263"/>
      <c r="EU96" s="263"/>
      <c r="EV96" s="263"/>
      <c r="EW96" s="263"/>
      <c r="EX96" s="263"/>
      <c r="EY96" s="263"/>
      <c r="EZ96" s="263"/>
      <c r="FA96" s="263"/>
      <c r="FB96" s="263"/>
      <c r="FC96" s="263"/>
      <c r="FD96" s="263"/>
      <c r="FE96" s="263"/>
      <c r="FF96" s="263"/>
      <c r="FG96" s="263"/>
      <c r="FH96" s="263"/>
      <c r="FI96" s="263"/>
      <c r="FJ96" s="263"/>
      <c r="FK96" s="263"/>
      <c r="FL96" s="263"/>
      <c r="FM96" s="263"/>
      <c r="FN96" s="263"/>
      <c r="FO96" s="263"/>
      <c r="FP96" s="263"/>
      <c r="FQ96" s="263"/>
      <c r="FR96" s="263"/>
      <c r="FS96" s="263"/>
      <c r="FT96" s="263"/>
      <c r="FU96" s="263"/>
      <c r="FV96" s="263"/>
      <c r="FW96" s="263"/>
      <c r="FX96" s="263"/>
      <c r="FY96" s="263"/>
      <c r="FZ96" s="263"/>
      <c r="GA96" s="263"/>
      <c r="GB96" s="263"/>
      <c r="GC96" s="263"/>
      <c r="GD96" s="263"/>
      <c r="GE96" s="263"/>
      <c r="GF96" s="263"/>
      <c r="GG96" s="263"/>
      <c r="GH96" s="263"/>
      <c r="GI96" s="263"/>
      <c r="GJ96" s="263"/>
      <c r="GK96" s="263"/>
      <c r="GL96" s="263"/>
      <c r="GM96" s="263"/>
      <c r="GN96" s="263"/>
      <c r="GO96" s="263"/>
      <c r="GP96" s="263"/>
      <c r="GQ96" s="263"/>
      <c r="GR96" s="263"/>
      <c r="GS96" s="263"/>
      <c r="GT96" s="263"/>
      <c r="GU96" s="263"/>
      <c r="GV96" s="263"/>
      <c r="GW96" s="263"/>
      <c r="GX96" s="263"/>
      <c r="GY96" s="263"/>
      <c r="GZ96" s="263"/>
      <c r="HA96" s="263"/>
      <c r="HB96" s="263"/>
      <c r="HC96" s="263"/>
      <c r="HD96" s="263"/>
      <c r="HE96" s="263"/>
      <c r="HF96" s="263"/>
      <c r="HG96" s="263"/>
      <c r="HH96" s="263"/>
      <c r="HI96" s="263"/>
      <c r="HJ96" s="263"/>
      <c r="HK96" s="263"/>
      <c r="HL96" s="263"/>
      <c r="HM96" s="263"/>
      <c r="HN96" s="263"/>
      <c r="HO96" s="263"/>
      <c r="HP96" s="263"/>
      <c r="HQ96" s="263"/>
      <c r="HR96" s="263"/>
      <c r="HS96" s="263"/>
      <c r="HT96" s="263"/>
      <c r="HU96" s="263"/>
      <c r="HV96" s="263"/>
      <c r="HW96" s="263"/>
      <c r="HX96" s="263"/>
      <c r="HY96" s="263"/>
      <c r="HZ96" s="263"/>
      <c r="IA96" s="263"/>
      <c r="IB96" s="263"/>
      <c r="IC96" s="263"/>
      <c r="ID96" s="263"/>
      <c r="IE96" s="263"/>
      <c r="IF96" s="263"/>
      <c r="IG96" s="263"/>
      <c r="IH96" s="263"/>
      <c r="II96" s="263"/>
      <c r="IJ96" s="263"/>
      <c r="IK96" s="263"/>
      <c r="IL96" s="263"/>
      <c r="IM96" s="263"/>
      <c r="IN96" s="263"/>
      <c r="IO96" s="263"/>
      <c r="IP96" s="263"/>
      <c r="IQ96" s="263"/>
      <c r="IR96" s="263"/>
      <c r="IS96" s="263"/>
      <c r="IT96" s="263"/>
      <c r="IU96" s="263"/>
    </row>
    <row r="97" spans="1:255" ht="15.6">
      <c r="A97" s="263"/>
      <c r="B97" s="263"/>
      <c r="C97" s="263"/>
      <c r="D97" s="263"/>
      <c r="E97" s="263"/>
      <c r="F97" s="263"/>
      <c r="G97" s="263"/>
      <c r="H97" s="263"/>
      <c r="I97" s="263"/>
      <c r="J97" s="263"/>
      <c r="K97" s="263"/>
      <c r="L97" s="263"/>
      <c r="M97" s="263"/>
      <c r="N97" s="263"/>
      <c r="O97" s="263"/>
      <c r="P97" s="263"/>
      <c r="Q97" s="263"/>
      <c r="R97" s="263"/>
      <c r="S97" s="263"/>
      <c r="T97" s="263"/>
      <c r="U97" s="263"/>
      <c r="V97" s="263"/>
      <c r="W97" s="263"/>
      <c r="X97" s="263"/>
      <c r="Y97" s="263"/>
      <c r="Z97" s="263"/>
      <c r="AA97" s="263"/>
      <c r="AB97" s="263"/>
      <c r="AC97" s="263"/>
      <c r="AD97" s="263"/>
      <c r="AE97" s="263"/>
      <c r="AF97" s="263"/>
      <c r="AG97" s="263"/>
      <c r="AH97" s="263"/>
      <c r="AI97" s="263"/>
      <c r="AJ97" s="263"/>
      <c r="AK97" s="263"/>
      <c r="AL97" s="263"/>
      <c r="AM97" s="263"/>
      <c r="AN97" s="263"/>
      <c r="AO97" s="263"/>
      <c r="AP97" s="263"/>
      <c r="AQ97" s="263"/>
      <c r="AR97" s="263"/>
      <c r="AS97" s="263"/>
      <c r="AT97" s="263"/>
      <c r="AU97" s="263"/>
      <c r="AV97" s="263"/>
      <c r="AW97" s="263"/>
      <c r="AX97" s="263"/>
      <c r="AY97" s="263"/>
      <c r="AZ97" s="263"/>
      <c r="BA97" s="263"/>
      <c r="BB97" s="263"/>
      <c r="BC97" s="263"/>
      <c r="BD97" s="263"/>
      <c r="BE97" s="263"/>
      <c r="BF97" s="263"/>
      <c r="BG97" s="263"/>
      <c r="BH97" s="263"/>
      <c r="BI97" s="263"/>
      <c r="BJ97" s="263"/>
      <c r="BK97" s="263"/>
      <c r="BL97" s="263"/>
      <c r="BM97" s="263"/>
      <c r="BN97" s="263"/>
      <c r="BO97" s="263"/>
      <c r="BP97" s="263"/>
      <c r="BQ97" s="263"/>
      <c r="BR97" s="263"/>
      <c r="BS97" s="263"/>
      <c r="BT97" s="263"/>
      <c r="BU97" s="263"/>
      <c r="BV97" s="263"/>
      <c r="BW97" s="263"/>
      <c r="BX97" s="263"/>
      <c r="BY97" s="263"/>
      <c r="BZ97" s="263"/>
      <c r="CA97" s="263"/>
      <c r="CB97" s="263"/>
      <c r="CC97" s="263"/>
      <c r="CD97" s="263"/>
      <c r="CE97" s="263"/>
      <c r="CF97" s="263"/>
      <c r="CG97" s="263"/>
      <c r="CH97" s="263"/>
      <c r="CI97" s="263"/>
      <c r="CJ97" s="263"/>
      <c r="CK97" s="263"/>
      <c r="CL97" s="263"/>
      <c r="CM97" s="263"/>
      <c r="CN97" s="263"/>
      <c r="CO97" s="263"/>
      <c r="CP97" s="263"/>
      <c r="CQ97" s="263"/>
      <c r="CR97" s="263"/>
      <c r="CS97" s="263"/>
      <c r="CT97" s="263"/>
      <c r="CU97" s="263"/>
      <c r="CV97" s="263"/>
      <c r="CW97" s="263"/>
      <c r="CX97" s="263"/>
      <c r="CY97" s="263"/>
      <c r="CZ97" s="263"/>
      <c r="DA97" s="263"/>
      <c r="DB97" s="263"/>
      <c r="DC97" s="263"/>
      <c r="DD97" s="263"/>
      <c r="DE97" s="263"/>
      <c r="DF97" s="263"/>
      <c r="DG97" s="263"/>
      <c r="DH97" s="263"/>
      <c r="DI97" s="263"/>
      <c r="DJ97" s="263"/>
      <c r="DK97" s="263"/>
      <c r="DL97" s="263"/>
      <c r="DM97" s="263"/>
      <c r="DN97" s="263"/>
      <c r="DO97" s="263"/>
      <c r="DP97" s="263"/>
      <c r="DQ97" s="263"/>
      <c r="DR97" s="263"/>
      <c r="DS97" s="263"/>
      <c r="DT97" s="263"/>
      <c r="DU97" s="263"/>
      <c r="DV97" s="263"/>
      <c r="DW97" s="263"/>
      <c r="DX97" s="263"/>
      <c r="DY97" s="263"/>
      <c r="DZ97" s="263"/>
      <c r="EA97" s="263"/>
      <c r="EB97" s="263"/>
      <c r="EC97" s="263"/>
      <c r="ED97" s="263"/>
      <c r="EE97" s="263"/>
      <c r="EF97" s="263"/>
      <c r="EG97" s="263"/>
      <c r="EH97" s="263"/>
      <c r="EI97" s="263"/>
      <c r="EJ97" s="263"/>
      <c r="EK97" s="263"/>
      <c r="EL97" s="263"/>
      <c r="EM97" s="263"/>
      <c r="EN97" s="263"/>
      <c r="EO97" s="263"/>
      <c r="EP97" s="263"/>
      <c r="EQ97" s="263"/>
      <c r="ER97" s="263"/>
      <c r="ES97" s="263"/>
      <c r="ET97" s="263"/>
      <c r="EU97" s="263"/>
      <c r="EV97" s="263"/>
      <c r="EW97" s="263"/>
      <c r="EX97" s="263"/>
      <c r="EY97" s="263"/>
      <c r="EZ97" s="263"/>
      <c r="FA97" s="263"/>
      <c r="FB97" s="263"/>
      <c r="FC97" s="263"/>
      <c r="FD97" s="263"/>
      <c r="FE97" s="263"/>
      <c r="FF97" s="263"/>
      <c r="FG97" s="263"/>
      <c r="FH97" s="263"/>
      <c r="FI97" s="263"/>
      <c r="FJ97" s="263"/>
      <c r="FK97" s="263"/>
      <c r="FL97" s="263"/>
      <c r="FM97" s="263"/>
      <c r="FN97" s="263"/>
      <c r="FO97" s="263"/>
      <c r="FP97" s="263"/>
      <c r="FQ97" s="263"/>
      <c r="FR97" s="263"/>
      <c r="FS97" s="263"/>
      <c r="FT97" s="263"/>
      <c r="FU97" s="263"/>
      <c r="FV97" s="263"/>
      <c r="FW97" s="263"/>
      <c r="FX97" s="263"/>
      <c r="FY97" s="263"/>
      <c r="FZ97" s="263"/>
      <c r="GA97" s="263"/>
      <c r="GB97" s="263"/>
      <c r="GC97" s="263"/>
      <c r="GD97" s="263"/>
      <c r="GE97" s="263"/>
      <c r="GF97" s="263"/>
      <c r="GG97" s="263"/>
      <c r="GH97" s="263"/>
      <c r="GI97" s="263"/>
      <c r="GJ97" s="263"/>
      <c r="GK97" s="263"/>
      <c r="GL97" s="263"/>
      <c r="GM97" s="263"/>
      <c r="GN97" s="263"/>
      <c r="GO97" s="263"/>
      <c r="GP97" s="263"/>
      <c r="GQ97" s="263"/>
      <c r="GR97" s="263"/>
      <c r="GS97" s="263"/>
      <c r="GT97" s="263"/>
      <c r="GU97" s="263"/>
      <c r="GV97" s="263"/>
      <c r="GW97" s="263"/>
      <c r="GX97" s="263"/>
      <c r="GY97" s="263"/>
      <c r="GZ97" s="263"/>
      <c r="HA97" s="263"/>
      <c r="HB97" s="263"/>
      <c r="HC97" s="263"/>
      <c r="HD97" s="263"/>
      <c r="HE97" s="263"/>
      <c r="HF97" s="263"/>
      <c r="HG97" s="263"/>
      <c r="HH97" s="263"/>
      <c r="HI97" s="263"/>
      <c r="HJ97" s="263"/>
      <c r="HK97" s="263"/>
      <c r="HL97" s="263"/>
      <c r="HM97" s="263"/>
      <c r="HN97" s="263"/>
      <c r="HO97" s="263"/>
      <c r="HP97" s="263"/>
      <c r="HQ97" s="263"/>
      <c r="HR97" s="263"/>
      <c r="HS97" s="263"/>
      <c r="HT97" s="263"/>
      <c r="HU97" s="263"/>
      <c r="HV97" s="263"/>
      <c r="HW97" s="263"/>
      <c r="HX97" s="263"/>
      <c r="HY97" s="263"/>
      <c r="HZ97" s="263"/>
      <c r="IA97" s="263"/>
      <c r="IB97" s="263"/>
      <c r="IC97" s="263"/>
      <c r="ID97" s="263"/>
      <c r="IE97" s="263"/>
      <c r="IF97" s="263"/>
      <c r="IG97" s="263"/>
      <c r="IH97" s="263"/>
      <c r="II97" s="263"/>
      <c r="IJ97" s="263"/>
      <c r="IK97" s="263"/>
      <c r="IL97" s="263"/>
      <c r="IM97" s="263"/>
      <c r="IN97" s="263"/>
      <c r="IO97" s="263"/>
      <c r="IP97" s="263"/>
      <c r="IQ97" s="263"/>
      <c r="IR97" s="263"/>
      <c r="IS97" s="263"/>
      <c r="IT97" s="263"/>
      <c r="IU97" s="263"/>
    </row>
    <row r="98" spans="1:255" ht="15.6">
      <c r="A98" s="263"/>
      <c r="B98" s="263"/>
      <c r="C98" s="263"/>
      <c r="D98" s="263"/>
      <c r="E98" s="263"/>
      <c r="F98" s="263"/>
      <c r="G98" s="263"/>
      <c r="H98" s="263"/>
      <c r="I98" s="263"/>
      <c r="J98" s="263"/>
      <c r="K98" s="263"/>
      <c r="L98" s="263"/>
      <c r="M98" s="263"/>
      <c r="N98" s="263"/>
      <c r="O98" s="263"/>
      <c r="P98" s="263"/>
      <c r="Q98" s="263"/>
      <c r="R98" s="263"/>
      <c r="S98" s="263"/>
      <c r="T98" s="263"/>
      <c r="U98" s="263"/>
      <c r="V98" s="263"/>
      <c r="W98" s="263"/>
      <c r="X98" s="263"/>
      <c r="Y98" s="263"/>
      <c r="Z98" s="263"/>
      <c r="AA98" s="263"/>
      <c r="AB98" s="263"/>
      <c r="AC98" s="263"/>
      <c r="AD98" s="263"/>
      <c r="AE98" s="263"/>
      <c r="AF98" s="263"/>
      <c r="AG98" s="263"/>
      <c r="AH98" s="263"/>
      <c r="AI98" s="263"/>
      <c r="AJ98" s="263"/>
      <c r="AK98" s="263"/>
      <c r="AL98" s="263"/>
      <c r="AM98" s="263"/>
      <c r="AN98" s="263"/>
      <c r="AO98" s="263"/>
      <c r="AP98" s="263"/>
      <c r="AQ98" s="263"/>
      <c r="AR98" s="263"/>
      <c r="AS98" s="263"/>
      <c r="AT98" s="263"/>
      <c r="AU98" s="263"/>
      <c r="AV98" s="263"/>
      <c r="AW98" s="263"/>
      <c r="AX98" s="263"/>
      <c r="AY98" s="263"/>
      <c r="AZ98" s="263"/>
      <c r="BA98" s="263"/>
      <c r="BB98" s="263"/>
      <c r="BC98" s="263"/>
      <c r="BD98" s="263"/>
      <c r="BE98" s="263"/>
      <c r="BF98" s="263"/>
      <c r="BG98" s="263"/>
      <c r="BH98" s="263"/>
      <c r="BI98" s="263"/>
      <c r="BJ98" s="263"/>
      <c r="BK98" s="263"/>
      <c r="BL98" s="263"/>
      <c r="BM98" s="263"/>
      <c r="BN98" s="263"/>
      <c r="BO98" s="263"/>
      <c r="BP98" s="263"/>
      <c r="BQ98" s="263"/>
      <c r="BR98" s="263"/>
      <c r="BS98" s="263"/>
      <c r="BT98" s="263"/>
      <c r="BU98" s="263"/>
      <c r="BV98" s="263"/>
      <c r="BW98" s="263"/>
      <c r="BX98" s="263"/>
      <c r="BY98" s="263"/>
      <c r="BZ98" s="263"/>
      <c r="CA98" s="263"/>
      <c r="CB98" s="263"/>
      <c r="CC98" s="263"/>
      <c r="CD98" s="263"/>
      <c r="CE98" s="263"/>
      <c r="CF98" s="263"/>
      <c r="CG98" s="263"/>
      <c r="CH98" s="263"/>
      <c r="CI98" s="263"/>
      <c r="CJ98" s="263"/>
      <c r="CK98" s="263"/>
      <c r="CL98" s="263"/>
      <c r="CM98" s="263"/>
      <c r="CN98" s="263"/>
      <c r="CO98" s="263"/>
      <c r="CP98" s="263"/>
      <c r="CQ98" s="263"/>
      <c r="CR98" s="263"/>
      <c r="CS98" s="263"/>
      <c r="CT98" s="263"/>
      <c r="CU98" s="263"/>
      <c r="CV98" s="263"/>
      <c r="CW98" s="263"/>
      <c r="CX98" s="263"/>
      <c r="CY98" s="263"/>
      <c r="CZ98" s="263"/>
      <c r="DA98" s="263"/>
      <c r="DB98" s="263"/>
      <c r="DC98" s="263"/>
      <c r="DD98" s="263"/>
      <c r="DE98" s="263"/>
      <c r="DF98" s="263"/>
      <c r="DG98" s="263"/>
      <c r="DH98" s="263"/>
      <c r="DI98" s="263"/>
      <c r="DJ98" s="263"/>
      <c r="DK98" s="263"/>
      <c r="DL98" s="263"/>
      <c r="DM98" s="263"/>
      <c r="DN98" s="263"/>
      <c r="DO98" s="263"/>
      <c r="DP98" s="263"/>
      <c r="DQ98" s="263"/>
      <c r="DR98" s="263"/>
      <c r="DS98" s="263"/>
      <c r="DT98" s="263"/>
      <c r="DU98" s="263"/>
      <c r="DV98" s="263"/>
      <c r="DW98" s="263"/>
      <c r="DX98" s="263"/>
      <c r="DY98" s="263"/>
      <c r="DZ98" s="263"/>
      <c r="EA98" s="263"/>
      <c r="EB98" s="263"/>
      <c r="EC98" s="263"/>
      <c r="ED98" s="263"/>
      <c r="EE98" s="263"/>
      <c r="EF98" s="263"/>
      <c r="EG98" s="263"/>
      <c r="EH98" s="263"/>
      <c r="EI98" s="263"/>
      <c r="EJ98" s="263"/>
      <c r="EK98" s="263"/>
      <c r="EL98" s="263"/>
      <c r="EM98" s="263"/>
      <c r="EN98" s="263"/>
      <c r="EO98" s="263"/>
      <c r="EP98" s="263"/>
      <c r="EQ98" s="263"/>
      <c r="ER98" s="263"/>
      <c r="ES98" s="263"/>
      <c r="ET98" s="263"/>
      <c r="EU98" s="263"/>
      <c r="EV98" s="263"/>
      <c r="EW98" s="263"/>
      <c r="EX98" s="263"/>
      <c r="EY98" s="263"/>
      <c r="EZ98" s="263"/>
      <c r="FA98" s="263"/>
      <c r="FB98" s="263"/>
      <c r="FC98" s="263"/>
      <c r="FD98" s="263"/>
      <c r="FE98" s="263"/>
      <c r="FF98" s="263"/>
      <c r="FG98" s="263"/>
      <c r="FH98" s="263"/>
      <c r="FI98" s="263"/>
      <c r="FJ98" s="263"/>
      <c r="FK98" s="263"/>
      <c r="FL98" s="263"/>
      <c r="FM98" s="263"/>
      <c r="FN98" s="263"/>
      <c r="FO98" s="263"/>
      <c r="FP98" s="263"/>
      <c r="FQ98" s="263"/>
      <c r="FR98" s="263"/>
      <c r="FS98" s="263"/>
      <c r="FT98" s="263"/>
      <c r="FU98" s="263"/>
      <c r="FV98" s="263"/>
      <c r="FW98" s="263"/>
      <c r="FX98" s="263"/>
      <c r="FY98" s="263"/>
      <c r="FZ98" s="263"/>
      <c r="GA98" s="263"/>
      <c r="GB98" s="263"/>
      <c r="GC98" s="263"/>
      <c r="GD98" s="263"/>
      <c r="GE98" s="263"/>
      <c r="GF98" s="263"/>
      <c r="GG98" s="263"/>
      <c r="GH98" s="263"/>
      <c r="GI98" s="263"/>
      <c r="GJ98" s="263"/>
      <c r="GK98" s="263"/>
      <c r="GL98" s="263"/>
      <c r="GM98" s="263"/>
      <c r="GN98" s="263"/>
      <c r="GO98" s="263"/>
      <c r="GP98" s="263"/>
      <c r="GQ98" s="263"/>
      <c r="GR98" s="263"/>
      <c r="GS98" s="263"/>
      <c r="GT98" s="263"/>
      <c r="GU98" s="263"/>
      <c r="GV98" s="263"/>
      <c r="GW98" s="263"/>
      <c r="GX98" s="263"/>
      <c r="GY98" s="263"/>
      <c r="GZ98" s="263"/>
      <c r="HA98" s="263"/>
      <c r="HB98" s="263"/>
      <c r="HC98" s="263"/>
      <c r="HD98" s="263"/>
      <c r="HE98" s="263"/>
      <c r="HF98" s="263"/>
      <c r="HG98" s="263"/>
      <c r="HH98" s="263"/>
      <c r="HI98" s="263"/>
      <c r="HJ98" s="263"/>
      <c r="HK98" s="263"/>
      <c r="HL98" s="263"/>
      <c r="HM98" s="263"/>
      <c r="HN98" s="263"/>
      <c r="HO98" s="263"/>
      <c r="HP98" s="263"/>
      <c r="HQ98" s="263"/>
      <c r="HR98" s="263"/>
      <c r="HS98" s="263"/>
      <c r="HT98" s="263"/>
      <c r="HU98" s="263"/>
      <c r="HV98" s="263"/>
      <c r="HW98" s="263"/>
      <c r="HX98" s="263"/>
      <c r="HY98" s="263"/>
      <c r="HZ98" s="263"/>
      <c r="IA98" s="263"/>
      <c r="IB98" s="263"/>
      <c r="IC98" s="263"/>
      <c r="ID98" s="263"/>
      <c r="IE98" s="263"/>
      <c r="IF98" s="263"/>
      <c r="IG98" s="263"/>
      <c r="IH98" s="263"/>
      <c r="II98" s="263"/>
      <c r="IJ98" s="263"/>
      <c r="IK98" s="263"/>
      <c r="IL98" s="263"/>
      <c r="IM98" s="263"/>
      <c r="IN98" s="263"/>
      <c r="IO98" s="263"/>
      <c r="IP98" s="263"/>
      <c r="IQ98" s="263"/>
      <c r="IR98" s="263"/>
      <c r="IS98" s="263"/>
      <c r="IT98" s="263"/>
      <c r="IU98" s="263"/>
    </row>
    <row r="99" spans="1:255" ht="15.6">
      <c r="A99" s="263"/>
      <c r="B99" s="263"/>
      <c r="C99" s="263"/>
      <c r="D99" s="263"/>
      <c r="E99" s="263"/>
      <c r="F99" s="263"/>
      <c r="G99" s="263"/>
      <c r="H99" s="263"/>
      <c r="I99" s="263"/>
      <c r="J99" s="263"/>
      <c r="K99" s="263"/>
      <c r="L99" s="263"/>
      <c r="M99" s="263"/>
      <c r="N99" s="263"/>
      <c r="O99" s="263"/>
      <c r="P99" s="263"/>
      <c r="Q99" s="263"/>
      <c r="R99" s="263"/>
      <c r="S99" s="263"/>
      <c r="T99" s="263"/>
      <c r="U99" s="263"/>
      <c r="V99" s="263"/>
      <c r="W99" s="263"/>
      <c r="X99" s="263"/>
      <c r="Y99" s="263"/>
      <c r="Z99" s="263"/>
      <c r="AA99" s="263"/>
      <c r="AB99" s="263"/>
      <c r="AC99" s="263"/>
      <c r="AD99" s="263"/>
      <c r="AE99" s="263"/>
      <c r="AF99" s="263"/>
      <c r="AG99" s="263"/>
      <c r="AH99" s="263"/>
      <c r="AI99" s="263"/>
      <c r="AJ99" s="263"/>
      <c r="AK99" s="263"/>
      <c r="AL99" s="263"/>
      <c r="AM99" s="263"/>
      <c r="AN99" s="263"/>
      <c r="AO99" s="263"/>
      <c r="AP99" s="263"/>
      <c r="AQ99" s="263"/>
      <c r="AR99" s="263"/>
      <c r="AS99" s="263"/>
      <c r="AT99" s="263"/>
      <c r="AU99" s="263"/>
      <c r="AV99" s="263"/>
      <c r="AW99" s="263"/>
      <c r="AX99" s="263"/>
      <c r="AY99" s="263"/>
      <c r="AZ99" s="263"/>
      <c r="BA99" s="263"/>
      <c r="BB99" s="263"/>
      <c r="BC99" s="263"/>
      <c r="BD99" s="263"/>
      <c r="BE99" s="263"/>
      <c r="BF99" s="263"/>
      <c r="BG99" s="263"/>
      <c r="BH99" s="263"/>
      <c r="BI99" s="263"/>
      <c r="BJ99" s="263"/>
      <c r="BK99" s="263"/>
      <c r="BL99" s="263"/>
      <c r="BM99" s="263"/>
      <c r="BN99" s="263"/>
      <c r="BO99" s="263"/>
      <c r="BP99" s="263"/>
      <c r="BQ99" s="263"/>
      <c r="BR99" s="263"/>
      <c r="BS99" s="263"/>
      <c r="BT99" s="263"/>
      <c r="BU99" s="263"/>
      <c r="BV99" s="263"/>
      <c r="BW99" s="263"/>
      <c r="BX99" s="263"/>
      <c r="BY99" s="263"/>
      <c r="BZ99" s="263"/>
      <c r="CA99" s="263"/>
      <c r="CB99" s="263"/>
      <c r="CC99" s="263"/>
      <c r="CD99" s="263"/>
      <c r="CE99" s="263"/>
      <c r="CF99" s="263"/>
      <c r="CG99" s="263"/>
      <c r="CH99" s="263"/>
      <c r="CI99" s="263"/>
      <c r="CJ99" s="263"/>
      <c r="CK99" s="263"/>
      <c r="CL99" s="263"/>
      <c r="CM99" s="263"/>
      <c r="CN99" s="263"/>
      <c r="CO99" s="263"/>
      <c r="CP99" s="263"/>
      <c r="CQ99" s="263"/>
      <c r="CR99" s="263"/>
      <c r="CS99" s="263"/>
      <c r="CT99" s="263"/>
      <c r="CU99" s="263"/>
      <c r="CV99" s="263"/>
      <c r="CW99" s="263"/>
      <c r="CX99" s="263"/>
      <c r="CY99" s="263"/>
      <c r="CZ99" s="263"/>
      <c r="DA99" s="263"/>
      <c r="DB99" s="263"/>
      <c r="DC99" s="263"/>
      <c r="DD99" s="263"/>
      <c r="DE99" s="263"/>
      <c r="DF99" s="263"/>
      <c r="DG99" s="263"/>
      <c r="DH99" s="263"/>
      <c r="DI99" s="263"/>
      <c r="DJ99" s="263"/>
      <c r="DK99" s="263"/>
      <c r="DL99" s="263"/>
      <c r="DM99" s="263"/>
      <c r="DN99" s="263"/>
      <c r="DO99" s="263"/>
      <c r="DP99" s="263"/>
      <c r="DQ99" s="263"/>
      <c r="DR99" s="263"/>
      <c r="DS99" s="263"/>
      <c r="DT99" s="263"/>
      <c r="DU99" s="263"/>
      <c r="DV99" s="263"/>
      <c r="DW99" s="263"/>
      <c r="DX99" s="263"/>
      <c r="DY99" s="263"/>
      <c r="DZ99" s="263"/>
      <c r="EA99" s="263"/>
      <c r="EB99" s="263"/>
      <c r="EC99" s="263"/>
      <c r="ED99" s="263"/>
      <c r="EE99" s="263"/>
      <c r="EF99" s="263"/>
      <c r="EG99" s="263"/>
      <c r="EH99" s="263"/>
      <c r="EI99" s="263"/>
      <c r="EJ99" s="263"/>
      <c r="EK99" s="263"/>
      <c r="EL99" s="263"/>
      <c r="EM99" s="263"/>
      <c r="EN99" s="263"/>
      <c r="EO99" s="263"/>
      <c r="EP99" s="263"/>
      <c r="EQ99" s="263"/>
      <c r="ER99" s="263"/>
      <c r="ES99" s="263"/>
      <c r="ET99" s="263"/>
      <c r="EU99" s="263"/>
      <c r="EV99" s="263"/>
      <c r="EW99" s="263"/>
      <c r="EX99" s="263"/>
      <c r="EY99" s="263"/>
      <c r="EZ99" s="263"/>
      <c r="FA99" s="263"/>
      <c r="FB99" s="263"/>
      <c r="FC99" s="263"/>
      <c r="FD99" s="263"/>
      <c r="FE99" s="263"/>
      <c r="FF99" s="263"/>
      <c r="FG99" s="263"/>
      <c r="FH99" s="263"/>
      <c r="FI99" s="263"/>
      <c r="FJ99" s="263"/>
      <c r="FK99" s="263"/>
      <c r="FL99" s="263"/>
      <c r="FM99" s="263"/>
      <c r="FN99" s="263"/>
      <c r="FO99" s="263"/>
      <c r="FP99" s="263"/>
      <c r="FQ99" s="263"/>
      <c r="FR99" s="263"/>
      <c r="FS99" s="263"/>
      <c r="FT99" s="263"/>
      <c r="FU99" s="263"/>
      <c r="FV99" s="263"/>
      <c r="FW99" s="263"/>
      <c r="FX99" s="263"/>
      <c r="FY99" s="263"/>
      <c r="FZ99" s="263"/>
      <c r="GA99" s="263"/>
      <c r="GB99" s="263"/>
      <c r="GC99" s="263"/>
      <c r="GD99" s="263"/>
      <c r="GE99" s="263"/>
      <c r="GF99" s="263"/>
      <c r="GG99" s="263"/>
      <c r="GH99" s="263"/>
      <c r="GI99" s="263"/>
      <c r="GJ99" s="263"/>
      <c r="GK99" s="263"/>
      <c r="GL99" s="263"/>
      <c r="GM99" s="263"/>
      <c r="GN99" s="263"/>
      <c r="GO99" s="263"/>
      <c r="GP99" s="263"/>
      <c r="GQ99" s="263"/>
      <c r="GR99" s="263"/>
      <c r="GS99" s="263"/>
      <c r="GT99" s="263"/>
      <c r="GU99" s="263"/>
      <c r="GV99" s="263"/>
      <c r="GW99" s="263"/>
      <c r="GX99" s="263"/>
      <c r="GY99" s="263"/>
      <c r="GZ99" s="263"/>
      <c r="HA99" s="263"/>
      <c r="HB99" s="263"/>
      <c r="HC99" s="263"/>
      <c r="HD99" s="263"/>
      <c r="HE99" s="263"/>
      <c r="HF99" s="263"/>
      <c r="HG99" s="263"/>
      <c r="HH99" s="263"/>
      <c r="HI99" s="263"/>
      <c r="HJ99" s="263"/>
      <c r="HK99" s="263"/>
      <c r="HL99" s="263"/>
      <c r="HM99" s="263"/>
      <c r="HN99" s="263"/>
      <c r="HO99" s="263"/>
      <c r="HP99" s="263"/>
      <c r="HQ99" s="263"/>
      <c r="HR99" s="263"/>
      <c r="HS99" s="263"/>
      <c r="HT99" s="263"/>
      <c r="HU99" s="263"/>
      <c r="HV99" s="263"/>
      <c r="HW99" s="263"/>
      <c r="HX99" s="263"/>
      <c r="HY99" s="263"/>
      <c r="HZ99" s="263"/>
      <c r="IA99" s="263"/>
      <c r="IB99" s="263"/>
      <c r="IC99" s="263"/>
      <c r="ID99" s="263"/>
      <c r="IE99" s="263"/>
      <c r="IF99" s="263"/>
      <c r="IG99" s="263"/>
      <c r="IH99" s="263"/>
      <c r="II99" s="263"/>
      <c r="IJ99" s="263"/>
      <c r="IK99" s="263"/>
      <c r="IL99" s="263"/>
      <c r="IM99" s="263"/>
      <c r="IN99" s="263"/>
      <c r="IO99" s="263"/>
      <c r="IP99" s="263"/>
      <c r="IQ99" s="263"/>
      <c r="IR99" s="263"/>
      <c r="IS99" s="263"/>
      <c r="IT99" s="263"/>
      <c r="IU99" s="263"/>
    </row>
    <row r="100" spans="1:255" ht="15.6">
      <c r="A100" s="263"/>
      <c r="B100" s="263"/>
      <c r="C100" s="263"/>
      <c r="D100" s="263"/>
      <c r="E100" s="263"/>
      <c r="F100" s="263"/>
      <c r="G100" s="263"/>
      <c r="H100" s="263"/>
      <c r="I100" s="263"/>
      <c r="J100" s="263"/>
      <c r="K100" s="263"/>
      <c r="L100" s="263"/>
      <c r="M100" s="263"/>
      <c r="N100" s="263"/>
      <c r="O100" s="263"/>
      <c r="P100" s="263"/>
      <c r="Q100" s="263"/>
      <c r="R100" s="263"/>
      <c r="S100" s="263"/>
      <c r="T100" s="263"/>
      <c r="U100" s="263"/>
      <c r="V100" s="263"/>
      <c r="W100" s="263"/>
      <c r="X100" s="263"/>
      <c r="Y100" s="263"/>
      <c r="Z100" s="263"/>
      <c r="AA100" s="263"/>
      <c r="AB100" s="263"/>
      <c r="AC100" s="263"/>
      <c r="AD100" s="263"/>
      <c r="AE100" s="263"/>
      <c r="AF100" s="263"/>
      <c r="AG100" s="263"/>
      <c r="AH100" s="263"/>
      <c r="AI100" s="263"/>
      <c r="AJ100" s="263"/>
      <c r="AK100" s="263"/>
      <c r="AL100" s="263"/>
      <c r="AM100" s="263"/>
      <c r="AN100" s="263"/>
      <c r="AO100" s="263"/>
      <c r="AP100" s="263"/>
      <c r="AQ100" s="263"/>
      <c r="AR100" s="263"/>
      <c r="AS100" s="263"/>
      <c r="AT100" s="263"/>
      <c r="AU100" s="263"/>
      <c r="AV100" s="263"/>
      <c r="AW100" s="263"/>
      <c r="AX100" s="263"/>
      <c r="AY100" s="263"/>
      <c r="AZ100" s="263"/>
      <c r="BA100" s="263"/>
      <c r="BB100" s="263"/>
      <c r="BC100" s="263"/>
      <c r="BD100" s="263"/>
      <c r="BE100" s="263"/>
      <c r="BF100" s="263"/>
      <c r="BG100" s="263"/>
      <c r="BH100" s="263"/>
      <c r="BI100" s="263"/>
      <c r="BJ100" s="263"/>
      <c r="BK100" s="263"/>
      <c r="BL100" s="263"/>
      <c r="BM100" s="263"/>
      <c r="BN100" s="263"/>
      <c r="BO100" s="263"/>
      <c r="BP100" s="263"/>
      <c r="BQ100" s="263"/>
      <c r="BR100" s="263"/>
      <c r="BS100" s="263"/>
      <c r="BT100" s="263"/>
      <c r="BU100" s="263"/>
      <c r="BV100" s="263"/>
      <c r="BW100" s="263"/>
      <c r="BX100" s="263"/>
      <c r="BY100" s="263"/>
      <c r="BZ100" s="263"/>
      <c r="CA100" s="263"/>
      <c r="CB100" s="263"/>
      <c r="CC100" s="263"/>
      <c r="CD100" s="263"/>
      <c r="CE100" s="263"/>
      <c r="CF100" s="263"/>
      <c r="CG100" s="263"/>
      <c r="CH100" s="263"/>
      <c r="CI100" s="263"/>
      <c r="CJ100" s="263"/>
      <c r="CK100" s="263"/>
      <c r="CL100" s="263"/>
      <c r="CM100" s="263"/>
      <c r="CN100" s="263"/>
      <c r="CO100" s="263"/>
      <c r="CP100" s="263"/>
      <c r="CQ100" s="263"/>
      <c r="CR100" s="263"/>
      <c r="CS100" s="263"/>
      <c r="CT100" s="263"/>
      <c r="CU100" s="263"/>
      <c r="CV100" s="263"/>
      <c r="CW100" s="263"/>
      <c r="CX100" s="263"/>
      <c r="CY100" s="263"/>
      <c r="CZ100" s="263"/>
      <c r="DA100" s="263"/>
      <c r="DB100" s="263"/>
      <c r="DC100" s="263"/>
      <c r="DD100" s="263"/>
      <c r="DE100" s="263"/>
      <c r="DF100" s="263"/>
      <c r="DG100" s="263"/>
      <c r="DH100" s="263"/>
      <c r="DI100" s="263"/>
      <c r="DJ100" s="263"/>
      <c r="DK100" s="263"/>
      <c r="DL100" s="263"/>
      <c r="DM100" s="263"/>
      <c r="DN100" s="263"/>
      <c r="DO100" s="263"/>
      <c r="DP100" s="263"/>
      <c r="DQ100" s="263"/>
      <c r="DR100" s="263"/>
      <c r="DS100" s="263"/>
      <c r="DT100" s="263"/>
      <c r="DU100" s="263"/>
      <c r="DV100" s="263"/>
      <c r="DW100" s="263"/>
      <c r="DX100" s="263"/>
      <c r="DY100" s="263"/>
      <c r="DZ100" s="263"/>
      <c r="EA100" s="263"/>
      <c r="EB100" s="263"/>
      <c r="EC100" s="263"/>
      <c r="ED100" s="263"/>
      <c r="EE100" s="263"/>
      <c r="EF100" s="263"/>
      <c r="EG100" s="263"/>
      <c r="EH100" s="263"/>
      <c r="EI100" s="263"/>
      <c r="EJ100" s="263"/>
      <c r="EK100" s="263"/>
      <c r="EL100" s="263"/>
      <c r="EM100" s="263"/>
      <c r="EN100" s="263"/>
      <c r="EO100" s="263"/>
      <c r="EP100" s="263"/>
      <c r="EQ100" s="263"/>
      <c r="ER100" s="263"/>
      <c r="ES100" s="263"/>
      <c r="ET100" s="263"/>
      <c r="EU100" s="263"/>
      <c r="EV100" s="263"/>
      <c r="EW100" s="263"/>
      <c r="EX100" s="263"/>
      <c r="EY100" s="263"/>
      <c r="EZ100" s="263"/>
      <c r="FA100" s="263"/>
      <c r="FB100" s="263"/>
      <c r="FC100" s="263"/>
      <c r="FD100" s="263"/>
      <c r="FE100" s="263"/>
      <c r="FF100" s="263"/>
      <c r="FG100" s="263"/>
      <c r="FH100" s="263"/>
      <c r="FI100" s="263"/>
      <c r="FJ100" s="263"/>
      <c r="FK100" s="263"/>
      <c r="FL100" s="263"/>
      <c r="FM100" s="263"/>
      <c r="FN100" s="263"/>
      <c r="FO100" s="263"/>
      <c r="FP100" s="263"/>
      <c r="FQ100" s="263"/>
      <c r="FR100" s="263"/>
      <c r="FS100" s="263"/>
      <c r="FT100" s="263"/>
      <c r="FU100" s="263"/>
      <c r="FV100" s="263"/>
      <c r="FW100" s="263"/>
      <c r="FX100" s="263"/>
      <c r="FY100" s="263"/>
      <c r="FZ100" s="263"/>
      <c r="GA100" s="263"/>
      <c r="GB100" s="263"/>
      <c r="GC100" s="263"/>
      <c r="GD100" s="263"/>
      <c r="GE100" s="263"/>
      <c r="GF100" s="263"/>
      <c r="GG100" s="263"/>
      <c r="GH100" s="263"/>
      <c r="GI100" s="263"/>
      <c r="GJ100" s="263"/>
      <c r="GK100" s="263"/>
      <c r="GL100" s="263"/>
      <c r="GM100" s="263"/>
      <c r="GN100" s="263"/>
      <c r="GO100" s="263"/>
      <c r="GP100" s="263"/>
      <c r="GQ100" s="263"/>
      <c r="GR100" s="263"/>
      <c r="GS100" s="263"/>
      <c r="GT100" s="263"/>
      <c r="GU100" s="263"/>
      <c r="GV100" s="263"/>
      <c r="GW100" s="263"/>
      <c r="GX100" s="263"/>
      <c r="GY100" s="263"/>
      <c r="GZ100" s="263"/>
      <c r="HA100" s="263"/>
      <c r="HB100" s="263"/>
      <c r="HC100" s="263"/>
      <c r="HD100" s="263"/>
      <c r="HE100" s="263"/>
      <c r="HF100" s="263"/>
      <c r="HG100" s="263"/>
      <c r="HH100" s="263"/>
      <c r="HI100" s="263"/>
      <c r="HJ100" s="263"/>
      <c r="HK100" s="263"/>
      <c r="HL100" s="263"/>
      <c r="HM100" s="263"/>
      <c r="HN100" s="263"/>
      <c r="HO100" s="263"/>
      <c r="HP100" s="263"/>
      <c r="HQ100" s="263"/>
      <c r="HR100" s="263"/>
      <c r="HS100" s="263"/>
      <c r="HT100" s="263"/>
      <c r="HU100" s="263"/>
      <c r="HV100" s="263"/>
      <c r="HW100" s="263"/>
      <c r="HX100" s="263"/>
      <c r="HY100" s="263"/>
      <c r="HZ100" s="263"/>
      <c r="IA100" s="263"/>
      <c r="IB100" s="263"/>
      <c r="IC100" s="263"/>
      <c r="ID100" s="263"/>
      <c r="IE100" s="263"/>
      <c r="IF100" s="263"/>
      <c r="IG100" s="263"/>
      <c r="IH100" s="263"/>
      <c r="II100" s="263"/>
      <c r="IJ100" s="263"/>
      <c r="IK100" s="263"/>
      <c r="IL100" s="263"/>
      <c r="IM100" s="263"/>
      <c r="IN100" s="263"/>
      <c r="IO100" s="263"/>
      <c r="IP100" s="263"/>
      <c r="IQ100" s="263"/>
      <c r="IR100" s="263"/>
      <c r="IS100" s="263"/>
      <c r="IT100" s="263"/>
      <c r="IU100" s="263"/>
    </row>
    <row r="101" spans="1:255" ht="15.6">
      <c r="A101" s="263"/>
      <c r="B101" s="263"/>
      <c r="C101" s="263"/>
      <c r="D101" s="263"/>
      <c r="E101" s="263"/>
      <c r="F101" s="263"/>
      <c r="G101" s="263"/>
      <c r="H101" s="263"/>
      <c r="I101" s="263"/>
      <c r="J101" s="263"/>
      <c r="K101" s="263"/>
      <c r="L101" s="263"/>
      <c r="M101" s="263"/>
      <c r="N101" s="263"/>
      <c r="O101" s="263"/>
      <c r="P101" s="263"/>
      <c r="Q101" s="263"/>
      <c r="R101" s="263"/>
      <c r="S101" s="263"/>
      <c r="T101" s="263"/>
      <c r="U101" s="263"/>
      <c r="V101" s="263"/>
      <c r="W101" s="263"/>
      <c r="X101" s="263"/>
      <c r="Y101" s="263"/>
      <c r="Z101" s="263"/>
      <c r="AA101" s="263"/>
      <c r="AB101" s="263"/>
      <c r="AC101" s="263"/>
      <c r="AD101" s="263"/>
      <c r="AE101" s="263"/>
      <c r="AF101" s="263"/>
      <c r="AG101" s="263"/>
      <c r="AH101" s="263"/>
      <c r="AI101" s="263"/>
      <c r="AJ101" s="263"/>
      <c r="AK101" s="263"/>
      <c r="AL101" s="263"/>
      <c r="AM101" s="263"/>
      <c r="AN101" s="263"/>
      <c r="AO101" s="263"/>
      <c r="AP101" s="263"/>
      <c r="AQ101" s="263"/>
      <c r="AR101" s="263"/>
      <c r="AS101" s="263"/>
      <c r="AT101" s="263"/>
      <c r="AU101" s="263"/>
      <c r="AV101" s="263"/>
      <c r="AW101" s="263"/>
      <c r="AX101" s="263"/>
      <c r="AY101" s="263"/>
      <c r="AZ101" s="263"/>
      <c r="BA101" s="263"/>
      <c r="BB101" s="263"/>
      <c r="BC101" s="263"/>
      <c r="BD101" s="263"/>
      <c r="BE101" s="263"/>
      <c r="BF101" s="263"/>
      <c r="BG101" s="263"/>
      <c r="BH101" s="263"/>
      <c r="BI101" s="263"/>
      <c r="BJ101" s="263"/>
      <c r="BK101" s="263"/>
      <c r="BL101" s="263"/>
      <c r="BM101" s="263"/>
      <c r="BN101" s="263"/>
      <c r="BO101" s="263"/>
      <c r="BP101" s="263"/>
      <c r="BQ101" s="263"/>
      <c r="BR101" s="263"/>
      <c r="BS101" s="263"/>
      <c r="BT101" s="263"/>
      <c r="BU101" s="263"/>
      <c r="BV101" s="263"/>
      <c r="BW101" s="263"/>
      <c r="BX101" s="263"/>
      <c r="BY101" s="263"/>
      <c r="BZ101" s="263"/>
      <c r="CA101" s="263"/>
      <c r="CB101" s="263"/>
      <c r="CC101" s="263"/>
      <c r="CD101" s="263"/>
      <c r="CE101" s="263"/>
      <c r="CF101" s="263"/>
      <c r="CG101" s="263"/>
      <c r="CH101" s="263"/>
      <c r="CI101" s="263"/>
      <c r="CJ101" s="263"/>
      <c r="CK101" s="263"/>
      <c r="CL101" s="263"/>
      <c r="CM101" s="263"/>
      <c r="CN101" s="263"/>
      <c r="CO101" s="263"/>
      <c r="CP101" s="263"/>
      <c r="CQ101" s="263"/>
      <c r="CR101" s="263"/>
      <c r="CS101" s="263"/>
      <c r="CT101" s="263"/>
      <c r="CU101" s="263"/>
      <c r="CV101" s="263"/>
      <c r="CW101" s="263"/>
      <c r="CX101" s="263"/>
      <c r="CY101" s="263"/>
      <c r="CZ101" s="263"/>
      <c r="DA101" s="263"/>
      <c r="DB101" s="263"/>
      <c r="DC101" s="263"/>
      <c r="DD101" s="263"/>
      <c r="DE101" s="263"/>
      <c r="DF101" s="263"/>
      <c r="DG101" s="263"/>
      <c r="DH101" s="263"/>
      <c r="DI101" s="263"/>
      <c r="DJ101" s="263"/>
      <c r="DK101" s="263"/>
      <c r="DL101" s="263"/>
      <c r="DM101" s="263"/>
      <c r="DN101" s="263"/>
      <c r="DO101" s="263"/>
      <c r="DP101" s="263"/>
      <c r="DQ101" s="263"/>
      <c r="DR101" s="263"/>
      <c r="DS101" s="263"/>
      <c r="DT101" s="263"/>
      <c r="DU101" s="263"/>
      <c r="DV101" s="263"/>
      <c r="DW101" s="263"/>
      <c r="DX101" s="263"/>
      <c r="DY101" s="263"/>
      <c r="DZ101" s="263"/>
      <c r="EA101" s="263"/>
      <c r="EB101" s="263"/>
      <c r="EC101" s="263"/>
      <c r="ED101" s="263"/>
      <c r="EE101" s="263"/>
      <c r="EF101" s="263"/>
      <c r="EG101" s="263"/>
      <c r="EH101" s="263"/>
      <c r="EI101" s="263"/>
      <c r="EJ101" s="263"/>
      <c r="EK101" s="263"/>
      <c r="EL101" s="263"/>
      <c r="EM101" s="263"/>
      <c r="EN101" s="263"/>
      <c r="EO101" s="263"/>
      <c r="EP101" s="263"/>
      <c r="EQ101" s="263"/>
      <c r="ER101" s="263"/>
      <c r="ES101" s="263"/>
      <c r="ET101" s="263"/>
      <c r="EU101" s="263"/>
      <c r="EV101" s="263"/>
      <c r="EW101" s="263"/>
      <c r="EX101" s="263"/>
      <c r="EY101" s="263"/>
      <c r="EZ101" s="263"/>
      <c r="FA101" s="263"/>
      <c r="FB101" s="263"/>
      <c r="FC101" s="263"/>
      <c r="FD101" s="263"/>
      <c r="FE101" s="263"/>
      <c r="FF101" s="263"/>
      <c r="FG101" s="263"/>
      <c r="FH101" s="263"/>
      <c r="FI101" s="263"/>
      <c r="FJ101" s="263"/>
      <c r="FK101" s="263"/>
      <c r="FL101" s="263"/>
      <c r="FM101" s="263"/>
      <c r="FN101" s="263"/>
      <c r="FO101" s="263"/>
      <c r="FP101" s="263"/>
      <c r="FQ101" s="263"/>
      <c r="FR101" s="263"/>
      <c r="FS101" s="263"/>
      <c r="FT101" s="263"/>
      <c r="FU101" s="263"/>
      <c r="FV101" s="263"/>
      <c r="FW101" s="263"/>
      <c r="FX101" s="263"/>
      <c r="FY101" s="263"/>
      <c r="FZ101" s="263"/>
      <c r="GA101" s="263"/>
      <c r="GB101" s="263"/>
      <c r="GC101" s="263"/>
      <c r="GD101" s="263"/>
      <c r="GE101" s="263"/>
      <c r="GF101" s="263"/>
      <c r="GG101" s="263"/>
      <c r="GH101" s="263"/>
      <c r="GI101" s="263"/>
      <c r="GJ101" s="263"/>
      <c r="GK101" s="263"/>
      <c r="GL101" s="263"/>
      <c r="GM101" s="263"/>
      <c r="GN101" s="263"/>
      <c r="GO101" s="263"/>
      <c r="GP101" s="263"/>
      <c r="GQ101" s="263"/>
      <c r="GR101" s="263"/>
      <c r="GS101" s="263"/>
      <c r="GT101" s="263"/>
      <c r="GU101" s="263"/>
      <c r="GV101" s="263"/>
      <c r="GW101" s="263"/>
      <c r="GX101" s="263"/>
      <c r="GY101" s="263"/>
      <c r="GZ101" s="263"/>
      <c r="HA101" s="263"/>
      <c r="HB101" s="263"/>
      <c r="HC101" s="263"/>
      <c r="HD101" s="263"/>
      <c r="HE101" s="263"/>
      <c r="HF101" s="263"/>
      <c r="HG101" s="263"/>
      <c r="HH101" s="263"/>
      <c r="HI101" s="263"/>
      <c r="HJ101" s="263"/>
      <c r="HK101" s="263"/>
      <c r="HL101" s="263"/>
      <c r="HM101" s="263"/>
      <c r="HN101" s="263"/>
      <c r="HO101" s="263"/>
      <c r="HP101" s="263"/>
      <c r="HQ101" s="263"/>
      <c r="HR101" s="263"/>
      <c r="HS101" s="263"/>
      <c r="HT101" s="263"/>
      <c r="HU101" s="263"/>
      <c r="HV101" s="263"/>
      <c r="HW101" s="263"/>
      <c r="HX101" s="263"/>
      <c r="HY101" s="263"/>
      <c r="HZ101" s="263"/>
      <c r="IA101" s="263"/>
      <c r="IB101" s="263"/>
      <c r="IC101" s="263"/>
      <c r="ID101" s="263"/>
      <c r="IE101" s="263"/>
      <c r="IF101" s="263"/>
      <c r="IG101" s="263"/>
      <c r="IH101" s="263"/>
      <c r="II101" s="263"/>
      <c r="IJ101" s="263"/>
      <c r="IK101" s="263"/>
      <c r="IL101" s="263"/>
      <c r="IM101" s="263"/>
      <c r="IN101" s="263"/>
      <c r="IO101" s="263"/>
      <c r="IP101" s="263"/>
      <c r="IQ101" s="263"/>
      <c r="IR101" s="263"/>
      <c r="IS101" s="263"/>
      <c r="IT101" s="263"/>
      <c r="IU101" s="263"/>
    </row>
    <row r="102" spans="1:255" ht="15.6">
      <c r="A102" s="263"/>
      <c r="B102" s="263"/>
      <c r="C102" s="263"/>
      <c r="D102" s="263"/>
      <c r="E102" s="263"/>
      <c r="F102" s="263"/>
      <c r="G102" s="263"/>
      <c r="H102" s="263"/>
      <c r="I102" s="263"/>
      <c r="J102" s="263"/>
      <c r="K102" s="263"/>
      <c r="L102" s="263"/>
      <c r="M102" s="263"/>
      <c r="N102" s="263"/>
      <c r="O102" s="263"/>
      <c r="P102" s="263"/>
      <c r="Q102" s="263"/>
      <c r="R102" s="263"/>
      <c r="S102" s="263"/>
      <c r="T102" s="263"/>
      <c r="U102" s="263"/>
      <c r="V102" s="263"/>
      <c r="W102" s="263"/>
      <c r="X102" s="263"/>
      <c r="Y102" s="263"/>
      <c r="Z102" s="263"/>
      <c r="AA102" s="263"/>
      <c r="AB102" s="263"/>
      <c r="AC102" s="263"/>
      <c r="AD102" s="263"/>
      <c r="AE102" s="263"/>
      <c r="AF102" s="263"/>
      <c r="AG102" s="263"/>
      <c r="AH102" s="263"/>
      <c r="AI102" s="263"/>
      <c r="AJ102" s="263"/>
      <c r="AK102" s="263"/>
      <c r="AL102" s="263"/>
      <c r="AM102" s="263"/>
      <c r="AN102" s="263"/>
      <c r="AO102" s="263"/>
      <c r="AP102" s="263"/>
      <c r="AQ102" s="263"/>
      <c r="AR102" s="263"/>
      <c r="AS102" s="263"/>
      <c r="AT102" s="263"/>
      <c r="AU102" s="263"/>
      <c r="AV102" s="263"/>
      <c r="AW102" s="263"/>
      <c r="AX102" s="263"/>
      <c r="AY102" s="263"/>
      <c r="AZ102" s="263"/>
      <c r="BA102" s="263"/>
      <c r="BB102" s="263"/>
      <c r="BC102" s="263"/>
      <c r="BD102" s="263"/>
      <c r="BE102" s="263"/>
      <c r="BF102" s="263"/>
      <c r="BG102" s="263"/>
      <c r="BH102" s="263"/>
      <c r="BI102" s="263"/>
      <c r="BJ102" s="263"/>
      <c r="BK102" s="263"/>
      <c r="BL102" s="263"/>
      <c r="BM102" s="263"/>
      <c r="BN102" s="263"/>
      <c r="BO102" s="263"/>
      <c r="BP102" s="263"/>
      <c r="BQ102" s="263"/>
      <c r="BR102" s="263"/>
      <c r="BS102" s="263"/>
      <c r="BT102" s="263"/>
      <c r="BU102" s="263"/>
      <c r="BV102" s="263"/>
      <c r="BW102" s="263"/>
      <c r="BX102" s="263"/>
      <c r="BY102" s="263"/>
      <c r="BZ102" s="263"/>
      <c r="CA102" s="263"/>
      <c r="CB102" s="263"/>
      <c r="CC102" s="263"/>
      <c r="CD102" s="263"/>
      <c r="CE102" s="263"/>
      <c r="CF102" s="263"/>
      <c r="CG102" s="263"/>
      <c r="CH102" s="263"/>
      <c r="CI102" s="263"/>
      <c r="CJ102" s="263"/>
      <c r="CK102" s="263"/>
      <c r="CL102" s="263"/>
      <c r="CM102" s="263"/>
      <c r="CN102" s="263"/>
      <c r="CO102" s="263"/>
      <c r="CP102" s="263"/>
      <c r="CQ102" s="263"/>
      <c r="CR102" s="263"/>
      <c r="CS102" s="263"/>
      <c r="CT102" s="263"/>
      <c r="CU102" s="263"/>
      <c r="CV102" s="263"/>
      <c r="CW102" s="263"/>
      <c r="CX102" s="263"/>
      <c r="CY102" s="263"/>
      <c r="CZ102" s="263"/>
      <c r="DA102" s="263"/>
      <c r="DB102" s="263"/>
      <c r="DC102" s="263"/>
      <c r="DD102" s="263"/>
      <c r="DE102" s="263"/>
      <c r="DF102" s="263"/>
      <c r="DG102" s="263"/>
      <c r="DH102" s="263"/>
      <c r="DI102" s="263"/>
      <c r="DJ102" s="263"/>
      <c r="DK102" s="263"/>
      <c r="DL102" s="263"/>
      <c r="DM102" s="263"/>
      <c r="DN102" s="263"/>
      <c r="DO102" s="263"/>
      <c r="DP102" s="263"/>
      <c r="DQ102" s="263"/>
      <c r="DR102" s="263"/>
      <c r="DS102" s="263"/>
      <c r="DT102" s="263"/>
      <c r="DU102" s="263"/>
      <c r="DV102" s="263"/>
      <c r="DW102" s="263"/>
      <c r="DX102" s="263"/>
      <c r="DY102" s="263"/>
      <c r="DZ102" s="263"/>
      <c r="EA102" s="263"/>
      <c r="EB102" s="263"/>
      <c r="EC102" s="263"/>
      <c r="ED102" s="263"/>
      <c r="EE102" s="263"/>
      <c r="EF102" s="263"/>
      <c r="EG102" s="263"/>
      <c r="EH102" s="263"/>
      <c r="EI102" s="263"/>
      <c r="EJ102" s="263"/>
      <c r="EK102" s="263"/>
      <c r="EL102" s="263"/>
      <c r="EM102" s="263"/>
      <c r="EN102" s="263"/>
      <c r="EO102" s="263"/>
      <c r="EP102" s="263"/>
      <c r="EQ102" s="263"/>
      <c r="ER102" s="263"/>
      <c r="ES102" s="263"/>
      <c r="ET102" s="263"/>
      <c r="EU102" s="263"/>
      <c r="EV102" s="263"/>
      <c r="EW102" s="263"/>
      <c r="EX102" s="263"/>
      <c r="EY102" s="263"/>
      <c r="EZ102" s="263"/>
      <c r="FA102" s="263"/>
      <c r="FB102" s="263"/>
      <c r="FC102" s="263"/>
      <c r="FD102" s="263"/>
      <c r="FE102" s="263"/>
      <c r="FF102" s="263"/>
      <c r="FG102" s="263"/>
      <c r="FH102" s="263"/>
      <c r="FI102" s="263"/>
      <c r="FJ102" s="263"/>
      <c r="FK102" s="263"/>
      <c r="FL102" s="263"/>
      <c r="FM102" s="263"/>
      <c r="FN102" s="263"/>
      <c r="FO102" s="263"/>
      <c r="FP102" s="263"/>
      <c r="FQ102" s="263"/>
      <c r="FR102" s="263"/>
      <c r="FS102" s="263"/>
      <c r="FT102" s="263"/>
      <c r="FU102" s="263"/>
      <c r="FV102" s="263"/>
      <c r="FW102" s="263"/>
      <c r="FX102" s="263"/>
      <c r="FY102" s="263"/>
      <c r="FZ102" s="263"/>
      <c r="GA102" s="263"/>
      <c r="GB102" s="263"/>
      <c r="GC102" s="263"/>
      <c r="GD102" s="263"/>
      <c r="GE102" s="263"/>
      <c r="GF102" s="263"/>
      <c r="GG102" s="263"/>
      <c r="GH102" s="263"/>
      <c r="GI102" s="263"/>
      <c r="GJ102" s="263"/>
      <c r="GK102" s="263"/>
      <c r="GL102" s="263"/>
      <c r="GM102" s="263"/>
      <c r="GN102" s="263"/>
      <c r="GO102" s="263"/>
      <c r="GP102" s="263"/>
      <c r="GQ102" s="263"/>
      <c r="GR102" s="263"/>
      <c r="GS102" s="263"/>
      <c r="GT102" s="263"/>
      <c r="GU102" s="263"/>
      <c r="GV102" s="263"/>
      <c r="GW102" s="263"/>
      <c r="GX102" s="263"/>
      <c r="GY102" s="263"/>
      <c r="GZ102" s="263"/>
      <c r="HA102" s="263"/>
      <c r="HB102" s="263"/>
      <c r="HC102" s="263"/>
      <c r="HD102" s="263"/>
      <c r="HE102" s="263"/>
      <c r="HF102" s="263"/>
      <c r="HG102" s="263"/>
      <c r="HH102" s="263"/>
      <c r="HI102" s="263"/>
      <c r="HJ102" s="263"/>
      <c r="HK102" s="263"/>
      <c r="HL102" s="263"/>
      <c r="HM102" s="263"/>
      <c r="HN102" s="263"/>
      <c r="HO102" s="263"/>
      <c r="HP102" s="263"/>
      <c r="HQ102" s="263"/>
      <c r="HR102" s="263"/>
      <c r="HS102" s="263"/>
      <c r="HT102" s="263"/>
      <c r="HU102" s="263"/>
      <c r="HV102" s="263"/>
      <c r="HW102" s="263"/>
      <c r="HX102" s="263"/>
      <c r="HY102" s="263"/>
      <c r="HZ102" s="263"/>
      <c r="IA102" s="263"/>
      <c r="IB102" s="263"/>
      <c r="IC102" s="263"/>
      <c r="ID102" s="263"/>
      <c r="IE102" s="263"/>
      <c r="IF102" s="263"/>
      <c r="IG102" s="263"/>
      <c r="IH102" s="263"/>
      <c r="II102" s="263"/>
      <c r="IJ102" s="263"/>
      <c r="IK102" s="263"/>
      <c r="IL102" s="263"/>
      <c r="IM102" s="263"/>
      <c r="IN102" s="263"/>
      <c r="IO102" s="263"/>
      <c r="IP102" s="263"/>
      <c r="IQ102" s="263"/>
      <c r="IR102" s="263"/>
      <c r="IS102" s="263"/>
      <c r="IT102" s="263"/>
      <c r="IU102" s="263"/>
    </row>
    <row r="103" spans="1:255" ht="15.6">
      <c r="A103" s="263"/>
      <c r="B103" s="263"/>
      <c r="C103" s="263"/>
      <c r="D103" s="263"/>
      <c r="E103" s="263"/>
      <c r="F103" s="263"/>
      <c r="G103" s="263"/>
      <c r="H103" s="263"/>
      <c r="I103" s="263"/>
      <c r="J103" s="263"/>
      <c r="K103" s="263"/>
      <c r="L103" s="263"/>
      <c r="M103" s="263"/>
      <c r="N103" s="263"/>
      <c r="O103" s="263"/>
      <c r="P103" s="263"/>
      <c r="Q103" s="263"/>
      <c r="R103" s="263"/>
      <c r="S103" s="263"/>
      <c r="T103" s="263"/>
      <c r="U103" s="263"/>
      <c r="V103" s="263"/>
      <c r="W103" s="263"/>
      <c r="X103" s="263"/>
      <c r="Y103" s="263"/>
      <c r="Z103" s="263"/>
      <c r="AA103" s="263"/>
      <c r="AB103" s="263"/>
      <c r="AC103" s="263"/>
      <c r="AD103" s="263"/>
      <c r="AE103" s="263"/>
      <c r="AF103" s="263"/>
      <c r="AG103" s="263"/>
      <c r="AH103" s="263"/>
      <c r="AI103" s="263"/>
      <c r="AJ103" s="263"/>
      <c r="AK103" s="263"/>
      <c r="AL103" s="263"/>
      <c r="AM103" s="263"/>
      <c r="AN103" s="263"/>
      <c r="AO103" s="263"/>
      <c r="AP103" s="263"/>
      <c r="AQ103" s="263"/>
      <c r="AR103" s="263"/>
      <c r="AS103" s="263"/>
      <c r="AT103" s="263"/>
      <c r="AU103" s="263"/>
      <c r="AV103" s="263"/>
      <c r="AW103" s="263"/>
      <c r="AX103" s="263"/>
      <c r="AY103" s="263"/>
      <c r="AZ103" s="263"/>
      <c r="BA103" s="263"/>
      <c r="BB103" s="263"/>
      <c r="BC103" s="263"/>
      <c r="BD103" s="263"/>
      <c r="BE103" s="263"/>
      <c r="BF103" s="263"/>
      <c r="BG103" s="263"/>
      <c r="BH103" s="263"/>
      <c r="BI103" s="263"/>
      <c r="BJ103" s="263"/>
      <c r="BK103" s="263"/>
      <c r="BL103" s="263"/>
      <c r="BM103" s="263"/>
      <c r="BN103" s="263"/>
      <c r="BO103" s="263"/>
      <c r="BP103" s="263"/>
      <c r="BQ103" s="263"/>
      <c r="BR103" s="263"/>
      <c r="BS103" s="263"/>
      <c r="BT103" s="263"/>
      <c r="BU103" s="263"/>
      <c r="BV103" s="263"/>
      <c r="BW103" s="263"/>
      <c r="BX103" s="263"/>
      <c r="BY103" s="263"/>
      <c r="BZ103" s="263"/>
      <c r="CA103" s="263"/>
      <c r="CB103" s="263"/>
      <c r="CC103" s="263"/>
      <c r="CD103" s="263"/>
      <c r="CE103" s="263"/>
      <c r="CF103" s="263"/>
      <c r="CG103" s="263"/>
      <c r="CH103" s="263"/>
      <c r="CI103" s="263"/>
      <c r="CJ103" s="263"/>
      <c r="CK103" s="263"/>
      <c r="CL103" s="263"/>
      <c r="CM103" s="263"/>
      <c r="CN103" s="263"/>
      <c r="CO103" s="263"/>
      <c r="CP103" s="263"/>
      <c r="CQ103" s="263"/>
      <c r="CR103" s="263"/>
      <c r="CS103" s="263"/>
      <c r="CT103" s="263"/>
      <c r="CU103" s="263"/>
      <c r="CV103" s="263"/>
      <c r="CW103" s="263"/>
      <c r="CX103" s="263"/>
      <c r="CY103" s="263"/>
      <c r="CZ103" s="263"/>
      <c r="DA103" s="263"/>
      <c r="DB103" s="263"/>
      <c r="DC103" s="263"/>
      <c r="DD103" s="263"/>
      <c r="DE103" s="263"/>
      <c r="DF103" s="263"/>
      <c r="DG103" s="263"/>
      <c r="DH103" s="263"/>
      <c r="DI103" s="263"/>
      <c r="DJ103" s="263"/>
      <c r="DK103" s="263"/>
      <c r="DL103" s="263"/>
      <c r="DM103" s="263"/>
      <c r="DN103" s="263"/>
      <c r="DO103" s="263"/>
      <c r="DP103" s="263"/>
      <c r="DQ103" s="263"/>
      <c r="DR103" s="263"/>
      <c r="DS103" s="263"/>
      <c r="DT103" s="263"/>
      <c r="DU103" s="263"/>
      <c r="DV103" s="263"/>
      <c r="DW103" s="263"/>
      <c r="DX103" s="263"/>
      <c r="DY103" s="263"/>
      <c r="DZ103" s="263"/>
      <c r="EA103" s="263"/>
      <c r="EB103" s="263"/>
      <c r="EC103" s="263"/>
      <c r="ED103" s="263"/>
      <c r="EE103" s="263"/>
      <c r="EF103" s="263"/>
      <c r="EG103" s="263"/>
      <c r="EH103" s="263"/>
      <c r="EI103" s="263"/>
      <c r="EJ103" s="263"/>
      <c r="EK103" s="263"/>
      <c r="EL103" s="263"/>
      <c r="EM103" s="263"/>
      <c r="EN103" s="263"/>
      <c r="EO103" s="263"/>
      <c r="EP103" s="263"/>
      <c r="EQ103" s="263"/>
      <c r="ER103" s="263"/>
      <c r="ES103" s="263"/>
      <c r="ET103" s="263"/>
      <c r="EU103" s="263"/>
      <c r="EV103" s="263"/>
      <c r="EW103" s="263"/>
      <c r="EX103" s="263"/>
      <c r="EY103" s="263"/>
      <c r="EZ103" s="263"/>
      <c r="FA103" s="263"/>
      <c r="FB103" s="263"/>
      <c r="FC103" s="263"/>
      <c r="FD103" s="263"/>
      <c r="FE103" s="263"/>
      <c r="FF103" s="263"/>
      <c r="FG103" s="263"/>
      <c r="FH103" s="263"/>
      <c r="FI103" s="263"/>
      <c r="FJ103" s="263"/>
      <c r="FK103" s="263"/>
      <c r="FL103" s="263"/>
      <c r="FM103" s="263"/>
      <c r="FN103" s="263"/>
      <c r="FO103" s="263"/>
      <c r="FP103" s="263"/>
      <c r="FQ103" s="263"/>
      <c r="FR103" s="263"/>
      <c r="FS103" s="263"/>
      <c r="FT103" s="263"/>
      <c r="FU103" s="263"/>
      <c r="FV103" s="263"/>
      <c r="FW103" s="263"/>
      <c r="FX103" s="263"/>
      <c r="FY103" s="263"/>
      <c r="FZ103" s="263"/>
      <c r="GA103" s="263"/>
      <c r="GB103" s="263"/>
      <c r="GC103" s="263"/>
      <c r="GD103" s="263"/>
      <c r="GE103" s="263"/>
      <c r="GF103" s="263"/>
      <c r="GG103" s="263"/>
      <c r="GH103" s="263"/>
      <c r="GI103" s="263"/>
      <c r="GJ103" s="263"/>
      <c r="GK103" s="263"/>
      <c r="GL103" s="263"/>
      <c r="GM103" s="263"/>
      <c r="GN103" s="263"/>
      <c r="GO103" s="263"/>
      <c r="GP103" s="263"/>
      <c r="GQ103" s="263"/>
      <c r="GR103" s="263"/>
      <c r="GS103" s="263"/>
      <c r="GT103" s="263"/>
      <c r="GU103" s="263"/>
      <c r="GV103" s="263"/>
      <c r="GW103" s="263"/>
      <c r="GX103" s="263"/>
      <c r="GY103" s="263"/>
      <c r="GZ103" s="263"/>
      <c r="HA103" s="263"/>
      <c r="HB103" s="263"/>
      <c r="HC103" s="263"/>
      <c r="HD103" s="263"/>
      <c r="HE103" s="263"/>
      <c r="HF103" s="263"/>
      <c r="HG103" s="263"/>
      <c r="HH103" s="263"/>
      <c r="HI103" s="263"/>
      <c r="HJ103" s="263"/>
      <c r="HK103" s="263"/>
      <c r="HL103" s="263"/>
      <c r="HM103" s="263"/>
      <c r="HN103" s="263"/>
      <c r="HO103" s="263"/>
      <c r="HP103" s="263"/>
      <c r="HQ103" s="263"/>
      <c r="HR103" s="263"/>
      <c r="HS103" s="263"/>
      <c r="HT103" s="263"/>
      <c r="HU103" s="263"/>
      <c r="HV103" s="263"/>
      <c r="HW103" s="263"/>
      <c r="HX103" s="263"/>
      <c r="HY103" s="263"/>
      <c r="HZ103" s="263"/>
      <c r="IA103" s="263"/>
      <c r="IB103" s="263"/>
      <c r="IC103" s="263"/>
      <c r="ID103" s="263"/>
      <c r="IE103" s="263"/>
      <c r="IF103" s="263"/>
      <c r="IG103" s="263"/>
      <c r="IH103" s="263"/>
      <c r="II103" s="263"/>
      <c r="IJ103" s="263"/>
      <c r="IK103" s="263"/>
      <c r="IL103" s="263"/>
      <c r="IM103" s="263"/>
      <c r="IN103" s="263"/>
      <c r="IO103" s="263"/>
      <c r="IP103" s="263"/>
      <c r="IQ103" s="263"/>
      <c r="IR103" s="263"/>
      <c r="IS103" s="263"/>
      <c r="IT103" s="263"/>
      <c r="IU103" s="263"/>
    </row>
    <row r="104" spans="1:255" ht="15.6">
      <c r="A104" s="263"/>
      <c r="B104" s="263"/>
      <c r="C104" s="263"/>
      <c r="D104" s="263"/>
      <c r="E104" s="263"/>
      <c r="F104" s="263"/>
      <c r="G104" s="263"/>
      <c r="H104" s="263"/>
      <c r="I104" s="263"/>
      <c r="J104" s="263"/>
      <c r="K104" s="263"/>
      <c r="L104" s="263"/>
      <c r="M104" s="263"/>
      <c r="N104" s="263"/>
      <c r="O104" s="263"/>
      <c r="P104" s="263"/>
      <c r="Q104" s="263"/>
      <c r="R104" s="263"/>
      <c r="S104" s="263"/>
      <c r="T104" s="263"/>
      <c r="U104" s="263"/>
      <c r="V104" s="263"/>
      <c r="W104" s="263"/>
      <c r="X104" s="263"/>
      <c r="Y104" s="263"/>
      <c r="Z104" s="263"/>
      <c r="AA104" s="263"/>
      <c r="AB104" s="263"/>
      <c r="AC104" s="263"/>
      <c r="AD104" s="263"/>
      <c r="AE104" s="263"/>
      <c r="AF104" s="263"/>
      <c r="AG104" s="263"/>
      <c r="AH104" s="263"/>
      <c r="AI104" s="263"/>
      <c r="AJ104" s="263"/>
      <c r="AK104" s="263"/>
      <c r="AL104" s="263"/>
      <c r="AM104" s="263"/>
      <c r="AN104" s="263"/>
      <c r="AO104" s="263"/>
      <c r="AP104" s="263"/>
      <c r="AQ104" s="263"/>
      <c r="AR104" s="263"/>
      <c r="AS104" s="263"/>
      <c r="AT104" s="263"/>
      <c r="AU104" s="263"/>
      <c r="AV104" s="263"/>
      <c r="AW104" s="263"/>
      <c r="AX104" s="263"/>
      <c r="AY104" s="263"/>
      <c r="AZ104" s="263"/>
      <c r="BA104" s="263"/>
      <c r="BB104" s="263"/>
      <c r="BC104" s="263"/>
      <c r="BD104" s="263"/>
      <c r="BE104" s="263"/>
      <c r="BF104" s="263"/>
      <c r="BG104" s="263"/>
      <c r="BH104" s="263"/>
      <c r="BI104" s="263"/>
      <c r="BJ104" s="263"/>
      <c r="BK104" s="263"/>
      <c r="BL104" s="263"/>
      <c r="BM104" s="263"/>
      <c r="BN104" s="263"/>
      <c r="BO104" s="263"/>
      <c r="BP104" s="263"/>
      <c r="BQ104" s="263"/>
      <c r="BR104" s="263"/>
      <c r="BS104" s="263"/>
      <c r="BT104" s="263"/>
      <c r="BU104" s="263"/>
      <c r="BV104" s="263"/>
      <c r="BW104" s="263"/>
      <c r="BX104" s="263"/>
      <c r="BY104" s="263"/>
      <c r="BZ104" s="263"/>
      <c r="CA104" s="263"/>
      <c r="CB104" s="263"/>
      <c r="CC104" s="263"/>
      <c r="CD104" s="263"/>
      <c r="CE104" s="263"/>
      <c r="CF104" s="263"/>
      <c r="CG104" s="263"/>
      <c r="CH104" s="263"/>
      <c r="CI104" s="263"/>
      <c r="CJ104" s="263"/>
      <c r="CK104" s="263"/>
      <c r="CL104" s="263"/>
      <c r="CM104" s="263"/>
      <c r="CN104" s="263"/>
      <c r="CO104" s="263"/>
      <c r="CP104" s="263"/>
      <c r="CQ104" s="263"/>
      <c r="CR104" s="263"/>
      <c r="CS104" s="263"/>
      <c r="CT104" s="263"/>
      <c r="CU104" s="263"/>
      <c r="CV104" s="263"/>
      <c r="CW104" s="263"/>
      <c r="CX104" s="263"/>
      <c r="CY104" s="263"/>
      <c r="CZ104" s="263"/>
      <c r="DA104" s="263"/>
      <c r="DB104" s="263"/>
      <c r="DC104" s="263"/>
      <c r="DD104" s="263"/>
      <c r="DE104" s="263"/>
      <c r="DF104" s="263"/>
      <c r="DG104" s="263"/>
      <c r="DH104" s="263"/>
      <c r="DI104" s="263"/>
      <c r="DJ104" s="263"/>
      <c r="DK104" s="263"/>
      <c r="DL104" s="263"/>
      <c r="DM104" s="263"/>
      <c r="DN104" s="263"/>
      <c r="DO104" s="263"/>
      <c r="DP104" s="263"/>
      <c r="DQ104" s="263"/>
      <c r="DR104" s="263"/>
      <c r="DS104" s="263"/>
      <c r="DT104" s="263"/>
      <c r="DU104" s="263"/>
      <c r="DV104" s="263"/>
      <c r="DW104" s="263"/>
      <c r="DX104" s="263"/>
      <c r="DY104" s="263"/>
      <c r="DZ104" s="263"/>
      <c r="EA104" s="263"/>
      <c r="EB104" s="263"/>
      <c r="EC104" s="263"/>
      <c r="ED104" s="263"/>
      <c r="EE104" s="263"/>
      <c r="EF104" s="263"/>
      <c r="EG104" s="263"/>
      <c r="EH104" s="263"/>
      <c r="EI104" s="263"/>
      <c r="EJ104" s="263"/>
      <c r="EK104" s="263"/>
      <c r="EL104" s="263"/>
      <c r="EM104" s="263"/>
      <c r="EN104" s="263"/>
      <c r="EO104" s="263"/>
      <c r="EP104" s="263"/>
      <c r="EQ104" s="263"/>
      <c r="ER104" s="263"/>
      <c r="ES104" s="263"/>
      <c r="ET104" s="263"/>
      <c r="EU104" s="263"/>
      <c r="EV104" s="263"/>
      <c r="EW104" s="263"/>
      <c r="EX104" s="263"/>
      <c r="EY104" s="263"/>
      <c r="EZ104" s="263"/>
      <c r="FA104" s="263"/>
      <c r="FB104" s="263"/>
      <c r="FC104" s="263"/>
      <c r="FD104" s="263"/>
      <c r="FE104" s="263"/>
      <c r="FF104" s="263"/>
      <c r="FG104" s="263"/>
      <c r="FH104" s="263"/>
      <c r="FI104" s="263"/>
      <c r="FJ104" s="263"/>
      <c r="FK104" s="263"/>
      <c r="FL104" s="263"/>
      <c r="FM104" s="263"/>
      <c r="FN104" s="263"/>
      <c r="FO104" s="263"/>
      <c r="FP104" s="263"/>
      <c r="FQ104" s="263"/>
      <c r="FR104" s="263"/>
      <c r="FS104" s="263"/>
      <c r="FT104" s="263"/>
      <c r="FU104" s="263"/>
      <c r="FV104" s="263"/>
      <c r="FW104" s="263"/>
      <c r="FX104" s="263"/>
      <c r="FY104" s="263"/>
      <c r="FZ104" s="263"/>
      <c r="GA104" s="263"/>
      <c r="GB104" s="263"/>
      <c r="GC104" s="263"/>
      <c r="GD104" s="263"/>
      <c r="GE104" s="263"/>
      <c r="GF104" s="263"/>
      <c r="GG104" s="263"/>
      <c r="GH104" s="263"/>
      <c r="GI104" s="263"/>
      <c r="GJ104" s="263"/>
      <c r="GK104" s="263"/>
      <c r="GL104" s="263"/>
      <c r="GM104" s="263"/>
      <c r="GN104" s="263"/>
      <c r="GO104" s="263"/>
      <c r="GP104" s="263"/>
      <c r="GQ104" s="263"/>
      <c r="GR104" s="263"/>
      <c r="GS104" s="263"/>
      <c r="GT104" s="263"/>
      <c r="GU104" s="263"/>
      <c r="GV104" s="263"/>
      <c r="GW104" s="263"/>
      <c r="GX104" s="263"/>
      <c r="GY104" s="263"/>
      <c r="GZ104" s="263"/>
      <c r="HA104" s="263"/>
      <c r="HB104" s="263"/>
      <c r="HC104" s="263"/>
      <c r="HD104" s="263"/>
      <c r="HE104" s="263"/>
      <c r="HF104" s="263"/>
      <c r="HG104" s="263"/>
      <c r="HH104" s="263"/>
      <c r="HI104" s="263"/>
      <c r="HJ104" s="263"/>
      <c r="HK104" s="263"/>
      <c r="HL104" s="263"/>
      <c r="HM104" s="263"/>
      <c r="HN104" s="263"/>
      <c r="HO104" s="263"/>
      <c r="HP104" s="263"/>
      <c r="HQ104" s="263"/>
      <c r="HR104" s="263"/>
      <c r="HS104" s="263"/>
      <c r="HT104" s="263"/>
      <c r="HU104" s="263"/>
      <c r="HV104" s="263"/>
      <c r="HW104" s="263"/>
      <c r="HX104" s="263"/>
      <c r="HY104" s="263"/>
      <c r="HZ104" s="263"/>
      <c r="IA104" s="263"/>
      <c r="IB104" s="263"/>
      <c r="IC104" s="263"/>
      <c r="ID104" s="263"/>
      <c r="IE104" s="263"/>
      <c r="IF104" s="263"/>
      <c r="IG104" s="263"/>
      <c r="IH104" s="263"/>
      <c r="II104" s="263"/>
      <c r="IJ104" s="263"/>
      <c r="IK104" s="263"/>
      <c r="IL104" s="263"/>
      <c r="IM104" s="263"/>
      <c r="IN104" s="263"/>
      <c r="IO104" s="263"/>
      <c r="IP104" s="263"/>
      <c r="IQ104" s="263"/>
      <c r="IR104" s="263"/>
      <c r="IS104" s="263"/>
      <c r="IT104" s="263"/>
      <c r="IU104" s="263"/>
    </row>
    <row r="105" spans="1:255" ht="15.6">
      <c r="A105" s="263"/>
      <c r="B105" s="263"/>
      <c r="C105" s="263"/>
      <c r="D105" s="263"/>
      <c r="E105" s="263"/>
      <c r="F105" s="263"/>
      <c r="G105" s="263"/>
      <c r="H105" s="263"/>
      <c r="I105" s="263"/>
      <c r="J105" s="263"/>
      <c r="K105" s="263"/>
      <c r="L105" s="263"/>
      <c r="M105" s="263"/>
      <c r="N105" s="263"/>
      <c r="O105" s="263"/>
      <c r="P105" s="263"/>
      <c r="Q105" s="263"/>
      <c r="R105" s="263"/>
      <c r="S105" s="263"/>
      <c r="T105" s="263"/>
      <c r="U105" s="263"/>
      <c r="V105" s="263"/>
      <c r="W105" s="263"/>
      <c r="X105" s="263"/>
      <c r="Y105" s="263"/>
      <c r="Z105" s="263"/>
      <c r="AA105" s="263"/>
      <c r="AB105" s="263"/>
      <c r="AC105" s="263"/>
      <c r="AD105" s="263"/>
      <c r="AE105" s="263"/>
      <c r="AF105" s="263"/>
      <c r="AG105" s="263"/>
      <c r="AH105" s="263"/>
      <c r="AI105" s="263"/>
      <c r="AJ105" s="263"/>
      <c r="AK105" s="263"/>
      <c r="AL105" s="263"/>
      <c r="AM105" s="263"/>
      <c r="AN105" s="263"/>
      <c r="AO105" s="263"/>
      <c r="AP105" s="263"/>
      <c r="AQ105" s="263"/>
      <c r="AR105" s="263"/>
      <c r="AS105" s="263"/>
      <c r="AT105" s="263"/>
      <c r="AU105" s="263"/>
      <c r="AV105" s="263"/>
      <c r="AW105" s="263"/>
      <c r="AX105" s="263"/>
      <c r="AY105" s="263"/>
      <c r="AZ105" s="263"/>
      <c r="BA105" s="263"/>
      <c r="BB105" s="263"/>
      <c r="BC105" s="263"/>
      <c r="BD105" s="263"/>
      <c r="BE105" s="263"/>
      <c r="BF105" s="263"/>
      <c r="BG105" s="263"/>
      <c r="BH105" s="263"/>
      <c r="BI105" s="263"/>
      <c r="BJ105" s="263"/>
      <c r="BK105" s="263"/>
      <c r="BL105" s="263"/>
      <c r="BM105" s="263"/>
      <c r="BN105" s="263"/>
      <c r="BO105" s="263"/>
      <c r="BP105" s="263"/>
      <c r="BQ105" s="263"/>
      <c r="BR105" s="263"/>
      <c r="BS105" s="263"/>
      <c r="BT105" s="263"/>
      <c r="BU105" s="263"/>
      <c r="BV105" s="263"/>
      <c r="BW105" s="263"/>
      <c r="BX105" s="263"/>
      <c r="BY105" s="263"/>
      <c r="BZ105" s="263"/>
      <c r="CA105" s="263"/>
      <c r="CB105" s="263"/>
      <c r="CC105" s="263"/>
      <c r="CD105" s="263"/>
      <c r="CE105" s="263"/>
      <c r="CF105" s="263"/>
      <c r="CG105" s="263"/>
      <c r="CH105" s="263"/>
      <c r="CI105" s="263"/>
      <c r="CJ105" s="263"/>
      <c r="CK105" s="263"/>
      <c r="CL105" s="263"/>
      <c r="CM105" s="263"/>
      <c r="CN105" s="263"/>
      <c r="CO105" s="263"/>
      <c r="CP105" s="263"/>
      <c r="CQ105" s="263"/>
      <c r="CR105" s="263"/>
      <c r="CS105" s="263"/>
      <c r="CT105" s="263"/>
      <c r="CU105" s="263"/>
      <c r="CV105" s="263"/>
      <c r="CW105" s="263"/>
      <c r="CX105" s="263"/>
      <c r="CY105" s="263"/>
      <c r="CZ105" s="263"/>
      <c r="DA105" s="263"/>
      <c r="DB105" s="263"/>
      <c r="DC105" s="263"/>
      <c r="DD105" s="263"/>
      <c r="DE105" s="263"/>
      <c r="DF105" s="263"/>
      <c r="DG105" s="263"/>
      <c r="DH105" s="263"/>
      <c r="DI105" s="263"/>
      <c r="DJ105" s="263"/>
      <c r="DK105" s="263"/>
      <c r="DL105" s="263"/>
      <c r="DM105" s="263"/>
      <c r="DN105" s="263"/>
      <c r="DO105" s="263"/>
      <c r="DP105" s="263"/>
      <c r="DQ105" s="263"/>
      <c r="DR105" s="263"/>
      <c r="DS105" s="263"/>
      <c r="DT105" s="263"/>
      <c r="DU105" s="263"/>
      <c r="DV105" s="263"/>
      <c r="DW105" s="263"/>
      <c r="DX105" s="263"/>
      <c r="DY105" s="263"/>
      <c r="DZ105" s="263"/>
      <c r="EA105" s="263"/>
      <c r="EB105" s="263"/>
      <c r="EC105" s="263"/>
      <c r="ED105" s="263"/>
      <c r="EE105" s="263"/>
      <c r="EF105" s="263"/>
      <c r="EG105" s="263"/>
      <c r="EH105" s="263"/>
      <c r="EI105" s="263"/>
      <c r="EJ105" s="263"/>
      <c r="EK105" s="263"/>
      <c r="EL105" s="263"/>
      <c r="EM105" s="263"/>
      <c r="EN105" s="263"/>
      <c r="EO105" s="263"/>
      <c r="EP105" s="263"/>
      <c r="EQ105" s="263"/>
      <c r="ER105" s="263"/>
      <c r="ES105" s="263"/>
      <c r="ET105" s="263"/>
      <c r="EU105" s="263"/>
      <c r="EV105" s="263"/>
      <c r="EW105" s="263"/>
      <c r="EX105" s="263"/>
      <c r="EY105" s="263"/>
      <c r="EZ105" s="263"/>
      <c r="FA105" s="263"/>
      <c r="FB105" s="263"/>
      <c r="FC105" s="263"/>
      <c r="FD105" s="263"/>
      <c r="FE105" s="263"/>
      <c r="FF105" s="263"/>
      <c r="FG105" s="263"/>
      <c r="FH105" s="263"/>
      <c r="FI105" s="263"/>
      <c r="FJ105" s="263"/>
      <c r="FK105" s="263"/>
      <c r="FL105" s="263"/>
      <c r="FM105" s="263"/>
      <c r="FN105" s="263"/>
      <c r="FO105" s="263"/>
      <c r="FP105" s="263"/>
      <c r="FQ105" s="263"/>
      <c r="FR105" s="263"/>
      <c r="FS105" s="263"/>
      <c r="FT105" s="263"/>
      <c r="FU105" s="263"/>
      <c r="FV105" s="263"/>
      <c r="FW105" s="263"/>
      <c r="FX105" s="263"/>
      <c r="FY105" s="263"/>
      <c r="FZ105" s="263"/>
      <c r="GA105" s="263"/>
      <c r="GB105" s="263"/>
      <c r="GC105" s="263"/>
      <c r="GD105" s="263"/>
      <c r="GE105" s="263"/>
      <c r="GF105" s="263"/>
      <c r="GG105" s="263"/>
      <c r="GH105" s="263"/>
      <c r="GI105" s="263"/>
      <c r="GJ105" s="263"/>
      <c r="GK105" s="263"/>
      <c r="GL105" s="263"/>
      <c r="GM105" s="263"/>
      <c r="GN105" s="263"/>
      <c r="GO105" s="263"/>
      <c r="GP105" s="263"/>
      <c r="GQ105" s="263"/>
      <c r="GR105" s="263"/>
      <c r="GS105" s="263"/>
      <c r="GT105" s="263"/>
      <c r="GU105" s="263"/>
      <c r="GV105" s="263"/>
      <c r="GW105" s="263"/>
      <c r="GX105" s="263"/>
      <c r="GY105" s="263"/>
      <c r="GZ105" s="263"/>
      <c r="HA105" s="263"/>
      <c r="HB105" s="263"/>
      <c r="HC105" s="263"/>
      <c r="HD105" s="263"/>
      <c r="HE105" s="263"/>
      <c r="HF105" s="263"/>
      <c r="HG105" s="263"/>
      <c r="HH105" s="263"/>
      <c r="HI105" s="263"/>
      <c r="HJ105" s="263"/>
      <c r="HK105" s="263"/>
      <c r="HL105" s="263"/>
      <c r="HM105" s="263"/>
      <c r="HN105" s="263"/>
      <c r="HO105" s="263"/>
      <c r="HP105" s="263"/>
      <c r="HQ105" s="263"/>
      <c r="HR105" s="263"/>
      <c r="HS105" s="263"/>
      <c r="HT105" s="263"/>
      <c r="HU105" s="263"/>
      <c r="HV105" s="263"/>
      <c r="HW105" s="263"/>
      <c r="HX105" s="263"/>
      <c r="HY105" s="263"/>
      <c r="HZ105" s="263"/>
      <c r="IA105" s="263"/>
      <c r="IB105" s="263"/>
      <c r="IC105" s="263"/>
      <c r="ID105" s="263"/>
      <c r="IE105" s="263"/>
      <c r="IF105" s="263"/>
      <c r="IG105" s="263"/>
      <c r="IH105" s="263"/>
      <c r="II105" s="263"/>
      <c r="IJ105" s="263"/>
      <c r="IK105" s="263"/>
      <c r="IL105" s="263"/>
      <c r="IM105" s="263"/>
      <c r="IN105" s="263"/>
      <c r="IO105" s="263"/>
      <c r="IP105" s="263"/>
      <c r="IQ105" s="263"/>
      <c r="IR105" s="263"/>
      <c r="IS105" s="263"/>
      <c r="IT105" s="263"/>
      <c r="IU105" s="263"/>
    </row>
    <row r="106" spans="1:255" ht="15.6">
      <c r="A106" s="263"/>
      <c r="B106" s="263"/>
      <c r="C106" s="263"/>
      <c r="D106" s="263"/>
      <c r="E106" s="263"/>
      <c r="F106" s="263"/>
      <c r="G106" s="263"/>
      <c r="H106" s="263"/>
      <c r="I106" s="263"/>
      <c r="J106" s="263"/>
      <c r="K106" s="263"/>
      <c r="L106" s="263"/>
      <c r="M106" s="263"/>
      <c r="N106" s="263"/>
      <c r="O106" s="263"/>
      <c r="P106" s="263"/>
      <c r="Q106" s="263"/>
      <c r="R106" s="263"/>
      <c r="S106" s="263"/>
      <c r="T106" s="263"/>
      <c r="U106" s="263"/>
      <c r="V106" s="263"/>
      <c r="W106" s="263"/>
      <c r="X106" s="263"/>
      <c r="Y106" s="263"/>
      <c r="Z106" s="263"/>
      <c r="AA106" s="263"/>
      <c r="AB106" s="263"/>
      <c r="AC106" s="263"/>
      <c r="AD106" s="263"/>
      <c r="AE106" s="263"/>
      <c r="AF106" s="263"/>
      <c r="AG106" s="263"/>
      <c r="AH106" s="263"/>
      <c r="AI106" s="263"/>
      <c r="AJ106" s="263"/>
      <c r="AK106" s="263"/>
      <c r="AL106" s="263"/>
      <c r="AM106" s="263"/>
      <c r="AN106" s="263"/>
      <c r="AO106" s="263"/>
      <c r="AP106" s="263"/>
      <c r="AQ106" s="263"/>
      <c r="AR106" s="263"/>
      <c r="AS106" s="263"/>
      <c r="AT106" s="263"/>
      <c r="AU106" s="263"/>
      <c r="AV106" s="263"/>
      <c r="AW106" s="263"/>
      <c r="AX106" s="263"/>
      <c r="AY106" s="263"/>
      <c r="AZ106" s="263"/>
      <c r="BA106" s="263"/>
      <c r="BB106" s="263"/>
      <c r="BC106" s="263"/>
      <c r="BD106" s="263"/>
      <c r="BE106" s="263"/>
      <c r="BF106" s="263"/>
      <c r="BG106" s="263"/>
      <c r="BH106" s="263"/>
      <c r="BI106" s="263"/>
      <c r="BJ106" s="263"/>
      <c r="BK106" s="263"/>
      <c r="BL106" s="263"/>
      <c r="BM106" s="263"/>
      <c r="BN106" s="263"/>
      <c r="BO106" s="263"/>
      <c r="BP106" s="263"/>
      <c r="BQ106" s="263"/>
      <c r="BR106" s="263"/>
      <c r="BS106" s="263"/>
      <c r="BT106" s="263"/>
      <c r="BU106" s="263"/>
      <c r="BV106" s="263"/>
      <c r="BW106" s="263"/>
      <c r="BX106" s="263"/>
      <c r="BY106" s="263"/>
      <c r="BZ106" s="263"/>
      <c r="CA106" s="263"/>
      <c r="CB106" s="263"/>
      <c r="CC106" s="263"/>
      <c r="CD106" s="263"/>
      <c r="CE106" s="263"/>
      <c r="CF106" s="263"/>
      <c r="CG106" s="263"/>
      <c r="CH106" s="263"/>
      <c r="CI106" s="263"/>
      <c r="CJ106" s="263"/>
      <c r="CK106" s="263"/>
      <c r="CL106" s="263"/>
      <c r="CM106" s="263"/>
      <c r="CN106" s="263"/>
      <c r="CO106" s="263"/>
      <c r="CP106" s="263"/>
      <c r="CQ106" s="263"/>
      <c r="CR106" s="263"/>
      <c r="CS106" s="263"/>
      <c r="CT106" s="263"/>
      <c r="CU106" s="263"/>
      <c r="CV106" s="263"/>
      <c r="CW106" s="263"/>
      <c r="CX106" s="263"/>
      <c r="CY106" s="263"/>
      <c r="CZ106" s="263"/>
      <c r="DA106" s="263"/>
      <c r="DB106" s="263"/>
      <c r="DC106" s="263"/>
      <c r="DD106" s="263"/>
      <c r="DE106" s="263"/>
      <c r="DF106" s="263"/>
      <c r="DG106" s="263"/>
      <c r="DH106" s="263"/>
      <c r="DI106" s="263"/>
      <c r="DJ106" s="263"/>
      <c r="DK106" s="263"/>
      <c r="DL106" s="263"/>
      <c r="DM106" s="263"/>
      <c r="DN106" s="263"/>
      <c r="DO106" s="263"/>
      <c r="DP106" s="263"/>
      <c r="DQ106" s="263"/>
      <c r="DR106" s="263"/>
      <c r="DS106" s="263"/>
      <c r="DT106" s="263"/>
      <c r="DU106" s="263"/>
      <c r="DV106" s="263"/>
      <c r="DW106" s="263"/>
      <c r="DX106" s="263"/>
      <c r="DY106" s="263"/>
      <c r="DZ106" s="263"/>
      <c r="EA106" s="263"/>
      <c r="EB106" s="263"/>
      <c r="EC106" s="263"/>
      <c r="ED106" s="263"/>
      <c r="EE106" s="263"/>
      <c r="EF106" s="263"/>
      <c r="EG106" s="263"/>
      <c r="EH106" s="263"/>
      <c r="EI106" s="263"/>
      <c r="EJ106" s="263"/>
      <c r="EK106" s="263"/>
      <c r="EL106" s="263"/>
      <c r="EM106" s="263"/>
      <c r="EN106" s="263"/>
      <c r="EO106" s="263"/>
      <c r="EP106" s="263"/>
      <c r="EQ106" s="263"/>
      <c r="ER106" s="263"/>
      <c r="ES106" s="263"/>
      <c r="ET106" s="263"/>
      <c r="EU106" s="263"/>
      <c r="EV106" s="263"/>
      <c r="EW106" s="263"/>
      <c r="EX106" s="263"/>
      <c r="EY106" s="263"/>
      <c r="EZ106" s="263"/>
      <c r="FA106" s="263"/>
      <c r="FB106" s="263"/>
      <c r="FC106" s="263"/>
      <c r="FD106" s="263"/>
      <c r="FE106" s="263"/>
      <c r="FF106" s="263"/>
      <c r="FG106" s="263"/>
      <c r="FH106" s="263"/>
      <c r="FI106" s="263"/>
      <c r="FJ106" s="263"/>
      <c r="FK106" s="263"/>
      <c r="FL106" s="263"/>
      <c r="FM106" s="263"/>
      <c r="FN106" s="263"/>
      <c r="FO106" s="263"/>
      <c r="FP106" s="263"/>
      <c r="FQ106" s="263"/>
      <c r="FR106" s="263"/>
      <c r="FS106" s="263"/>
      <c r="FT106" s="263"/>
      <c r="FU106" s="263"/>
      <c r="FV106" s="263"/>
      <c r="FW106" s="263"/>
      <c r="FX106" s="263"/>
      <c r="FY106" s="263"/>
      <c r="FZ106" s="263"/>
      <c r="GA106" s="263"/>
      <c r="GB106" s="263"/>
      <c r="GC106" s="263"/>
      <c r="GD106" s="263"/>
      <c r="GE106" s="263"/>
      <c r="GF106" s="263"/>
      <c r="GG106" s="263"/>
      <c r="GH106" s="263"/>
      <c r="GI106" s="263"/>
      <c r="GJ106" s="263"/>
      <c r="GK106" s="263"/>
      <c r="GL106" s="263"/>
      <c r="GM106" s="263"/>
      <c r="GN106" s="263"/>
      <c r="GO106" s="263"/>
      <c r="GP106" s="263"/>
      <c r="GQ106" s="263"/>
      <c r="GR106" s="263"/>
      <c r="GS106" s="263"/>
      <c r="GT106" s="263"/>
      <c r="GU106" s="263"/>
      <c r="GV106" s="263"/>
      <c r="GW106" s="263"/>
      <c r="GX106" s="263"/>
      <c r="GY106" s="263"/>
      <c r="GZ106" s="263"/>
      <c r="HA106" s="263"/>
      <c r="HB106" s="263"/>
      <c r="HC106" s="263"/>
      <c r="HD106" s="263"/>
      <c r="HE106" s="263"/>
      <c r="HF106" s="263"/>
      <c r="HG106" s="263"/>
      <c r="HH106" s="263"/>
      <c r="HI106" s="263"/>
      <c r="HJ106" s="263"/>
      <c r="HK106" s="263"/>
      <c r="HL106" s="263"/>
      <c r="HM106" s="263"/>
      <c r="HN106" s="263"/>
      <c r="HO106" s="263"/>
      <c r="HP106" s="263"/>
      <c r="HQ106" s="263"/>
      <c r="HR106" s="263"/>
      <c r="HS106" s="263"/>
      <c r="HT106" s="263"/>
      <c r="HU106" s="263"/>
      <c r="HV106" s="263"/>
      <c r="HW106" s="263"/>
      <c r="HX106" s="263"/>
      <c r="HY106" s="263"/>
      <c r="HZ106" s="263"/>
      <c r="IA106" s="263"/>
      <c r="IB106" s="263"/>
      <c r="IC106" s="263"/>
      <c r="ID106" s="263"/>
      <c r="IE106" s="263"/>
      <c r="IF106" s="263"/>
      <c r="IG106" s="263"/>
      <c r="IH106" s="263"/>
      <c r="II106" s="263"/>
      <c r="IJ106" s="263"/>
      <c r="IK106" s="263"/>
      <c r="IL106" s="263"/>
      <c r="IM106" s="263"/>
      <c r="IN106" s="263"/>
      <c r="IO106" s="263"/>
      <c r="IP106" s="263"/>
      <c r="IQ106" s="263"/>
      <c r="IR106" s="263"/>
      <c r="IS106" s="263"/>
      <c r="IT106" s="263"/>
      <c r="IU106" s="263"/>
    </row>
    <row r="107" spans="1:255" ht="15.6">
      <c r="A107" s="263"/>
      <c r="B107" s="263"/>
      <c r="C107" s="263"/>
      <c r="D107" s="263"/>
      <c r="E107" s="263"/>
      <c r="F107" s="263"/>
      <c r="G107" s="263"/>
      <c r="H107" s="263"/>
      <c r="I107" s="263"/>
      <c r="J107" s="263"/>
      <c r="K107" s="263"/>
      <c r="L107" s="263"/>
      <c r="M107" s="263"/>
      <c r="N107" s="263"/>
      <c r="O107" s="263"/>
      <c r="P107" s="263"/>
      <c r="Q107" s="263"/>
      <c r="R107" s="263"/>
      <c r="S107" s="263"/>
      <c r="T107" s="263"/>
      <c r="U107" s="263"/>
      <c r="V107" s="263"/>
      <c r="W107" s="263"/>
      <c r="X107" s="263"/>
      <c r="Y107" s="263"/>
      <c r="Z107" s="263"/>
      <c r="AA107" s="263"/>
      <c r="AB107" s="263"/>
      <c r="AC107" s="263"/>
      <c r="AD107" s="263"/>
      <c r="AE107" s="263"/>
      <c r="AF107" s="263"/>
      <c r="AG107" s="263"/>
      <c r="AH107" s="263"/>
      <c r="AI107" s="263"/>
      <c r="AJ107" s="263"/>
      <c r="AK107" s="263"/>
      <c r="AL107" s="263"/>
      <c r="AM107" s="263"/>
      <c r="AN107" s="263"/>
      <c r="AO107" s="263"/>
      <c r="AP107" s="263"/>
      <c r="AQ107" s="263"/>
      <c r="AR107" s="263"/>
      <c r="AS107" s="263"/>
      <c r="AT107" s="263"/>
      <c r="AU107" s="263"/>
      <c r="AV107" s="263"/>
      <c r="AW107" s="263"/>
      <c r="AX107" s="263"/>
      <c r="AY107" s="263"/>
      <c r="AZ107" s="263"/>
      <c r="BA107" s="263"/>
      <c r="BB107" s="263"/>
      <c r="BC107" s="263"/>
      <c r="BD107" s="263"/>
      <c r="BE107" s="263"/>
      <c r="BF107" s="263"/>
      <c r="BG107" s="263"/>
      <c r="BH107" s="263"/>
      <c r="BI107" s="263"/>
      <c r="BJ107" s="263"/>
      <c r="BK107" s="263"/>
      <c r="BL107" s="263"/>
      <c r="BM107" s="263"/>
      <c r="BN107" s="263"/>
      <c r="BO107" s="263"/>
      <c r="BP107" s="263"/>
      <c r="BQ107" s="263"/>
      <c r="BR107" s="263"/>
      <c r="BS107" s="263"/>
      <c r="BT107" s="263"/>
      <c r="BU107" s="263"/>
      <c r="BV107" s="263"/>
      <c r="BW107" s="263"/>
      <c r="BX107" s="263"/>
      <c r="BY107" s="263"/>
      <c r="BZ107" s="263"/>
      <c r="CA107" s="263"/>
      <c r="CB107" s="263"/>
      <c r="CC107" s="263"/>
      <c r="CD107" s="263"/>
      <c r="CE107" s="263"/>
      <c r="CF107" s="263"/>
      <c r="CG107" s="263"/>
      <c r="CH107" s="263"/>
      <c r="CI107" s="263"/>
      <c r="CJ107" s="263"/>
      <c r="CK107" s="263"/>
      <c r="CL107" s="263"/>
      <c r="CM107" s="263"/>
      <c r="CN107" s="263"/>
      <c r="CO107" s="263"/>
      <c r="CP107" s="263"/>
      <c r="CQ107" s="263"/>
      <c r="CR107" s="263"/>
      <c r="CS107" s="263"/>
      <c r="CT107" s="263"/>
      <c r="CU107" s="263"/>
      <c r="CV107" s="263"/>
      <c r="CW107" s="263"/>
      <c r="CX107" s="263"/>
      <c r="CY107" s="263"/>
      <c r="CZ107" s="263"/>
      <c r="DA107" s="263"/>
      <c r="DB107" s="263"/>
      <c r="DC107" s="263"/>
      <c r="DD107" s="263"/>
      <c r="DE107" s="263"/>
      <c r="DF107" s="263"/>
      <c r="DG107" s="263"/>
      <c r="DH107" s="263"/>
      <c r="DI107" s="263"/>
      <c r="DJ107" s="263"/>
      <c r="DK107" s="263"/>
      <c r="DL107" s="263"/>
      <c r="DM107" s="263"/>
      <c r="DN107" s="263"/>
      <c r="DO107" s="263"/>
      <c r="DP107" s="263"/>
      <c r="DQ107" s="263"/>
      <c r="DR107" s="263"/>
      <c r="DS107" s="263"/>
      <c r="DT107" s="263"/>
      <c r="DU107" s="263"/>
      <c r="DV107" s="263"/>
      <c r="DW107" s="263"/>
      <c r="DX107" s="263"/>
      <c r="DY107" s="263"/>
      <c r="DZ107" s="263"/>
      <c r="EA107" s="263"/>
      <c r="EB107" s="263"/>
      <c r="EC107" s="263"/>
      <c r="ED107" s="263"/>
      <c r="EE107" s="263"/>
      <c r="EF107" s="263"/>
      <c r="EG107" s="263"/>
      <c r="EH107" s="263"/>
      <c r="EI107" s="263"/>
      <c r="EJ107" s="263"/>
      <c r="EK107" s="263"/>
      <c r="EL107" s="263"/>
      <c r="EM107" s="263"/>
      <c r="EN107" s="263"/>
      <c r="EO107" s="263"/>
      <c r="EP107" s="263"/>
      <c r="EQ107" s="263"/>
      <c r="ER107" s="263"/>
      <c r="ES107" s="263"/>
      <c r="ET107" s="263"/>
      <c r="EU107" s="263"/>
      <c r="EV107" s="263"/>
      <c r="EW107" s="263"/>
      <c r="EX107" s="263"/>
      <c r="EY107" s="263"/>
      <c r="EZ107" s="263"/>
      <c r="FA107" s="263"/>
      <c r="FB107" s="263"/>
      <c r="FC107" s="263"/>
      <c r="FD107" s="263"/>
      <c r="FE107" s="263"/>
      <c r="FF107" s="263"/>
      <c r="FG107" s="263"/>
      <c r="FH107" s="263"/>
      <c r="FI107" s="263"/>
      <c r="FJ107" s="263"/>
      <c r="FK107" s="263"/>
      <c r="FL107" s="263"/>
      <c r="FM107" s="263"/>
      <c r="FN107" s="263"/>
      <c r="FO107" s="263"/>
      <c r="FP107" s="263"/>
      <c r="FQ107" s="263"/>
      <c r="FR107" s="263"/>
      <c r="FS107" s="263"/>
      <c r="FT107" s="263"/>
      <c r="FU107" s="263"/>
      <c r="FV107" s="263"/>
      <c r="FW107" s="263"/>
      <c r="FX107" s="263"/>
      <c r="FY107" s="263"/>
      <c r="FZ107" s="263"/>
      <c r="GA107" s="263"/>
      <c r="GB107" s="263"/>
      <c r="GC107" s="263"/>
      <c r="GD107" s="263"/>
      <c r="GE107" s="263"/>
      <c r="GF107" s="263"/>
      <c r="GG107" s="263"/>
      <c r="GH107" s="263"/>
      <c r="GI107" s="263"/>
      <c r="GJ107" s="263"/>
      <c r="GK107" s="263"/>
      <c r="GL107" s="263"/>
      <c r="GM107" s="263"/>
      <c r="GN107" s="263"/>
      <c r="GO107" s="263"/>
      <c r="GP107" s="263"/>
      <c r="GQ107" s="263"/>
      <c r="GR107" s="263"/>
      <c r="GS107" s="263"/>
      <c r="GT107" s="263"/>
      <c r="GU107" s="263"/>
      <c r="GV107" s="263"/>
      <c r="GW107" s="263"/>
      <c r="GX107" s="263"/>
      <c r="GY107" s="263"/>
      <c r="GZ107" s="263"/>
      <c r="HA107" s="263"/>
      <c r="HB107" s="263"/>
      <c r="HC107" s="263"/>
      <c r="HD107" s="263"/>
      <c r="HE107" s="263"/>
      <c r="HF107" s="263"/>
      <c r="HG107" s="263"/>
      <c r="HH107" s="263"/>
      <c r="HI107" s="263"/>
      <c r="HJ107" s="263"/>
      <c r="HK107" s="263"/>
      <c r="HL107" s="263"/>
      <c r="HM107" s="263"/>
      <c r="HN107" s="263"/>
      <c r="HO107" s="263"/>
      <c r="HP107" s="263"/>
      <c r="HQ107" s="263"/>
      <c r="HR107" s="263"/>
      <c r="HS107" s="263"/>
      <c r="HT107" s="263"/>
      <c r="HU107" s="263"/>
      <c r="HV107" s="263"/>
      <c r="HW107" s="263"/>
      <c r="HX107" s="263"/>
      <c r="HY107" s="263"/>
      <c r="HZ107" s="263"/>
      <c r="IA107" s="263"/>
      <c r="IB107" s="263"/>
      <c r="IC107" s="263"/>
      <c r="ID107" s="263"/>
      <c r="IE107" s="263"/>
      <c r="IF107" s="263"/>
      <c r="IG107" s="263"/>
      <c r="IH107" s="263"/>
      <c r="II107" s="263"/>
      <c r="IJ107" s="263"/>
      <c r="IK107" s="263"/>
      <c r="IL107" s="263"/>
      <c r="IM107" s="263"/>
      <c r="IN107" s="263"/>
      <c r="IO107" s="263"/>
      <c r="IP107" s="263"/>
      <c r="IQ107" s="263"/>
      <c r="IR107" s="263"/>
      <c r="IS107" s="263"/>
      <c r="IT107" s="263"/>
      <c r="IU107" s="263"/>
    </row>
    <row r="108" spans="1:255" ht="15.6">
      <c r="A108" s="263"/>
      <c r="B108" s="263"/>
      <c r="C108" s="263"/>
      <c r="D108" s="263"/>
      <c r="E108" s="263"/>
      <c r="F108" s="263"/>
      <c r="G108" s="263"/>
      <c r="H108" s="263"/>
      <c r="I108" s="263"/>
      <c r="J108" s="263"/>
      <c r="K108" s="263"/>
      <c r="L108" s="263"/>
      <c r="M108" s="263"/>
      <c r="N108" s="263"/>
      <c r="O108" s="263"/>
      <c r="P108" s="263"/>
      <c r="Q108" s="263"/>
      <c r="R108" s="263"/>
      <c r="S108" s="263"/>
      <c r="T108" s="263"/>
      <c r="U108" s="263"/>
      <c r="V108" s="263"/>
      <c r="W108" s="263"/>
      <c r="X108" s="263"/>
      <c r="Y108" s="263"/>
      <c r="Z108" s="263"/>
      <c r="AA108" s="263"/>
      <c r="AB108" s="263"/>
      <c r="AC108" s="263"/>
      <c r="AD108" s="263"/>
      <c r="AE108" s="263"/>
      <c r="AF108" s="263"/>
      <c r="AG108" s="263"/>
      <c r="AH108" s="263"/>
      <c r="AI108" s="263"/>
      <c r="AJ108" s="263"/>
      <c r="AK108" s="263"/>
      <c r="AL108" s="263"/>
      <c r="AM108" s="263"/>
      <c r="AN108" s="263"/>
      <c r="AO108" s="263"/>
      <c r="AP108" s="263"/>
      <c r="AQ108" s="263"/>
      <c r="AR108" s="263"/>
      <c r="AS108" s="263"/>
      <c r="AT108" s="263"/>
      <c r="AU108" s="263"/>
      <c r="AV108" s="263"/>
      <c r="AW108" s="263"/>
      <c r="AX108" s="263"/>
      <c r="AY108" s="263"/>
      <c r="AZ108" s="263"/>
      <c r="BA108" s="263"/>
      <c r="BB108" s="263"/>
      <c r="BC108" s="263"/>
      <c r="BD108" s="263"/>
      <c r="BE108" s="263"/>
      <c r="BF108" s="263"/>
      <c r="BG108" s="263"/>
      <c r="BH108" s="263"/>
      <c r="BI108" s="263"/>
      <c r="BJ108" s="263"/>
      <c r="BK108" s="263"/>
      <c r="BL108" s="263"/>
      <c r="BM108" s="263"/>
      <c r="BN108" s="263"/>
      <c r="BO108" s="263"/>
      <c r="BP108" s="263"/>
      <c r="BQ108" s="263"/>
      <c r="BR108" s="263"/>
      <c r="BS108" s="263"/>
      <c r="BT108" s="263"/>
      <c r="BU108" s="263"/>
      <c r="BV108" s="263"/>
      <c r="BW108" s="263"/>
      <c r="BX108" s="263"/>
      <c r="BY108" s="263"/>
      <c r="BZ108" s="263"/>
      <c r="CA108" s="263"/>
      <c r="CB108" s="263"/>
      <c r="CC108" s="263"/>
      <c r="CD108" s="263"/>
      <c r="CE108" s="263"/>
      <c r="CF108" s="263"/>
      <c r="CG108" s="263"/>
      <c r="CH108" s="263"/>
      <c r="CI108" s="263"/>
      <c r="CJ108" s="263"/>
      <c r="CK108" s="263"/>
      <c r="CL108" s="263"/>
      <c r="CM108" s="263"/>
      <c r="CN108" s="263"/>
      <c r="CO108" s="263"/>
      <c r="CP108" s="263"/>
      <c r="CQ108" s="263"/>
      <c r="CR108" s="263"/>
      <c r="CS108" s="263"/>
      <c r="CT108" s="263"/>
      <c r="CU108" s="263"/>
      <c r="CV108" s="263"/>
      <c r="CW108" s="263"/>
      <c r="CX108" s="263"/>
      <c r="CY108" s="263"/>
      <c r="CZ108" s="263"/>
      <c r="DA108" s="263"/>
      <c r="DB108" s="263"/>
      <c r="DC108" s="263"/>
      <c r="DD108" s="263"/>
      <c r="DE108" s="263"/>
      <c r="DF108" s="263"/>
      <c r="DG108" s="263"/>
      <c r="DH108" s="263"/>
      <c r="DI108" s="263"/>
      <c r="DJ108" s="263"/>
      <c r="DK108" s="263"/>
      <c r="DL108" s="263"/>
      <c r="DM108" s="263"/>
      <c r="DN108" s="263"/>
      <c r="DO108" s="263"/>
      <c r="DP108" s="263"/>
      <c r="DQ108" s="263"/>
      <c r="DR108" s="263"/>
      <c r="DS108" s="263"/>
      <c r="DT108" s="263"/>
      <c r="DU108" s="263"/>
      <c r="DV108" s="263"/>
      <c r="DW108" s="263"/>
      <c r="DX108" s="263"/>
      <c r="DY108" s="263"/>
      <c r="DZ108" s="263"/>
      <c r="EA108" s="263"/>
      <c r="EB108" s="263"/>
      <c r="EC108" s="263"/>
      <c r="ED108" s="263"/>
      <c r="EE108" s="263"/>
      <c r="EF108" s="263"/>
      <c r="EG108" s="263"/>
      <c r="EH108" s="263"/>
      <c r="EI108" s="263"/>
      <c r="EJ108" s="263"/>
      <c r="EK108" s="263"/>
      <c r="EL108" s="263"/>
      <c r="EM108" s="263"/>
      <c r="EN108" s="263"/>
      <c r="EO108" s="263"/>
      <c r="EP108" s="263"/>
      <c r="EQ108" s="263"/>
      <c r="ER108" s="263"/>
      <c r="ES108" s="263"/>
      <c r="ET108" s="263"/>
      <c r="EU108" s="263"/>
      <c r="EV108" s="263"/>
      <c r="EW108" s="263"/>
      <c r="EX108" s="263"/>
      <c r="EY108" s="263"/>
      <c r="EZ108" s="263"/>
      <c r="FA108" s="263"/>
      <c r="FB108" s="263"/>
      <c r="FC108" s="263"/>
      <c r="FD108" s="263"/>
      <c r="FE108" s="263"/>
      <c r="FF108" s="263"/>
      <c r="FG108" s="263"/>
      <c r="FH108" s="263"/>
      <c r="FI108" s="263"/>
      <c r="FJ108" s="263"/>
      <c r="FK108" s="263"/>
      <c r="FL108" s="263"/>
      <c r="FM108" s="263"/>
      <c r="FN108" s="263"/>
      <c r="FO108" s="263"/>
      <c r="FP108" s="263"/>
      <c r="FQ108" s="263"/>
      <c r="FR108" s="263"/>
      <c r="FS108" s="263"/>
      <c r="FT108" s="263"/>
      <c r="FU108" s="263"/>
      <c r="FV108" s="263"/>
      <c r="FW108" s="263"/>
      <c r="FX108" s="263"/>
      <c r="FY108" s="263"/>
      <c r="FZ108" s="263"/>
      <c r="GA108" s="263"/>
      <c r="GB108" s="263"/>
      <c r="GC108" s="263"/>
      <c r="GD108" s="263"/>
      <c r="GE108" s="263"/>
      <c r="GF108" s="263"/>
      <c r="GG108" s="263"/>
      <c r="GH108" s="263"/>
      <c r="GI108" s="263"/>
      <c r="GJ108" s="263"/>
      <c r="GK108" s="263"/>
      <c r="GL108" s="263"/>
      <c r="GM108" s="263"/>
      <c r="GN108" s="263"/>
      <c r="GO108" s="263"/>
      <c r="GP108" s="263"/>
      <c r="GQ108" s="263"/>
      <c r="GR108" s="263"/>
      <c r="GS108" s="263"/>
      <c r="GT108" s="263"/>
      <c r="GU108" s="263"/>
      <c r="GV108" s="263"/>
      <c r="GW108" s="263"/>
      <c r="GX108" s="263"/>
      <c r="GY108" s="263"/>
      <c r="GZ108" s="263"/>
      <c r="HA108" s="263"/>
      <c r="HB108" s="263"/>
      <c r="HC108" s="263"/>
      <c r="HD108" s="263"/>
      <c r="HE108" s="263"/>
      <c r="HF108" s="263"/>
      <c r="HG108" s="263"/>
      <c r="HH108" s="263"/>
      <c r="HI108" s="263"/>
      <c r="HJ108" s="263"/>
      <c r="HK108" s="263"/>
      <c r="HL108" s="263"/>
      <c r="HM108" s="263"/>
      <c r="HN108" s="263"/>
      <c r="HO108" s="263"/>
      <c r="HP108" s="263"/>
      <c r="HQ108" s="263"/>
      <c r="HR108" s="263"/>
      <c r="HS108" s="263"/>
      <c r="HT108" s="263"/>
      <c r="HU108" s="263"/>
      <c r="HV108" s="263"/>
      <c r="HW108" s="263"/>
      <c r="HX108" s="263"/>
      <c r="HY108" s="263"/>
      <c r="HZ108" s="263"/>
      <c r="IA108" s="263"/>
      <c r="IB108" s="263"/>
      <c r="IC108" s="263"/>
      <c r="ID108" s="263"/>
      <c r="IE108" s="263"/>
      <c r="IF108" s="263"/>
      <c r="IG108" s="263"/>
      <c r="IH108" s="263"/>
      <c r="II108" s="263"/>
      <c r="IJ108" s="263"/>
      <c r="IK108" s="263"/>
      <c r="IL108" s="263"/>
      <c r="IM108" s="263"/>
      <c r="IN108" s="263"/>
      <c r="IO108" s="263"/>
      <c r="IP108" s="263"/>
      <c r="IQ108" s="263"/>
      <c r="IR108" s="263"/>
      <c r="IS108" s="263"/>
      <c r="IT108" s="263"/>
      <c r="IU108" s="263"/>
    </row>
    <row r="109" spans="1:255" ht="15.6">
      <c r="A109" s="263"/>
      <c r="B109" s="263"/>
      <c r="C109" s="263"/>
      <c r="D109" s="263"/>
      <c r="E109" s="263"/>
      <c r="F109" s="263"/>
      <c r="G109" s="263"/>
      <c r="H109" s="263"/>
      <c r="I109" s="263"/>
      <c r="J109" s="263"/>
      <c r="K109" s="263"/>
      <c r="L109" s="263"/>
      <c r="M109" s="263"/>
      <c r="N109" s="263"/>
      <c r="O109" s="263"/>
      <c r="P109" s="263"/>
      <c r="Q109" s="263"/>
      <c r="R109" s="263"/>
      <c r="S109" s="263"/>
      <c r="T109" s="263"/>
      <c r="U109" s="263"/>
      <c r="V109" s="263"/>
      <c r="W109" s="263"/>
      <c r="X109" s="263"/>
      <c r="Y109" s="263"/>
      <c r="Z109" s="263"/>
      <c r="AA109" s="263"/>
      <c r="AB109" s="263"/>
      <c r="AC109" s="263"/>
      <c r="AD109" s="263"/>
      <c r="AE109" s="263"/>
      <c r="AF109" s="263"/>
      <c r="AG109" s="263"/>
      <c r="AH109" s="263"/>
      <c r="AI109" s="263"/>
      <c r="AJ109" s="263"/>
      <c r="AK109" s="263"/>
      <c r="AL109" s="263"/>
      <c r="AM109" s="263"/>
      <c r="AN109" s="263"/>
      <c r="AO109" s="263"/>
      <c r="AP109" s="263"/>
      <c r="AQ109" s="263"/>
      <c r="AR109" s="263"/>
      <c r="AS109" s="263"/>
      <c r="AT109" s="263"/>
      <c r="AU109" s="263"/>
      <c r="AV109" s="263"/>
      <c r="AW109" s="263"/>
      <c r="AX109" s="263"/>
      <c r="AY109" s="263"/>
      <c r="AZ109" s="263"/>
      <c r="BA109" s="263"/>
      <c r="BB109" s="263"/>
      <c r="BC109" s="263"/>
      <c r="BD109" s="263"/>
      <c r="BE109" s="263"/>
      <c r="BF109" s="263"/>
      <c r="BG109" s="263"/>
      <c r="BH109" s="263"/>
      <c r="BI109" s="263"/>
      <c r="BJ109" s="263"/>
      <c r="BK109" s="263"/>
      <c r="BL109" s="263"/>
      <c r="BM109" s="263"/>
      <c r="BN109" s="263"/>
      <c r="BO109" s="263"/>
      <c r="BP109" s="263"/>
      <c r="BQ109" s="263"/>
      <c r="BR109" s="263"/>
      <c r="BS109" s="263"/>
      <c r="BT109" s="263"/>
      <c r="BU109" s="263"/>
      <c r="BV109" s="263"/>
      <c r="BW109" s="263"/>
      <c r="BX109" s="263"/>
      <c r="BY109" s="263"/>
      <c r="BZ109" s="263"/>
      <c r="CA109" s="263"/>
      <c r="CB109" s="263"/>
      <c r="CC109" s="263"/>
      <c r="CD109" s="263"/>
      <c r="CE109" s="263"/>
      <c r="CF109" s="263"/>
      <c r="CG109" s="263"/>
      <c r="CH109" s="263"/>
      <c r="CI109" s="263"/>
      <c r="CJ109" s="263"/>
      <c r="CK109" s="263"/>
      <c r="CL109" s="263"/>
      <c r="CM109" s="263"/>
      <c r="CN109" s="263"/>
      <c r="CO109" s="263"/>
      <c r="CP109" s="263"/>
      <c r="CQ109" s="263"/>
      <c r="CR109" s="263"/>
      <c r="CS109" s="263"/>
      <c r="CT109" s="263"/>
      <c r="CU109" s="263"/>
      <c r="CV109" s="263"/>
      <c r="CW109" s="263"/>
      <c r="CX109" s="263"/>
      <c r="CY109" s="263"/>
      <c r="CZ109" s="263"/>
      <c r="DA109" s="263"/>
      <c r="DB109" s="263"/>
      <c r="DC109" s="263"/>
      <c r="DD109" s="263"/>
      <c r="DE109" s="263"/>
      <c r="DF109" s="263"/>
      <c r="DG109" s="263"/>
      <c r="DH109" s="263"/>
      <c r="DI109" s="263"/>
      <c r="DJ109" s="263"/>
      <c r="DK109" s="263"/>
      <c r="DL109" s="263"/>
      <c r="DM109" s="263"/>
      <c r="DN109" s="263"/>
      <c r="DO109" s="263"/>
      <c r="DP109" s="263"/>
      <c r="DQ109" s="263"/>
      <c r="DR109" s="263"/>
      <c r="DS109" s="263"/>
      <c r="DT109" s="263"/>
      <c r="DU109" s="263"/>
      <c r="DV109" s="263"/>
      <c r="DW109" s="263"/>
      <c r="DX109" s="263"/>
      <c r="DY109" s="263"/>
      <c r="DZ109" s="263"/>
      <c r="EA109" s="263"/>
      <c r="EB109" s="263"/>
      <c r="EC109" s="263"/>
      <c r="ED109" s="263"/>
      <c r="EE109" s="263"/>
      <c r="EF109" s="263"/>
      <c r="EG109" s="263"/>
      <c r="EH109" s="263"/>
      <c r="EI109" s="263"/>
      <c r="EJ109" s="263"/>
      <c r="EK109" s="263"/>
      <c r="EL109" s="263"/>
      <c r="EM109" s="263"/>
      <c r="EN109" s="263"/>
      <c r="EO109" s="263"/>
      <c r="EP109" s="263"/>
      <c r="EQ109" s="263"/>
      <c r="ER109" s="263"/>
      <c r="ES109" s="263"/>
      <c r="ET109" s="263"/>
      <c r="EU109" s="263"/>
      <c r="EV109" s="263"/>
      <c r="EW109" s="263"/>
      <c r="EX109" s="263"/>
      <c r="EY109" s="263"/>
      <c r="EZ109" s="263"/>
      <c r="FA109" s="263"/>
      <c r="FB109" s="263"/>
      <c r="FC109" s="263"/>
      <c r="FD109" s="263"/>
      <c r="FE109" s="263"/>
      <c r="FF109" s="263"/>
      <c r="FG109" s="263"/>
      <c r="FH109" s="263"/>
      <c r="FI109" s="263"/>
      <c r="FJ109" s="263"/>
      <c r="FK109" s="263"/>
      <c r="FL109" s="263"/>
      <c r="FM109" s="263"/>
      <c r="FN109" s="263"/>
      <c r="FO109" s="263"/>
      <c r="FP109" s="263"/>
      <c r="FQ109" s="263"/>
      <c r="FR109" s="263"/>
      <c r="FS109" s="263"/>
      <c r="FT109" s="263"/>
      <c r="FU109" s="263"/>
      <c r="FV109" s="263"/>
      <c r="FW109" s="263"/>
      <c r="FX109" s="263"/>
      <c r="FY109" s="263"/>
      <c r="FZ109" s="263"/>
      <c r="GA109" s="263"/>
      <c r="GB109" s="263"/>
      <c r="GC109" s="263"/>
      <c r="GD109" s="263"/>
      <c r="GE109" s="263"/>
      <c r="GF109" s="263"/>
      <c r="GG109" s="263"/>
      <c r="GH109" s="263"/>
      <c r="GI109" s="263"/>
      <c r="GJ109" s="263"/>
      <c r="GK109" s="263"/>
      <c r="GL109" s="263"/>
      <c r="GM109" s="263"/>
      <c r="GN109" s="263"/>
      <c r="GO109" s="263"/>
      <c r="GP109" s="263"/>
      <c r="GQ109" s="263"/>
      <c r="GR109" s="263"/>
      <c r="GS109" s="263"/>
      <c r="GT109" s="263"/>
      <c r="GU109" s="263"/>
      <c r="GV109" s="263"/>
      <c r="GW109" s="263"/>
      <c r="GX109" s="263"/>
      <c r="GY109" s="263"/>
      <c r="GZ109" s="263"/>
      <c r="HA109" s="263"/>
      <c r="HB109" s="263"/>
      <c r="HC109" s="263"/>
      <c r="HD109" s="263"/>
      <c r="HE109" s="263"/>
      <c r="HF109" s="263"/>
      <c r="HG109" s="263"/>
      <c r="HH109" s="263"/>
      <c r="HI109" s="263"/>
      <c r="HJ109" s="263"/>
      <c r="HK109" s="263"/>
      <c r="HL109" s="263"/>
      <c r="HM109" s="263"/>
      <c r="HN109" s="263"/>
      <c r="HO109" s="263"/>
      <c r="HP109" s="263"/>
      <c r="HQ109" s="263"/>
      <c r="HR109" s="263"/>
      <c r="HS109" s="263"/>
      <c r="HT109" s="263"/>
      <c r="HU109" s="263"/>
      <c r="HV109" s="263"/>
      <c r="HW109" s="263"/>
      <c r="HX109" s="263"/>
      <c r="HY109" s="263"/>
      <c r="HZ109" s="263"/>
      <c r="IA109" s="263"/>
      <c r="IB109" s="263"/>
      <c r="IC109" s="263"/>
      <c r="ID109" s="263"/>
      <c r="IE109" s="263"/>
      <c r="IF109" s="263"/>
      <c r="IG109" s="263"/>
      <c r="IH109" s="263"/>
      <c r="II109" s="263"/>
      <c r="IJ109" s="263"/>
      <c r="IK109" s="263"/>
      <c r="IL109" s="263"/>
      <c r="IM109" s="263"/>
      <c r="IN109" s="263"/>
      <c r="IO109" s="263"/>
      <c r="IP109" s="263"/>
      <c r="IQ109" s="263"/>
      <c r="IR109" s="263"/>
      <c r="IS109" s="263"/>
      <c r="IT109" s="263"/>
      <c r="IU109" s="263"/>
    </row>
    <row r="110" spans="1:255" ht="15.6">
      <c r="A110" s="263"/>
      <c r="B110" s="263"/>
      <c r="C110" s="263"/>
      <c r="D110" s="263"/>
      <c r="E110" s="263"/>
      <c r="F110" s="263"/>
      <c r="G110" s="263"/>
      <c r="H110" s="263"/>
      <c r="I110" s="263"/>
      <c r="J110" s="263"/>
      <c r="K110" s="263"/>
      <c r="L110" s="263"/>
      <c r="M110" s="263"/>
      <c r="N110" s="263"/>
      <c r="O110" s="263"/>
      <c r="P110" s="263"/>
      <c r="Q110" s="263"/>
      <c r="R110" s="263"/>
      <c r="S110" s="263"/>
      <c r="T110" s="263"/>
      <c r="U110" s="263"/>
      <c r="V110" s="263"/>
      <c r="W110" s="263"/>
      <c r="X110" s="263"/>
      <c r="Y110" s="263"/>
      <c r="Z110" s="263"/>
      <c r="AA110" s="263"/>
      <c r="AB110" s="263"/>
      <c r="AC110" s="263"/>
      <c r="AD110" s="263"/>
      <c r="AE110" s="263"/>
      <c r="AF110" s="263"/>
      <c r="AG110" s="263"/>
      <c r="AH110" s="263"/>
      <c r="AI110" s="263"/>
      <c r="AJ110" s="263"/>
      <c r="AK110" s="263"/>
      <c r="AL110" s="263"/>
      <c r="AM110" s="263"/>
      <c r="AN110" s="263"/>
      <c r="AO110" s="263"/>
      <c r="AP110" s="263"/>
      <c r="AQ110" s="263"/>
      <c r="AR110" s="263"/>
      <c r="AS110" s="263"/>
      <c r="AT110" s="263"/>
      <c r="AU110" s="263"/>
      <c r="AV110" s="263"/>
      <c r="AW110" s="263"/>
      <c r="AX110" s="263"/>
      <c r="AY110" s="263"/>
      <c r="AZ110" s="263"/>
      <c r="BA110" s="263"/>
      <c r="BB110" s="263"/>
      <c r="BC110" s="263"/>
      <c r="BD110" s="263"/>
      <c r="BE110" s="263"/>
      <c r="BF110" s="263"/>
      <c r="BG110" s="263"/>
      <c r="BH110" s="263"/>
      <c r="BI110" s="263"/>
      <c r="BJ110" s="263"/>
      <c r="BK110" s="263"/>
      <c r="BL110" s="263"/>
      <c r="BM110" s="263"/>
      <c r="BN110" s="263"/>
      <c r="BO110" s="263"/>
      <c r="BP110" s="263"/>
      <c r="BQ110" s="263"/>
      <c r="BR110" s="263"/>
      <c r="BS110" s="263"/>
      <c r="BT110" s="263"/>
      <c r="BU110" s="263"/>
      <c r="BV110" s="263"/>
      <c r="BW110" s="263"/>
      <c r="BX110" s="263"/>
      <c r="BY110" s="263"/>
      <c r="BZ110" s="263"/>
      <c r="CA110" s="263"/>
      <c r="CB110" s="263"/>
      <c r="CC110" s="263"/>
      <c r="CD110" s="263"/>
      <c r="CE110" s="263"/>
      <c r="CF110" s="263"/>
      <c r="CG110" s="263"/>
      <c r="CH110" s="263"/>
      <c r="CI110" s="263"/>
      <c r="CJ110" s="263"/>
      <c r="CK110" s="263"/>
      <c r="CL110" s="263"/>
      <c r="CM110" s="263"/>
      <c r="CN110" s="263"/>
      <c r="CO110" s="263"/>
      <c r="CP110" s="263"/>
      <c r="CQ110" s="263"/>
      <c r="CR110" s="263"/>
      <c r="CS110" s="263"/>
      <c r="CT110" s="263"/>
      <c r="CU110" s="263"/>
      <c r="CV110" s="263"/>
      <c r="CW110" s="263"/>
      <c r="CX110" s="263"/>
      <c r="CY110" s="263"/>
      <c r="CZ110" s="263"/>
      <c r="DA110" s="263"/>
      <c r="DB110" s="263"/>
      <c r="DC110" s="263"/>
      <c r="DD110" s="263"/>
      <c r="DE110" s="263"/>
      <c r="DF110" s="263"/>
      <c r="DG110" s="263"/>
      <c r="DH110" s="263"/>
      <c r="DI110" s="263"/>
      <c r="DJ110" s="263"/>
      <c r="DK110" s="263"/>
      <c r="DL110" s="263"/>
      <c r="DM110" s="263"/>
      <c r="DN110" s="263"/>
      <c r="DO110" s="263"/>
      <c r="DP110" s="263"/>
      <c r="DQ110" s="263"/>
      <c r="DR110" s="263"/>
      <c r="DS110" s="263"/>
      <c r="DT110" s="263"/>
      <c r="DU110" s="263"/>
      <c r="DV110" s="263"/>
      <c r="DW110" s="263"/>
      <c r="DX110" s="263"/>
      <c r="DY110" s="263"/>
      <c r="DZ110" s="263"/>
      <c r="EA110" s="263"/>
      <c r="EB110" s="263"/>
      <c r="EC110" s="263"/>
      <c r="ED110" s="263"/>
      <c r="EE110" s="263"/>
      <c r="EF110" s="263"/>
      <c r="EG110" s="263"/>
      <c r="EH110" s="263"/>
      <c r="EI110" s="263"/>
      <c r="EJ110" s="263"/>
      <c r="EK110" s="263"/>
      <c r="EL110" s="263"/>
      <c r="EM110" s="263"/>
      <c r="EN110" s="263"/>
      <c r="EO110" s="263"/>
      <c r="EP110" s="263"/>
      <c r="EQ110" s="263"/>
      <c r="ER110" s="263"/>
      <c r="ES110" s="263"/>
      <c r="ET110" s="263"/>
      <c r="EU110" s="263"/>
      <c r="EV110" s="263"/>
      <c r="EW110" s="263"/>
      <c r="EX110" s="263"/>
      <c r="EY110" s="263"/>
      <c r="EZ110" s="263"/>
      <c r="FA110" s="263"/>
      <c r="FB110" s="263"/>
      <c r="FC110" s="263"/>
      <c r="FD110" s="263"/>
      <c r="FE110" s="263"/>
      <c r="FF110" s="263"/>
      <c r="FG110" s="263"/>
      <c r="FH110" s="263"/>
      <c r="FI110" s="263"/>
      <c r="FJ110" s="263"/>
      <c r="FK110" s="263"/>
      <c r="FL110" s="263"/>
      <c r="FM110" s="263"/>
      <c r="FN110" s="263"/>
      <c r="FO110" s="263"/>
      <c r="FP110" s="263"/>
      <c r="FQ110" s="263"/>
      <c r="FR110" s="263"/>
      <c r="FS110" s="263"/>
      <c r="FT110" s="263"/>
      <c r="FU110" s="263"/>
      <c r="FV110" s="263"/>
      <c r="FW110" s="263"/>
      <c r="FX110" s="263"/>
      <c r="FY110" s="263"/>
      <c r="FZ110" s="263"/>
      <c r="GA110" s="263"/>
      <c r="GB110" s="263"/>
      <c r="GC110" s="263"/>
      <c r="GD110" s="263"/>
      <c r="GE110" s="263"/>
      <c r="GF110" s="263"/>
      <c r="GG110" s="263"/>
      <c r="GH110" s="263"/>
      <c r="GI110" s="263"/>
      <c r="GJ110" s="263"/>
      <c r="GK110" s="263"/>
      <c r="GL110" s="263"/>
      <c r="GM110" s="263"/>
      <c r="GN110" s="263"/>
      <c r="GO110" s="263"/>
      <c r="GP110" s="263"/>
      <c r="GQ110" s="263"/>
      <c r="GR110" s="263"/>
      <c r="GS110" s="263"/>
      <c r="GT110" s="263"/>
      <c r="GU110" s="263"/>
      <c r="GV110" s="263"/>
      <c r="GW110" s="263"/>
      <c r="GX110" s="263"/>
      <c r="GY110" s="263"/>
      <c r="GZ110" s="263"/>
      <c r="HA110" s="263"/>
      <c r="HB110" s="263"/>
      <c r="HC110" s="263"/>
      <c r="HD110" s="263"/>
      <c r="HE110" s="263"/>
      <c r="HF110" s="263"/>
      <c r="HG110" s="263"/>
      <c r="HH110" s="263"/>
      <c r="HI110" s="263"/>
      <c r="HJ110" s="263"/>
      <c r="HK110" s="263"/>
      <c r="HL110" s="263"/>
      <c r="HM110" s="263"/>
      <c r="HN110" s="263"/>
      <c r="HO110" s="263"/>
      <c r="HP110" s="263"/>
      <c r="HQ110" s="263"/>
      <c r="HR110" s="263"/>
      <c r="HS110" s="263"/>
      <c r="HT110" s="263"/>
      <c r="HU110" s="263"/>
      <c r="HV110" s="263"/>
      <c r="HW110" s="263"/>
      <c r="HX110" s="263"/>
      <c r="HY110" s="263"/>
      <c r="HZ110" s="263"/>
      <c r="IA110" s="263"/>
      <c r="IB110" s="263"/>
      <c r="IC110" s="263"/>
      <c r="ID110" s="263"/>
      <c r="IE110" s="263"/>
      <c r="IF110" s="263"/>
      <c r="IG110" s="263"/>
      <c r="IH110" s="263"/>
      <c r="II110" s="263"/>
      <c r="IJ110" s="263"/>
      <c r="IK110" s="263"/>
      <c r="IL110" s="263"/>
      <c r="IM110" s="263"/>
      <c r="IN110" s="263"/>
      <c r="IO110" s="263"/>
      <c r="IP110" s="263"/>
      <c r="IQ110" s="263"/>
      <c r="IR110" s="263"/>
      <c r="IS110" s="263"/>
      <c r="IT110" s="263"/>
      <c r="IU110" s="263"/>
    </row>
    <row r="111" spans="1:255" ht="15.6">
      <c r="A111" s="263"/>
      <c r="B111" s="263"/>
      <c r="C111" s="263"/>
      <c r="D111" s="263"/>
      <c r="E111" s="263"/>
      <c r="F111" s="263"/>
      <c r="G111" s="263"/>
      <c r="H111" s="263"/>
      <c r="I111" s="263"/>
      <c r="J111" s="263"/>
      <c r="K111" s="263"/>
      <c r="L111" s="263"/>
      <c r="M111" s="263"/>
      <c r="N111" s="263"/>
      <c r="O111" s="263"/>
      <c r="P111" s="263"/>
      <c r="Q111" s="263"/>
      <c r="R111" s="263"/>
      <c r="S111" s="263"/>
      <c r="T111" s="263"/>
      <c r="U111" s="263"/>
      <c r="V111" s="263"/>
      <c r="W111" s="263"/>
      <c r="X111" s="263"/>
      <c r="Y111" s="263"/>
      <c r="Z111" s="263"/>
      <c r="AA111" s="263"/>
      <c r="AB111" s="263"/>
      <c r="AC111" s="263"/>
      <c r="AD111" s="263"/>
      <c r="AE111" s="263"/>
      <c r="AF111" s="263"/>
      <c r="AG111" s="263"/>
      <c r="AH111" s="263"/>
      <c r="AI111" s="263"/>
      <c r="AJ111" s="263"/>
      <c r="AK111" s="263"/>
      <c r="AL111" s="263"/>
      <c r="AM111" s="263"/>
      <c r="AN111" s="263"/>
      <c r="AO111" s="263"/>
      <c r="AP111" s="263"/>
      <c r="AQ111" s="263"/>
      <c r="AR111" s="263"/>
      <c r="AS111" s="263"/>
      <c r="AT111" s="263"/>
      <c r="AU111" s="263"/>
      <c r="AV111" s="263"/>
      <c r="AW111" s="263"/>
      <c r="AX111" s="263"/>
      <c r="AY111" s="263"/>
      <c r="AZ111" s="263"/>
      <c r="BA111" s="263"/>
      <c r="BB111" s="263"/>
      <c r="BC111" s="263"/>
      <c r="BD111" s="263"/>
      <c r="BE111" s="263"/>
      <c r="BF111" s="263"/>
      <c r="BG111" s="263"/>
      <c r="BH111" s="263"/>
      <c r="BI111" s="263"/>
      <c r="BJ111" s="263"/>
      <c r="BK111" s="263"/>
      <c r="BL111" s="263"/>
      <c r="BM111" s="263"/>
      <c r="BN111" s="263"/>
      <c r="BO111" s="263"/>
      <c r="BP111" s="263"/>
      <c r="BQ111" s="263"/>
      <c r="BR111" s="263"/>
      <c r="BS111" s="263"/>
      <c r="BT111" s="263"/>
      <c r="BU111" s="263"/>
      <c r="BV111" s="263"/>
      <c r="BW111" s="263"/>
      <c r="BX111" s="263"/>
      <c r="BY111" s="263"/>
      <c r="BZ111" s="263"/>
      <c r="CA111" s="263"/>
      <c r="CB111" s="263"/>
      <c r="CC111" s="263"/>
      <c r="CD111" s="263"/>
      <c r="CE111" s="263"/>
      <c r="CF111" s="263"/>
      <c r="CG111" s="263"/>
      <c r="CH111" s="263"/>
      <c r="CI111" s="263"/>
      <c r="CJ111" s="263"/>
      <c r="CK111" s="263"/>
      <c r="CL111" s="263"/>
      <c r="CM111" s="263"/>
      <c r="CN111" s="263"/>
      <c r="CO111" s="263"/>
      <c r="CP111" s="263"/>
      <c r="CQ111" s="263"/>
      <c r="CR111" s="263"/>
      <c r="CS111" s="263"/>
      <c r="CT111" s="263"/>
      <c r="CU111" s="263"/>
      <c r="CV111" s="263"/>
      <c r="CW111" s="263"/>
      <c r="CX111" s="263"/>
      <c r="CY111" s="263"/>
      <c r="CZ111" s="263"/>
      <c r="DA111" s="263"/>
      <c r="DB111" s="263"/>
      <c r="DC111" s="263"/>
      <c r="DD111" s="263"/>
      <c r="DE111" s="263"/>
      <c r="DF111" s="263"/>
      <c r="DG111" s="263"/>
      <c r="DH111" s="263"/>
      <c r="DI111" s="263"/>
      <c r="DJ111" s="263"/>
      <c r="DK111" s="263"/>
      <c r="DL111" s="263"/>
      <c r="DM111" s="263"/>
      <c r="DN111" s="263"/>
      <c r="DO111" s="263"/>
      <c r="DP111" s="263"/>
      <c r="DQ111" s="263"/>
      <c r="DR111" s="263"/>
      <c r="DS111" s="263"/>
      <c r="DT111" s="263"/>
      <c r="DU111" s="263"/>
      <c r="DV111" s="263"/>
      <c r="DW111" s="263"/>
      <c r="DX111" s="263"/>
      <c r="DY111" s="263"/>
      <c r="DZ111" s="263"/>
      <c r="EA111" s="263"/>
      <c r="EB111" s="263"/>
      <c r="EC111" s="263"/>
      <c r="ED111" s="263"/>
      <c r="EE111" s="263"/>
      <c r="EF111" s="263"/>
      <c r="EG111" s="263"/>
      <c r="EH111" s="263"/>
      <c r="EI111" s="263"/>
      <c r="EJ111" s="263"/>
      <c r="EK111" s="263"/>
      <c r="EL111" s="263"/>
      <c r="EM111" s="263"/>
      <c r="EN111" s="263"/>
      <c r="EO111" s="263"/>
      <c r="EP111" s="263"/>
      <c r="EQ111" s="263"/>
      <c r="ER111" s="263"/>
      <c r="ES111" s="263"/>
      <c r="ET111" s="263"/>
      <c r="EU111" s="263"/>
      <c r="EV111" s="263"/>
      <c r="EW111" s="263"/>
      <c r="EX111" s="263"/>
      <c r="EY111" s="263"/>
      <c r="EZ111" s="263"/>
      <c r="FA111" s="263"/>
      <c r="FB111" s="263"/>
      <c r="FC111" s="263"/>
      <c r="FD111" s="263"/>
      <c r="FE111" s="263"/>
      <c r="FF111" s="263"/>
      <c r="FG111" s="263"/>
      <c r="FH111" s="263"/>
      <c r="FI111" s="263"/>
      <c r="FJ111" s="263"/>
      <c r="FK111" s="263"/>
      <c r="FL111" s="263"/>
      <c r="FM111" s="263"/>
      <c r="FN111" s="263"/>
      <c r="FO111" s="263"/>
      <c r="FP111" s="263"/>
      <c r="FQ111" s="263"/>
      <c r="FR111" s="263"/>
      <c r="FS111" s="263"/>
      <c r="FT111" s="263"/>
      <c r="FU111" s="263"/>
      <c r="FV111" s="263"/>
      <c r="FW111" s="263"/>
      <c r="FX111" s="263"/>
      <c r="FY111" s="263"/>
      <c r="FZ111" s="263"/>
      <c r="GA111" s="263"/>
      <c r="GB111" s="263"/>
      <c r="GC111" s="263"/>
      <c r="GD111" s="263"/>
      <c r="GE111" s="263"/>
      <c r="GF111" s="263"/>
      <c r="GG111" s="263"/>
      <c r="GH111" s="263"/>
      <c r="GI111" s="263"/>
      <c r="GJ111" s="263"/>
      <c r="GK111" s="263"/>
      <c r="GL111" s="263"/>
      <c r="GM111" s="263"/>
      <c r="GN111" s="263"/>
      <c r="GO111" s="263"/>
      <c r="GP111" s="263"/>
      <c r="GQ111" s="263"/>
      <c r="GR111" s="263"/>
      <c r="GS111" s="263"/>
      <c r="GT111" s="263"/>
      <c r="GU111" s="263"/>
      <c r="GV111" s="263"/>
      <c r="GW111" s="263"/>
      <c r="GX111" s="263"/>
      <c r="GY111" s="263"/>
      <c r="GZ111" s="263"/>
      <c r="HA111" s="263"/>
      <c r="HB111" s="263"/>
      <c r="HC111" s="263"/>
      <c r="HD111" s="263"/>
      <c r="HE111" s="263"/>
      <c r="HF111" s="263"/>
      <c r="HG111" s="263"/>
      <c r="HH111" s="263"/>
      <c r="HI111" s="263"/>
      <c r="HJ111" s="263"/>
      <c r="HK111" s="263"/>
      <c r="HL111" s="263"/>
      <c r="HM111" s="263"/>
      <c r="HN111" s="263"/>
      <c r="HO111" s="263"/>
      <c r="HP111" s="263"/>
      <c r="HQ111" s="263"/>
      <c r="HR111" s="263"/>
      <c r="HS111" s="263"/>
      <c r="HT111" s="263"/>
      <c r="HU111" s="263"/>
      <c r="HV111" s="263"/>
      <c r="HW111" s="263"/>
      <c r="HX111" s="263"/>
      <c r="HY111" s="263"/>
      <c r="HZ111" s="263"/>
      <c r="IA111" s="263"/>
      <c r="IB111" s="263"/>
      <c r="IC111" s="263"/>
      <c r="ID111" s="263"/>
      <c r="IE111" s="263"/>
      <c r="IF111" s="263"/>
      <c r="IG111" s="263"/>
      <c r="IH111" s="263"/>
      <c r="II111" s="263"/>
      <c r="IJ111" s="263"/>
      <c r="IK111" s="263"/>
      <c r="IL111" s="263"/>
      <c r="IM111" s="263"/>
      <c r="IN111" s="263"/>
      <c r="IO111" s="263"/>
      <c r="IP111" s="263"/>
      <c r="IQ111" s="263"/>
      <c r="IR111" s="263"/>
      <c r="IS111" s="263"/>
      <c r="IT111" s="263"/>
      <c r="IU111" s="263"/>
    </row>
    <row r="112" spans="1:255" ht="15.6">
      <c r="A112" s="263"/>
      <c r="B112" s="263"/>
      <c r="C112" s="263"/>
      <c r="D112" s="263"/>
      <c r="E112" s="263"/>
      <c r="F112" s="263"/>
      <c r="G112" s="263"/>
      <c r="H112" s="263"/>
      <c r="I112" s="263"/>
      <c r="J112" s="263"/>
      <c r="K112" s="263"/>
      <c r="L112" s="263"/>
      <c r="M112" s="263"/>
      <c r="N112" s="263"/>
      <c r="O112" s="263"/>
      <c r="P112" s="263"/>
      <c r="Q112" s="263"/>
      <c r="R112" s="263"/>
      <c r="S112" s="263"/>
      <c r="T112" s="263"/>
      <c r="U112" s="263"/>
      <c r="V112" s="263"/>
      <c r="W112" s="263"/>
      <c r="X112" s="263"/>
      <c r="Y112" s="263"/>
      <c r="Z112" s="263"/>
      <c r="AA112" s="263"/>
      <c r="AB112" s="263"/>
      <c r="AC112" s="263"/>
      <c r="AD112" s="263"/>
      <c r="AE112" s="263"/>
      <c r="AF112" s="263"/>
      <c r="AG112" s="263"/>
      <c r="AH112" s="263"/>
      <c r="AI112" s="263"/>
      <c r="AJ112" s="263"/>
      <c r="AK112" s="263"/>
      <c r="AL112" s="263"/>
      <c r="AM112" s="263"/>
      <c r="AN112" s="263"/>
      <c r="AO112" s="263"/>
      <c r="AP112" s="263"/>
      <c r="AQ112" s="263"/>
      <c r="AR112" s="263"/>
      <c r="AS112" s="263"/>
      <c r="AT112" s="263"/>
      <c r="AU112" s="263"/>
      <c r="AV112" s="263"/>
      <c r="AW112" s="263"/>
      <c r="AX112" s="263"/>
      <c r="AY112" s="263"/>
      <c r="AZ112" s="263"/>
      <c r="BA112" s="263"/>
      <c r="BB112" s="263"/>
      <c r="BC112" s="263"/>
      <c r="BD112" s="263"/>
      <c r="BE112" s="263"/>
      <c r="BF112" s="263"/>
      <c r="BG112" s="263"/>
      <c r="BH112" s="263"/>
      <c r="BI112" s="263"/>
      <c r="BJ112" s="263"/>
      <c r="BK112" s="263"/>
      <c r="BL112" s="263"/>
      <c r="BM112" s="263"/>
      <c r="BN112" s="263"/>
      <c r="BO112" s="263"/>
      <c r="BP112" s="263"/>
      <c r="BQ112" s="263"/>
      <c r="BR112" s="263"/>
      <c r="BS112" s="263"/>
      <c r="BT112" s="263"/>
      <c r="BU112" s="263"/>
      <c r="BV112" s="263"/>
      <c r="BW112" s="263"/>
      <c r="BX112" s="263"/>
      <c r="BY112" s="263"/>
      <c r="BZ112" s="263"/>
      <c r="CA112" s="263"/>
      <c r="CB112" s="263"/>
      <c r="CC112" s="263"/>
      <c r="CD112" s="263"/>
      <c r="CE112" s="263"/>
      <c r="CF112" s="263"/>
      <c r="CG112" s="263"/>
      <c r="CH112" s="263"/>
      <c r="CI112" s="263"/>
      <c r="CJ112" s="263"/>
      <c r="CK112" s="263"/>
      <c r="CL112" s="263"/>
      <c r="CM112" s="263"/>
      <c r="CN112" s="263"/>
      <c r="CO112" s="263"/>
      <c r="CP112" s="263"/>
      <c r="CQ112" s="263"/>
      <c r="CR112" s="263"/>
      <c r="CS112" s="263"/>
      <c r="CT112" s="263"/>
      <c r="CU112" s="263"/>
      <c r="CV112" s="263"/>
      <c r="CW112" s="263"/>
      <c r="CX112" s="263"/>
      <c r="CY112" s="263"/>
      <c r="CZ112" s="263"/>
      <c r="DA112" s="263"/>
      <c r="DB112" s="263"/>
      <c r="DC112" s="263"/>
      <c r="DD112" s="263"/>
      <c r="DE112" s="263"/>
      <c r="DF112" s="263"/>
      <c r="DG112" s="263"/>
      <c r="DH112" s="263"/>
      <c r="DI112" s="263"/>
      <c r="DJ112" s="263"/>
      <c r="DK112" s="263"/>
      <c r="DL112" s="263"/>
      <c r="DM112" s="263"/>
      <c r="DN112" s="263"/>
      <c r="DO112" s="263"/>
      <c r="DP112" s="263"/>
      <c r="DQ112" s="263"/>
      <c r="DR112" s="263"/>
      <c r="DS112" s="263"/>
      <c r="DT112" s="263"/>
      <c r="DU112" s="263"/>
      <c r="DV112" s="263"/>
      <c r="DW112" s="263"/>
      <c r="DX112" s="263"/>
      <c r="DY112" s="263"/>
      <c r="DZ112" s="263"/>
      <c r="EA112" s="263"/>
      <c r="EB112" s="263"/>
      <c r="EC112" s="263"/>
      <c r="ED112" s="263"/>
      <c r="EE112" s="263"/>
      <c r="EF112" s="263"/>
      <c r="EG112" s="263"/>
      <c r="EH112" s="263"/>
      <c r="EI112" s="263"/>
      <c r="EJ112" s="263"/>
      <c r="EK112" s="263"/>
      <c r="EL112" s="263"/>
      <c r="EM112" s="263"/>
      <c r="EN112" s="263"/>
      <c r="EO112" s="263"/>
      <c r="EP112" s="263"/>
      <c r="EQ112" s="263"/>
      <c r="ER112" s="263"/>
      <c r="ES112" s="263"/>
      <c r="ET112" s="263"/>
      <c r="EU112" s="263"/>
      <c r="EV112" s="263"/>
      <c r="EW112" s="263"/>
      <c r="EX112" s="263"/>
      <c r="EY112" s="263"/>
      <c r="EZ112" s="263"/>
      <c r="FA112" s="263"/>
      <c r="FB112" s="263"/>
      <c r="FC112" s="263"/>
      <c r="FD112" s="263"/>
      <c r="FE112" s="263"/>
      <c r="FF112" s="263"/>
      <c r="FG112" s="263"/>
      <c r="FH112" s="263"/>
      <c r="FI112" s="263"/>
      <c r="FJ112" s="263"/>
      <c r="FK112" s="263"/>
      <c r="FL112" s="263"/>
      <c r="FM112" s="263"/>
      <c r="FN112" s="263"/>
      <c r="FO112" s="263"/>
      <c r="FP112" s="263"/>
      <c r="FQ112" s="263"/>
      <c r="FR112" s="263"/>
      <c r="FS112" s="263"/>
      <c r="FT112" s="263"/>
      <c r="FU112" s="263"/>
      <c r="FV112" s="263"/>
      <c r="FW112" s="263"/>
      <c r="FX112" s="263"/>
      <c r="FY112" s="263"/>
      <c r="FZ112" s="263"/>
      <c r="GA112" s="263"/>
      <c r="GB112" s="263"/>
      <c r="GC112" s="263"/>
      <c r="GD112" s="263"/>
      <c r="GE112" s="263"/>
      <c r="GF112" s="263"/>
      <c r="GG112" s="263"/>
      <c r="GH112" s="263"/>
      <c r="GI112" s="263"/>
      <c r="GJ112" s="263"/>
      <c r="GK112" s="263"/>
      <c r="GL112" s="263"/>
      <c r="GM112" s="263"/>
      <c r="GN112" s="263"/>
      <c r="GO112" s="263"/>
      <c r="GP112" s="263"/>
      <c r="GQ112" s="263"/>
      <c r="GR112" s="263"/>
      <c r="GS112" s="263"/>
      <c r="GT112" s="263"/>
      <c r="GU112" s="263"/>
      <c r="GV112" s="263"/>
      <c r="GW112" s="263"/>
      <c r="GX112" s="263"/>
      <c r="GY112" s="263"/>
      <c r="GZ112" s="263"/>
      <c r="HA112" s="263"/>
      <c r="HB112" s="263"/>
      <c r="HC112" s="263"/>
      <c r="HD112" s="263"/>
      <c r="HE112" s="263"/>
      <c r="HF112" s="263"/>
      <c r="HG112" s="263"/>
      <c r="HH112" s="263"/>
      <c r="HI112" s="263"/>
      <c r="HJ112" s="263"/>
      <c r="HK112" s="263"/>
      <c r="HL112" s="263"/>
      <c r="HM112" s="263"/>
      <c r="HN112" s="263"/>
      <c r="HO112" s="263"/>
      <c r="HP112" s="263"/>
      <c r="HQ112" s="263"/>
      <c r="HR112" s="263"/>
      <c r="HS112" s="263"/>
      <c r="HT112" s="263"/>
      <c r="HU112" s="263"/>
      <c r="HV112" s="263"/>
      <c r="HW112" s="263"/>
      <c r="HX112" s="263"/>
      <c r="HY112" s="263"/>
      <c r="HZ112" s="263"/>
      <c r="IA112" s="263"/>
      <c r="IB112" s="263"/>
      <c r="IC112" s="263"/>
      <c r="ID112" s="263"/>
      <c r="IE112" s="263"/>
      <c r="IF112" s="263"/>
      <c r="IG112" s="263"/>
      <c r="IH112" s="263"/>
      <c r="II112" s="263"/>
      <c r="IJ112" s="263"/>
      <c r="IK112" s="263"/>
      <c r="IL112" s="263"/>
      <c r="IM112" s="263"/>
      <c r="IN112" s="263"/>
      <c r="IO112" s="263"/>
      <c r="IP112" s="263"/>
      <c r="IQ112" s="263"/>
      <c r="IR112" s="263"/>
      <c r="IS112" s="263"/>
      <c r="IT112" s="263"/>
      <c r="IU112" s="263"/>
    </row>
    <row r="113" spans="1:255" ht="15.6">
      <c r="A113" s="263"/>
      <c r="B113" s="263"/>
      <c r="C113" s="263"/>
      <c r="D113" s="263"/>
      <c r="E113" s="263"/>
      <c r="F113" s="263"/>
      <c r="G113" s="263"/>
      <c r="H113" s="263"/>
      <c r="I113" s="263"/>
      <c r="J113" s="263"/>
      <c r="K113" s="263"/>
      <c r="L113" s="263"/>
      <c r="M113" s="263"/>
      <c r="N113" s="263"/>
      <c r="O113" s="263"/>
      <c r="P113" s="263"/>
      <c r="Q113" s="263"/>
      <c r="R113" s="263"/>
      <c r="S113" s="263"/>
      <c r="T113" s="263"/>
      <c r="U113" s="263"/>
      <c r="V113" s="263"/>
      <c r="W113" s="263"/>
      <c r="X113" s="263"/>
      <c r="Y113" s="263"/>
      <c r="Z113" s="263"/>
      <c r="AA113" s="263"/>
      <c r="AB113" s="263"/>
      <c r="AC113" s="263"/>
      <c r="AD113" s="263"/>
      <c r="AE113" s="263"/>
      <c r="AF113" s="263"/>
      <c r="AG113" s="263"/>
      <c r="AH113" s="263"/>
      <c r="AI113" s="263"/>
      <c r="AJ113" s="263"/>
      <c r="AK113" s="263"/>
      <c r="AL113" s="263"/>
      <c r="AM113" s="263"/>
      <c r="AN113" s="263"/>
      <c r="AO113" s="263"/>
      <c r="AP113" s="263"/>
      <c r="AQ113" s="263"/>
      <c r="AR113" s="263"/>
      <c r="AS113" s="263"/>
      <c r="AT113" s="263"/>
      <c r="AU113" s="263"/>
      <c r="AV113" s="263"/>
      <c r="AW113" s="263"/>
      <c r="AX113" s="263"/>
      <c r="AY113" s="263"/>
      <c r="AZ113" s="263"/>
      <c r="BA113" s="263"/>
      <c r="BB113" s="263"/>
      <c r="BC113" s="263"/>
      <c r="BD113" s="263"/>
      <c r="BE113" s="263"/>
      <c r="BF113" s="263"/>
      <c r="BG113" s="263"/>
      <c r="BH113" s="263"/>
      <c r="BI113" s="263"/>
      <c r="BJ113" s="263"/>
      <c r="BK113" s="263"/>
      <c r="BL113" s="263"/>
      <c r="BM113" s="263"/>
      <c r="BN113" s="263"/>
      <c r="BO113" s="263"/>
      <c r="BP113" s="263"/>
      <c r="BQ113" s="263"/>
      <c r="BR113" s="263"/>
      <c r="BS113" s="263"/>
      <c r="BT113" s="263"/>
      <c r="BU113" s="263"/>
      <c r="BV113" s="263"/>
      <c r="BW113" s="263"/>
      <c r="BX113" s="263"/>
      <c r="BY113" s="263"/>
      <c r="BZ113" s="263"/>
      <c r="CA113" s="263"/>
      <c r="CB113" s="263"/>
      <c r="CC113" s="263"/>
      <c r="CD113" s="263"/>
      <c r="CE113" s="263"/>
      <c r="CF113" s="263"/>
      <c r="CG113" s="263"/>
      <c r="CH113" s="263"/>
      <c r="CI113" s="263"/>
      <c r="CJ113" s="263"/>
      <c r="CK113" s="263"/>
      <c r="CL113" s="263"/>
      <c r="CM113" s="263"/>
      <c r="CN113" s="263"/>
      <c r="CO113" s="263"/>
      <c r="CP113" s="263"/>
      <c r="CQ113" s="263"/>
      <c r="CR113" s="263"/>
      <c r="CS113" s="263"/>
      <c r="CT113" s="263"/>
      <c r="CU113" s="263"/>
      <c r="CV113" s="263"/>
      <c r="CW113" s="263"/>
      <c r="CX113" s="263"/>
      <c r="CY113" s="263"/>
      <c r="CZ113" s="263"/>
      <c r="DA113" s="263"/>
      <c r="DB113" s="263"/>
      <c r="DC113" s="263"/>
      <c r="DD113" s="263"/>
      <c r="DE113" s="263"/>
      <c r="DF113" s="263"/>
      <c r="DG113" s="263"/>
      <c r="DH113" s="263"/>
      <c r="DI113" s="263"/>
      <c r="DJ113" s="263"/>
      <c r="DK113" s="263"/>
      <c r="DL113" s="263"/>
      <c r="DM113" s="263"/>
      <c r="DN113" s="263"/>
      <c r="DO113" s="263"/>
      <c r="DP113" s="263"/>
      <c r="DQ113" s="263"/>
      <c r="DR113" s="263"/>
      <c r="DS113" s="263"/>
      <c r="DT113" s="263"/>
      <c r="DU113" s="263"/>
      <c r="DV113" s="263"/>
      <c r="DW113" s="263"/>
      <c r="DX113" s="263"/>
      <c r="DY113" s="263"/>
      <c r="DZ113" s="263"/>
      <c r="EA113" s="263"/>
      <c r="EB113" s="263"/>
      <c r="EC113" s="263"/>
      <c r="ED113" s="263"/>
      <c r="EE113" s="263"/>
      <c r="EF113" s="263"/>
      <c r="EG113" s="263"/>
      <c r="EH113" s="263"/>
      <c r="EI113" s="263"/>
      <c r="EJ113" s="263"/>
      <c r="EK113" s="263"/>
      <c r="EL113" s="263"/>
      <c r="EM113" s="263"/>
      <c r="EN113" s="263"/>
      <c r="EO113" s="263"/>
      <c r="EP113" s="263"/>
      <c r="EQ113" s="263"/>
      <c r="ER113" s="263"/>
      <c r="ES113" s="263"/>
      <c r="ET113" s="263"/>
      <c r="EU113" s="263"/>
      <c r="EV113" s="263"/>
      <c r="EW113" s="263"/>
      <c r="EX113" s="263"/>
      <c r="EY113" s="263"/>
      <c r="EZ113" s="263"/>
      <c r="FA113" s="263"/>
      <c r="FB113" s="263"/>
      <c r="FC113" s="263"/>
      <c r="FD113" s="263"/>
      <c r="FE113" s="263"/>
      <c r="FF113" s="263"/>
      <c r="FG113" s="263"/>
      <c r="FH113" s="263"/>
      <c r="FI113" s="263"/>
      <c r="FJ113" s="263"/>
      <c r="FK113" s="263"/>
      <c r="FL113" s="263"/>
      <c r="FM113" s="263"/>
      <c r="FN113" s="263"/>
      <c r="FO113" s="263"/>
      <c r="FP113" s="263"/>
      <c r="FQ113" s="263"/>
      <c r="FR113" s="263"/>
      <c r="FS113" s="263"/>
      <c r="FT113" s="263"/>
      <c r="FU113" s="263"/>
      <c r="FV113" s="263"/>
      <c r="FW113" s="263"/>
      <c r="FX113" s="263"/>
      <c r="FY113" s="263"/>
      <c r="FZ113" s="263"/>
      <c r="GA113" s="263"/>
      <c r="GB113" s="263"/>
      <c r="GC113" s="263"/>
      <c r="GD113" s="263"/>
      <c r="GE113" s="263"/>
      <c r="GF113" s="263"/>
      <c r="GG113" s="263"/>
      <c r="GH113" s="263"/>
      <c r="GI113" s="263"/>
      <c r="GJ113" s="263"/>
      <c r="GK113" s="263"/>
      <c r="GL113" s="263"/>
      <c r="GM113" s="263"/>
      <c r="GN113" s="263"/>
      <c r="GO113" s="263"/>
      <c r="GP113" s="263"/>
      <c r="GQ113" s="263"/>
      <c r="GR113" s="263"/>
      <c r="GS113" s="263"/>
      <c r="GT113" s="263"/>
      <c r="GU113" s="263"/>
      <c r="GV113" s="263"/>
      <c r="GW113" s="263"/>
      <c r="GX113" s="263"/>
      <c r="GY113" s="263"/>
      <c r="GZ113" s="263"/>
      <c r="HA113" s="263"/>
      <c r="HB113" s="263"/>
      <c r="HC113" s="263"/>
      <c r="HD113" s="263"/>
      <c r="HE113" s="263"/>
      <c r="HF113" s="263"/>
      <c r="HG113" s="263"/>
      <c r="HH113" s="263"/>
      <c r="HI113" s="263"/>
      <c r="HJ113" s="263"/>
      <c r="HK113" s="263"/>
      <c r="HL113" s="263"/>
      <c r="HM113" s="263"/>
      <c r="HN113" s="263"/>
      <c r="HO113" s="263"/>
      <c r="HP113" s="263"/>
      <c r="HQ113" s="263"/>
      <c r="HR113" s="263"/>
      <c r="HS113" s="263"/>
      <c r="HT113" s="263"/>
      <c r="HU113" s="263"/>
      <c r="HV113" s="263"/>
      <c r="HW113" s="263"/>
      <c r="HX113" s="263"/>
      <c r="HY113" s="263"/>
      <c r="HZ113" s="263"/>
      <c r="IA113" s="263"/>
      <c r="IB113" s="263"/>
      <c r="IC113" s="263"/>
      <c r="ID113" s="263"/>
      <c r="IE113" s="263"/>
      <c r="IF113" s="263"/>
      <c r="IG113" s="263"/>
      <c r="IH113" s="263"/>
      <c r="II113" s="263"/>
      <c r="IJ113" s="263"/>
      <c r="IK113" s="263"/>
      <c r="IL113" s="263"/>
      <c r="IM113" s="263"/>
      <c r="IN113" s="263"/>
      <c r="IO113" s="263"/>
      <c r="IP113" s="263"/>
      <c r="IQ113" s="263"/>
      <c r="IR113" s="263"/>
      <c r="IS113" s="263"/>
      <c r="IT113" s="263"/>
      <c r="IU113" s="263"/>
    </row>
    <row r="114" spans="1:255" ht="15.6">
      <c r="A114" s="263"/>
      <c r="B114" s="263"/>
      <c r="C114" s="263"/>
      <c r="D114" s="263"/>
      <c r="E114" s="263"/>
      <c r="F114" s="263"/>
      <c r="G114" s="263"/>
      <c r="H114" s="263"/>
      <c r="I114" s="263"/>
      <c r="J114" s="263"/>
      <c r="K114" s="263"/>
      <c r="L114" s="263"/>
      <c r="M114" s="263"/>
      <c r="N114" s="263"/>
      <c r="O114" s="263"/>
      <c r="P114" s="263"/>
      <c r="Q114" s="263"/>
      <c r="R114" s="263"/>
      <c r="S114" s="263"/>
      <c r="T114" s="263"/>
      <c r="U114" s="263"/>
      <c r="V114" s="263"/>
      <c r="W114" s="263"/>
      <c r="X114" s="263"/>
      <c r="Y114" s="263"/>
      <c r="Z114" s="263"/>
      <c r="AA114" s="263"/>
      <c r="AB114" s="263"/>
      <c r="AC114" s="263"/>
      <c r="AD114" s="263"/>
      <c r="AE114" s="263"/>
      <c r="AF114" s="263"/>
      <c r="AG114" s="263"/>
      <c r="AH114" s="263"/>
      <c r="AI114" s="263"/>
      <c r="AJ114" s="263"/>
      <c r="AK114" s="263"/>
      <c r="AL114" s="263"/>
      <c r="AM114" s="263"/>
      <c r="AN114" s="263"/>
      <c r="AO114" s="263"/>
      <c r="AP114" s="263"/>
      <c r="AQ114" s="263"/>
      <c r="AR114" s="263"/>
      <c r="AS114" s="263"/>
      <c r="AT114" s="263"/>
      <c r="AU114" s="263"/>
      <c r="AV114" s="263"/>
      <c r="AW114" s="263"/>
      <c r="AX114" s="263"/>
      <c r="AY114" s="263"/>
      <c r="AZ114" s="263"/>
      <c r="BA114" s="263"/>
      <c r="BB114" s="263"/>
      <c r="BC114" s="263"/>
      <c r="BD114" s="263"/>
      <c r="BE114" s="263"/>
      <c r="BF114" s="263"/>
      <c r="BG114" s="263"/>
      <c r="BH114" s="263"/>
      <c r="BI114" s="263"/>
      <c r="BJ114" s="263"/>
      <c r="BK114" s="263"/>
      <c r="BL114" s="263"/>
      <c r="BM114" s="263"/>
      <c r="BN114" s="263"/>
      <c r="BO114" s="263"/>
      <c r="BP114" s="263"/>
      <c r="BQ114" s="263"/>
      <c r="BR114" s="263"/>
      <c r="BS114" s="263"/>
      <c r="BT114" s="263"/>
      <c r="BU114" s="263"/>
      <c r="BV114" s="263"/>
      <c r="BW114" s="263"/>
      <c r="BX114" s="263"/>
      <c r="BY114" s="263"/>
      <c r="BZ114" s="263"/>
      <c r="CA114" s="263"/>
      <c r="CB114" s="263"/>
      <c r="CC114" s="263"/>
      <c r="CD114" s="263"/>
      <c r="CE114" s="263"/>
      <c r="CF114" s="263"/>
      <c r="CG114" s="263"/>
      <c r="CH114" s="263"/>
      <c r="CI114" s="263"/>
      <c r="CJ114" s="263"/>
      <c r="CK114" s="263"/>
      <c r="CL114" s="263"/>
      <c r="CM114" s="263"/>
      <c r="CN114" s="263"/>
      <c r="CO114" s="263"/>
      <c r="CP114" s="263"/>
      <c r="CQ114" s="263"/>
      <c r="CR114" s="263"/>
      <c r="CS114" s="263"/>
      <c r="CT114" s="263"/>
      <c r="CU114" s="263"/>
      <c r="CV114" s="263"/>
      <c r="CW114" s="263"/>
      <c r="CX114" s="263"/>
      <c r="CY114" s="263"/>
      <c r="CZ114" s="263"/>
      <c r="DA114" s="263"/>
      <c r="DB114" s="263"/>
      <c r="DC114" s="263"/>
      <c r="DD114" s="263"/>
      <c r="DE114" s="263"/>
      <c r="DF114" s="263"/>
      <c r="DG114" s="263"/>
      <c r="DH114" s="263"/>
      <c r="DI114" s="263"/>
      <c r="DJ114" s="263"/>
      <c r="DK114" s="263"/>
      <c r="DL114" s="263"/>
      <c r="DM114" s="263"/>
      <c r="DN114" s="263"/>
      <c r="DO114" s="263"/>
      <c r="DP114" s="263"/>
      <c r="DQ114" s="263"/>
      <c r="DR114" s="263"/>
      <c r="DS114" s="263"/>
      <c r="DT114" s="263"/>
      <c r="DU114" s="263"/>
      <c r="DV114" s="263"/>
      <c r="DW114" s="263"/>
      <c r="DX114" s="263"/>
      <c r="DY114" s="263"/>
      <c r="DZ114" s="263"/>
      <c r="EA114" s="263"/>
      <c r="EB114" s="263"/>
      <c r="EC114" s="263"/>
      <c r="ED114" s="263"/>
      <c r="EE114" s="263"/>
      <c r="EF114" s="263"/>
      <c r="EG114" s="263"/>
      <c r="EH114" s="263"/>
      <c r="EI114" s="263"/>
      <c r="EJ114" s="263"/>
      <c r="EK114" s="263"/>
      <c r="EL114" s="263"/>
      <c r="EM114" s="263"/>
      <c r="EN114" s="263"/>
      <c r="EO114" s="263"/>
      <c r="EP114" s="263"/>
      <c r="EQ114" s="263"/>
      <c r="ER114" s="263"/>
      <c r="ES114" s="263"/>
      <c r="ET114" s="263"/>
      <c r="EU114" s="263"/>
      <c r="EV114" s="263"/>
      <c r="EW114" s="263"/>
      <c r="EX114" s="263"/>
      <c r="EY114" s="263"/>
      <c r="EZ114" s="263"/>
      <c r="FA114" s="263"/>
      <c r="FB114" s="263"/>
      <c r="FC114" s="263"/>
      <c r="FD114" s="263"/>
      <c r="FE114" s="263"/>
      <c r="FF114" s="263"/>
      <c r="FG114" s="263"/>
      <c r="FH114" s="263"/>
      <c r="FI114" s="263"/>
      <c r="FJ114" s="263"/>
      <c r="FK114" s="263"/>
      <c r="FL114" s="263"/>
      <c r="FM114" s="263"/>
      <c r="FN114" s="263"/>
      <c r="FO114" s="263"/>
      <c r="FP114" s="263"/>
      <c r="FQ114" s="263"/>
      <c r="FR114" s="263"/>
      <c r="FS114" s="263"/>
      <c r="FT114" s="263"/>
      <c r="FU114" s="263"/>
      <c r="FV114" s="263"/>
      <c r="FW114" s="263"/>
      <c r="FX114" s="263"/>
      <c r="FY114" s="263"/>
      <c r="FZ114" s="263"/>
      <c r="GA114" s="263"/>
      <c r="GB114" s="263"/>
      <c r="GC114" s="263"/>
      <c r="GD114" s="263"/>
      <c r="GE114" s="263"/>
      <c r="GF114" s="263"/>
      <c r="GG114" s="263"/>
      <c r="GH114" s="263"/>
      <c r="GI114" s="263"/>
      <c r="GJ114" s="263"/>
      <c r="GK114" s="263"/>
      <c r="GL114" s="263"/>
      <c r="GM114" s="263"/>
      <c r="GN114" s="263"/>
      <c r="GO114" s="263"/>
      <c r="GP114" s="263"/>
      <c r="GQ114" s="263"/>
      <c r="GR114" s="263"/>
      <c r="GS114" s="263"/>
      <c r="GT114" s="263"/>
      <c r="GU114" s="263"/>
      <c r="GV114" s="263"/>
      <c r="GW114" s="263"/>
      <c r="GX114" s="263"/>
      <c r="GY114" s="263"/>
      <c r="GZ114" s="263"/>
      <c r="HA114" s="263"/>
      <c r="HB114" s="263"/>
      <c r="HC114" s="263"/>
      <c r="HD114" s="263"/>
      <c r="HE114" s="263"/>
      <c r="HF114" s="263"/>
      <c r="HG114" s="263"/>
      <c r="HH114" s="263"/>
      <c r="HI114" s="263"/>
      <c r="HJ114" s="263"/>
      <c r="HK114" s="263"/>
      <c r="HL114" s="263"/>
      <c r="HM114" s="263"/>
      <c r="HN114" s="263"/>
      <c r="HO114" s="263"/>
      <c r="HP114" s="263"/>
      <c r="HQ114" s="263"/>
      <c r="HR114" s="263"/>
      <c r="HS114" s="263"/>
      <c r="HT114" s="263"/>
      <c r="HU114" s="263"/>
      <c r="HV114" s="263"/>
      <c r="HW114" s="263"/>
      <c r="HX114" s="263"/>
      <c r="HY114" s="263"/>
      <c r="HZ114" s="263"/>
      <c r="IA114" s="263"/>
      <c r="IB114" s="263"/>
      <c r="IC114" s="263"/>
      <c r="ID114" s="263"/>
      <c r="IE114" s="263"/>
      <c r="IF114" s="263"/>
      <c r="IG114" s="263"/>
      <c r="IH114" s="263"/>
      <c r="II114" s="263"/>
      <c r="IJ114" s="263"/>
      <c r="IK114" s="263"/>
      <c r="IL114" s="263"/>
      <c r="IM114" s="263"/>
      <c r="IN114" s="263"/>
      <c r="IO114" s="263"/>
      <c r="IP114" s="263"/>
      <c r="IQ114" s="263"/>
      <c r="IR114" s="263"/>
      <c r="IS114" s="263"/>
      <c r="IT114" s="263"/>
      <c r="IU114" s="263"/>
    </row>
    <row r="115" spans="1:255" ht="15.6">
      <c r="A115" s="263"/>
      <c r="B115" s="263"/>
      <c r="C115" s="263"/>
      <c r="D115" s="263"/>
      <c r="E115" s="263"/>
      <c r="F115" s="263"/>
      <c r="G115" s="263"/>
      <c r="H115" s="263"/>
      <c r="I115" s="263"/>
      <c r="J115" s="263"/>
      <c r="K115" s="263"/>
      <c r="L115" s="263"/>
      <c r="M115" s="263"/>
      <c r="N115" s="263"/>
      <c r="O115" s="263"/>
      <c r="P115" s="263"/>
      <c r="Q115" s="263"/>
      <c r="R115" s="263"/>
      <c r="S115" s="263"/>
      <c r="T115" s="263"/>
      <c r="U115" s="263"/>
      <c r="V115" s="263"/>
      <c r="W115" s="263"/>
      <c r="X115" s="263"/>
      <c r="Y115" s="263"/>
      <c r="Z115" s="263"/>
      <c r="AA115" s="263"/>
      <c r="AB115" s="263"/>
      <c r="AC115" s="263"/>
      <c r="AD115" s="263"/>
      <c r="AE115" s="263"/>
      <c r="AF115" s="263"/>
      <c r="AG115" s="263"/>
      <c r="AH115" s="263"/>
      <c r="AI115" s="263"/>
      <c r="AJ115" s="263"/>
      <c r="AK115" s="263"/>
      <c r="AL115" s="263"/>
      <c r="AM115" s="263"/>
      <c r="AN115" s="263"/>
      <c r="AO115" s="263"/>
      <c r="AP115" s="263"/>
      <c r="AQ115" s="263"/>
      <c r="AR115" s="263"/>
      <c r="AS115" s="263"/>
      <c r="AT115" s="263"/>
      <c r="AU115" s="263"/>
      <c r="AV115" s="263"/>
      <c r="AW115" s="263"/>
      <c r="AX115" s="263"/>
      <c r="AY115" s="263"/>
      <c r="AZ115" s="263"/>
      <c r="BA115" s="263"/>
      <c r="BB115" s="263"/>
      <c r="BC115" s="263"/>
      <c r="BD115" s="263"/>
      <c r="BE115" s="263"/>
      <c r="BF115" s="263"/>
      <c r="BG115" s="263"/>
      <c r="BH115" s="263"/>
      <c r="BI115" s="263"/>
      <c r="BJ115" s="263"/>
      <c r="BK115" s="263"/>
      <c r="BL115" s="263"/>
      <c r="BM115" s="263"/>
      <c r="BN115" s="263"/>
      <c r="BO115" s="263"/>
      <c r="BP115" s="263"/>
      <c r="BQ115" s="263"/>
      <c r="BR115" s="263"/>
      <c r="BS115" s="263"/>
      <c r="BT115" s="263"/>
      <c r="BU115" s="263"/>
      <c r="BV115" s="263"/>
      <c r="BW115" s="263"/>
      <c r="BX115" s="263"/>
      <c r="BY115" s="263"/>
      <c r="BZ115" s="263"/>
      <c r="CA115" s="263"/>
      <c r="CB115" s="263"/>
      <c r="CC115" s="263"/>
      <c r="CD115" s="263"/>
      <c r="CE115" s="263"/>
      <c r="CF115" s="263"/>
      <c r="CG115" s="263"/>
      <c r="CH115" s="263"/>
      <c r="CI115" s="263"/>
      <c r="CJ115" s="263"/>
      <c r="CK115" s="263"/>
      <c r="CL115" s="263"/>
      <c r="CM115" s="263"/>
      <c r="CN115" s="263"/>
      <c r="CO115" s="263"/>
      <c r="CP115" s="263"/>
      <c r="CQ115" s="263"/>
      <c r="CR115" s="263"/>
      <c r="CS115" s="263"/>
      <c r="CT115" s="263"/>
      <c r="CU115" s="263"/>
      <c r="CV115" s="263"/>
      <c r="CW115" s="263"/>
      <c r="CX115" s="263"/>
      <c r="CY115" s="263"/>
      <c r="CZ115" s="263"/>
      <c r="DA115" s="263"/>
      <c r="DB115" s="263"/>
      <c r="DC115" s="263"/>
      <c r="DD115" s="263"/>
      <c r="DE115" s="263"/>
      <c r="DF115" s="263"/>
      <c r="DG115" s="263"/>
      <c r="DH115" s="263"/>
      <c r="DI115" s="263"/>
      <c r="DJ115" s="263"/>
      <c r="DK115" s="263"/>
      <c r="DL115" s="263"/>
      <c r="DM115" s="263"/>
      <c r="DN115" s="263"/>
      <c r="DO115" s="263"/>
      <c r="DP115" s="263"/>
      <c r="DQ115" s="263"/>
      <c r="DR115" s="263"/>
      <c r="DS115" s="263"/>
      <c r="DT115" s="263"/>
      <c r="DU115" s="263"/>
      <c r="DV115" s="263"/>
      <c r="DW115" s="263"/>
      <c r="DX115" s="263"/>
      <c r="DY115" s="263"/>
      <c r="DZ115" s="263"/>
      <c r="EA115" s="263"/>
      <c r="EB115" s="263"/>
      <c r="EC115" s="263"/>
      <c r="ED115" s="263"/>
      <c r="EE115" s="263"/>
      <c r="EF115" s="263"/>
      <c r="EG115" s="263"/>
      <c r="EH115" s="263"/>
      <c r="EI115" s="263"/>
      <c r="EJ115" s="263"/>
      <c r="EK115" s="263"/>
      <c r="EL115" s="263"/>
      <c r="EM115" s="263"/>
      <c r="EN115" s="263"/>
      <c r="EO115" s="263"/>
      <c r="EP115" s="263"/>
      <c r="EQ115" s="263"/>
      <c r="ER115" s="263"/>
      <c r="ES115" s="263"/>
      <c r="ET115" s="263"/>
      <c r="EU115" s="263"/>
      <c r="EV115" s="263"/>
      <c r="EW115" s="263"/>
      <c r="EX115" s="263"/>
      <c r="EY115" s="263"/>
      <c r="EZ115" s="263"/>
      <c r="FA115" s="263"/>
      <c r="FB115" s="263"/>
      <c r="FC115" s="263"/>
      <c r="FD115" s="263"/>
      <c r="FE115" s="263"/>
      <c r="FF115" s="263"/>
      <c r="FG115" s="263"/>
      <c r="FH115" s="263"/>
      <c r="FI115" s="263"/>
      <c r="FJ115" s="263"/>
      <c r="FK115" s="263"/>
      <c r="FL115" s="263"/>
      <c r="FM115" s="263"/>
      <c r="FN115" s="263"/>
      <c r="FO115" s="263"/>
      <c r="FP115" s="263"/>
      <c r="FQ115" s="263"/>
      <c r="FR115" s="263"/>
      <c r="FS115" s="263"/>
      <c r="FT115" s="263"/>
      <c r="FU115" s="263"/>
      <c r="FV115" s="263"/>
      <c r="FW115" s="263"/>
      <c r="FX115" s="263"/>
      <c r="FY115" s="263"/>
      <c r="FZ115" s="263"/>
      <c r="GA115" s="263"/>
      <c r="GB115" s="263"/>
      <c r="GC115" s="263"/>
      <c r="GD115" s="263"/>
      <c r="GE115" s="263"/>
      <c r="GF115" s="263"/>
      <c r="GG115" s="263"/>
      <c r="GH115" s="263"/>
      <c r="GI115" s="263"/>
      <c r="GJ115" s="263"/>
      <c r="GK115" s="263"/>
      <c r="GL115" s="263"/>
      <c r="GM115" s="263"/>
      <c r="GN115" s="263"/>
      <c r="GO115" s="263"/>
      <c r="GP115" s="263"/>
      <c r="GQ115" s="263"/>
      <c r="GR115" s="263"/>
      <c r="GS115" s="263"/>
      <c r="GT115" s="263"/>
      <c r="GU115" s="263"/>
      <c r="GV115" s="263"/>
      <c r="GW115" s="263"/>
      <c r="GX115" s="263"/>
      <c r="GY115" s="263"/>
      <c r="GZ115" s="263"/>
      <c r="HA115" s="263"/>
      <c r="HB115" s="263"/>
      <c r="HC115" s="263"/>
      <c r="HD115" s="263"/>
      <c r="HE115" s="263"/>
      <c r="HF115" s="263"/>
      <c r="HG115" s="263"/>
      <c r="HH115" s="263"/>
      <c r="HI115" s="263"/>
      <c r="HJ115" s="263"/>
      <c r="HK115" s="263"/>
      <c r="HL115" s="263"/>
      <c r="HM115" s="263"/>
      <c r="HN115" s="263"/>
      <c r="HO115" s="263"/>
      <c r="HP115" s="263"/>
      <c r="HQ115" s="263"/>
      <c r="HR115" s="263"/>
      <c r="HS115" s="263"/>
      <c r="HT115" s="263"/>
      <c r="HU115" s="263"/>
      <c r="HV115" s="263"/>
      <c r="HW115" s="263"/>
      <c r="HX115" s="263"/>
      <c r="HY115" s="263"/>
      <c r="HZ115" s="263"/>
      <c r="IA115" s="263"/>
      <c r="IB115" s="263"/>
      <c r="IC115" s="263"/>
      <c r="ID115" s="263"/>
      <c r="IE115" s="263"/>
      <c r="IF115" s="263"/>
      <c r="IG115" s="263"/>
      <c r="IH115" s="263"/>
      <c r="II115" s="263"/>
      <c r="IJ115" s="263"/>
      <c r="IK115" s="263"/>
      <c r="IL115" s="263"/>
      <c r="IM115" s="263"/>
      <c r="IN115" s="263"/>
      <c r="IO115" s="263"/>
      <c r="IP115" s="263"/>
      <c r="IQ115" s="263"/>
      <c r="IR115" s="263"/>
      <c r="IS115" s="263"/>
      <c r="IT115" s="263"/>
      <c r="IU115" s="263"/>
    </row>
    <row r="116" spans="1:255" ht="15.6">
      <c r="A116" s="263"/>
      <c r="B116" s="263"/>
      <c r="C116" s="263"/>
      <c r="D116" s="263"/>
      <c r="E116" s="263"/>
      <c r="F116" s="263"/>
      <c r="G116" s="263"/>
      <c r="H116" s="263"/>
      <c r="I116" s="263"/>
      <c r="J116" s="263"/>
      <c r="K116" s="263"/>
      <c r="L116" s="263"/>
      <c r="M116" s="263"/>
      <c r="N116" s="263"/>
      <c r="O116" s="263"/>
      <c r="P116" s="263"/>
      <c r="Q116" s="263"/>
      <c r="R116" s="263"/>
      <c r="S116" s="263"/>
      <c r="T116" s="263"/>
      <c r="U116" s="263"/>
      <c r="V116" s="263"/>
      <c r="W116" s="263"/>
      <c r="X116" s="263"/>
      <c r="Y116" s="263"/>
      <c r="Z116" s="263"/>
      <c r="AA116" s="263"/>
      <c r="AB116" s="263"/>
      <c r="AC116" s="263"/>
      <c r="AD116" s="263"/>
      <c r="AE116" s="263"/>
      <c r="AF116" s="263"/>
      <c r="AG116" s="263"/>
      <c r="AH116" s="263"/>
      <c r="AI116" s="263"/>
      <c r="AJ116" s="263"/>
      <c r="AK116" s="263"/>
      <c r="AL116" s="263"/>
      <c r="AM116" s="263"/>
      <c r="AN116" s="263"/>
      <c r="AO116" s="263"/>
      <c r="AP116" s="263"/>
      <c r="AQ116" s="263"/>
      <c r="AR116" s="263"/>
      <c r="AS116" s="263"/>
      <c r="AT116" s="263"/>
      <c r="AU116" s="263"/>
      <c r="AV116" s="263"/>
      <c r="AW116" s="263"/>
      <c r="AX116" s="263"/>
      <c r="AY116" s="263"/>
      <c r="AZ116" s="263"/>
      <c r="BA116" s="263"/>
      <c r="BB116" s="263"/>
      <c r="BC116" s="263"/>
      <c r="BD116" s="263"/>
      <c r="BE116" s="263"/>
      <c r="BF116" s="263"/>
      <c r="BG116" s="263"/>
      <c r="BH116" s="263"/>
      <c r="BI116" s="263"/>
      <c r="BJ116" s="263"/>
      <c r="BK116" s="263"/>
      <c r="BL116" s="263"/>
      <c r="BM116" s="263"/>
      <c r="BN116" s="263"/>
      <c r="BO116" s="263"/>
      <c r="BP116" s="263"/>
      <c r="BQ116" s="263"/>
      <c r="BR116" s="263"/>
      <c r="BS116" s="263"/>
      <c r="BT116" s="263"/>
      <c r="BU116" s="263"/>
      <c r="BV116" s="263"/>
      <c r="BW116" s="263"/>
      <c r="BX116" s="263"/>
      <c r="BY116" s="263"/>
      <c r="BZ116" s="263"/>
      <c r="CA116" s="263"/>
      <c r="CB116" s="263"/>
      <c r="CC116" s="263"/>
      <c r="CD116" s="263"/>
      <c r="CE116" s="263"/>
      <c r="CF116" s="263"/>
      <c r="CG116" s="263"/>
      <c r="CH116" s="263"/>
      <c r="CI116" s="263"/>
      <c r="CJ116" s="263"/>
      <c r="CK116" s="263"/>
      <c r="CL116" s="263"/>
      <c r="CM116" s="263"/>
      <c r="CN116" s="263"/>
      <c r="CO116" s="263"/>
      <c r="CP116" s="263"/>
      <c r="CQ116" s="263"/>
      <c r="CR116" s="263"/>
      <c r="CS116" s="263"/>
      <c r="CT116" s="263"/>
      <c r="CU116" s="263"/>
      <c r="CV116" s="263"/>
      <c r="CW116" s="263"/>
      <c r="CX116" s="263"/>
      <c r="CY116" s="263"/>
      <c r="CZ116" s="263"/>
      <c r="DA116" s="263"/>
      <c r="DB116" s="263"/>
      <c r="DC116" s="263"/>
      <c r="DD116" s="263"/>
      <c r="DE116" s="263"/>
      <c r="DF116" s="263"/>
      <c r="DG116" s="263"/>
      <c r="DH116" s="263"/>
      <c r="DI116" s="263"/>
      <c r="DJ116" s="263"/>
      <c r="DK116" s="263"/>
      <c r="DL116" s="263"/>
      <c r="DM116" s="263"/>
      <c r="DN116" s="263"/>
      <c r="DO116" s="263"/>
      <c r="DP116" s="263"/>
      <c r="DQ116" s="263"/>
      <c r="DR116" s="263"/>
      <c r="DS116" s="263"/>
      <c r="DT116" s="263"/>
      <c r="DU116" s="263"/>
      <c r="DV116" s="263"/>
      <c r="DW116" s="263"/>
      <c r="DX116" s="263"/>
      <c r="DY116" s="263"/>
      <c r="DZ116" s="263"/>
      <c r="EA116" s="263"/>
      <c r="EB116" s="263"/>
      <c r="EC116" s="263"/>
      <c r="ED116" s="263"/>
      <c r="EE116" s="263"/>
      <c r="EF116" s="263"/>
      <c r="EG116" s="263"/>
      <c r="EH116" s="263"/>
      <c r="EI116" s="263"/>
      <c r="EJ116" s="263"/>
      <c r="EK116" s="263"/>
      <c r="EL116" s="263"/>
      <c r="EM116" s="263"/>
      <c r="EN116" s="263"/>
      <c r="EO116" s="263"/>
      <c r="EP116" s="263"/>
      <c r="EQ116" s="263"/>
      <c r="ER116" s="263"/>
      <c r="ES116" s="263"/>
      <c r="ET116" s="263"/>
      <c r="EU116" s="263"/>
      <c r="EV116" s="263"/>
      <c r="EW116" s="263"/>
      <c r="EX116" s="263"/>
      <c r="EY116" s="263"/>
      <c r="EZ116" s="263"/>
      <c r="FA116" s="263"/>
      <c r="FB116" s="263"/>
      <c r="FC116" s="263"/>
      <c r="FD116" s="263"/>
      <c r="FE116" s="263"/>
      <c r="FF116" s="263"/>
      <c r="FG116" s="263"/>
      <c r="FH116" s="263"/>
      <c r="FI116" s="263"/>
      <c r="FJ116" s="263"/>
      <c r="FK116" s="263"/>
      <c r="FL116" s="263"/>
      <c r="FM116" s="263"/>
      <c r="FN116" s="263"/>
      <c r="FO116" s="263"/>
      <c r="FP116" s="263"/>
      <c r="FQ116" s="263"/>
      <c r="FR116" s="263"/>
      <c r="FS116" s="263"/>
      <c r="FT116" s="263"/>
      <c r="FU116" s="263"/>
      <c r="FV116" s="263"/>
      <c r="FW116" s="263"/>
      <c r="FX116" s="263"/>
      <c r="FY116" s="263"/>
      <c r="FZ116" s="263"/>
      <c r="GA116" s="263"/>
      <c r="GB116" s="263"/>
      <c r="GC116" s="263"/>
      <c r="GD116" s="263"/>
      <c r="GE116" s="263"/>
      <c r="GF116" s="263"/>
      <c r="GG116" s="263"/>
      <c r="GH116" s="263"/>
      <c r="GI116" s="263"/>
      <c r="GJ116" s="263"/>
      <c r="GK116" s="263"/>
      <c r="GL116" s="263"/>
      <c r="GM116" s="263"/>
      <c r="GN116" s="263"/>
      <c r="GO116" s="263"/>
      <c r="GP116" s="263"/>
      <c r="GQ116" s="263"/>
      <c r="GR116" s="263"/>
      <c r="GS116" s="263"/>
      <c r="GT116" s="263"/>
      <c r="GU116" s="263"/>
      <c r="GV116" s="263"/>
      <c r="GW116" s="263"/>
      <c r="GX116" s="263"/>
      <c r="GY116" s="263"/>
      <c r="GZ116" s="263"/>
      <c r="HA116" s="263"/>
      <c r="HB116" s="263"/>
      <c r="HC116" s="263"/>
      <c r="HD116" s="263"/>
      <c r="HE116" s="263"/>
      <c r="HF116" s="263"/>
      <c r="HG116" s="263"/>
      <c r="HH116" s="263"/>
      <c r="HI116" s="263"/>
      <c r="HJ116" s="263"/>
      <c r="HK116" s="263"/>
      <c r="HL116" s="263"/>
      <c r="HM116" s="263"/>
      <c r="HN116" s="263"/>
      <c r="HO116" s="263"/>
      <c r="HP116" s="263"/>
      <c r="HQ116" s="263"/>
      <c r="HR116" s="263"/>
      <c r="HS116" s="263"/>
      <c r="HT116" s="263"/>
      <c r="HU116" s="263"/>
      <c r="HV116" s="263"/>
      <c r="HW116" s="263"/>
      <c r="HX116" s="263"/>
      <c r="HY116" s="263"/>
      <c r="HZ116" s="263"/>
      <c r="IA116" s="263"/>
      <c r="IB116" s="263"/>
      <c r="IC116" s="263"/>
      <c r="ID116" s="263"/>
      <c r="IE116" s="263"/>
      <c r="IF116" s="263"/>
      <c r="IG116" s="263"/>
      <c r="IH116" s="263"/>
      <c r="II116" s="263"/>
      <c r="IJ116" s="263"/>
      <c r="IK116" s="263"/>
      <c r="IL116" s="263"/>
      <c r="IM116" s="263"/>
      <c r="IN116" s="263"/>
      <c r="IO116" s="263"/>
      <c r="IP116" s="263"/>
      <c r="IQ116" s="263"/>
      <c r="IR116" s="263"/>
      <c r="IS116" s="263"/>
      <c r="IT116" s="263"/>
      <c r="IU116" s="263"/>
    </row>
    <row r="117" spans="1:255" ht="15.6">
      <c r="A117" s="263"/>
      <c r="B117" s="263"/>
      <c r="C117" s="263"/>
      <c r="D117" s="263"/>
      <c r="E117" s="263"/>
      <c r="F117" s="263"/>
      <c r="G117" s="263"/>
      <c r="H117" s="263"/>
      <c r="I117" s="263"/>
      <c r="J117" s="263"/>
      <c r="K117" s="263"/>
      <c r="L117" s="263"/>
      <c r="M117" s="263"/>
      <c r="N117" s="263"/>
      <c r="O117" s="263"/>
      <c r="P117" s="263"/>
      <c r="Q117" s="263"/>
      <c r="R117" s="263"/>
      <c r="S117" s="263"/>
      <c r="T117" s="263"/>
      <c r="U117" s="263"/>
      <c r="V117" s="263"/>
      <c r="W117" s="263"/>
      <c r="X117" s="263"/>
      <c r="Y117" s="263"/>
      <c r="Z117" s="263"/>
      <c r="AA117" s="263"/>
      <c r="AB117" s="263"/>
      <c r="AC117" s="263"/>
      <c r="AD117" s="263"/>
      <c r="AE117" s="263"/>
      <c r="AF117" s="263"/>
      <c r="AG117" s="263"/>
      <c r="AH117" s="263"/>
      <c r="AI117" s="263"/>
      <c r="AJ117" s="263"/>
      <c r="AK117" s="263"/>
      <c r="AL117" s="263"/>
      <c r="AM117" s="263"/>
      <c r="AN117" s="263"/>
      <c r="AO117" s="263"/>
      <c r="AP117" s="263"/>
      <c r="AQ117" s="263"/>
      <c r="AR117" s="263"/>
      <c r="AS117" s="263"/>
      <c r="AT117" s="263"/>
      <c r="AU117" s="263"/>
      <c r="AV117" s="263"/>
      <c r="AW117" s="263"/>
      <c r="AX117" s="263"/>
      <c r="AY117" s="263"/>
      <c r="AZ117" s="263"/>
      <c r="BA117" s="263"/>
      <c r="BB117" s="263"/>
      <c r="BC117" s="263"/>
      <c r="BD117" s="263"/>
      <c r="BE117" s="263"/>
      <c r="BF117" s="263"/>
      <c r="BG117" s="263"/>
      <c r="BH117" s="263"/>
      <c r="BI117" s="263"/>
      <c r="BJ117" s="263"/>
      <c r="BK117" s="263"/>
      <c r="BL117" s="263"/>
      <c r="BM117" s="263"/>
      <c r="BN117" s="263"/>
      <c r="BO117" s="263"/>
      <c r="BP117" s="263"/>
      <c r="BQ117" s="263"/>
      <c r="BR117" s="263"/>
      <c r="BS117" s="263"/>
      <c r="BT117" s="263"/>
      <c r="BU117" s="263"/>
      <c r="BV117" s="263"/>
      <c r="BW117" s="263"/>
      <c r="BX117" s="263"/>
      <c r="BY117" s="263"/>
      <c r="BZ117" s="263"/>
      <c r="CA117" s="263"/>
      <c r="CB117" s="263"/>
      <c r="CC117" s="263"/>
      <c r="CD117" s="263"/>
      <c r="CE117" s="263"/>
      <c r="CF117" s="263"/>
      <c r="CG117" s="263"/>
      <c r="CH117" s="263"/>
      <c r="CI117" s="263"/>
      <c r="CJ117" s="263"/>
      <c r="CK117" s="263"/>
      <c r="CL117" s="263"/>
      <c r="CM117" s="263"/>
      <c r="CN117" s="263"/>
      <c r="CO117" s="263"/>
      <c r="CP117" s="263"/>
      <c r="CQ117" s="263"/>
      <c r="CR117" s="263"/>
      <c r="CS117" s="263"/>
      <c r="CT117" s="263"/>
      <c r="CU117" s="263"/>
      <c r="CV117" s="263"/>
      <c r="CW117" s="263"/>
      <c r="CX117" s="263"/>
      <c r="CY117" s="263"/>
      <c r="CZ117" s="263"/>
      <c r="DA117" s="263"/>
      <c r="DB117" s="263"/>
      <c r="DC117" s="263"/>
      <c r="DD117" s="263"/>
      <c r="DE117" s="263"/>
      <c r="DF117" s="263"/>
      <c r="DG117" s="263"/>
      <c r="DH117" s="263"/>
      <c r="DI117" s="263"/>
      <c r="DJ117" s="263"/>
      <c r="DK117" s="263"/>
      <c r="DL117" s="263"/>
      <c r="DM117" s="263"/>
      <c r="DN117" s="263"/>
      <c r="DO117" s="263"/>
      <c r="DP117" s="263"/>
      <c r="DQ117" s="263"/>
      <c r="DR117" s="263"/>
      <c r="DS117" s="263"/>
      <c r="DT117" s="263"/>
      <c r="DU117" s="263"/>
      <c r="DV117" s="263"/>
      <c r="DW117" s="263"/>
      <c r="DX117" s="263"/>
      <c r="DY117" s="263"/>
      <c r="DZ117" s="263"/>
      <c r="EA117" s="263"/>
      <c r="EB117" s="263"/>
      <c r="EC117" s="263"/>
      <c r="ED117" s="263"/>
      <c r="EE117" s="263"/>
      <c r="EF117" s="263"/>
      <c r="EG117" s="263"/>
      <c r="EH117" s="263"/>
      <c r="EI117" s="263"/>
      <c r="EJ117" s="263"/>
      <c r="EK117" s="263"/>
      <c r="EL117" s="263"/>
      <c r="EM117" s="263"/>
      <c r="EN117" s="263"/>
      <c r="EO117" s="263"/>
      <c r="EP117" s="263"/>
      <c r="EQ117" s="263"/>
      <c r="ER117" s="263"/>
      <c r="ES117" s="263"/>
      <c r="ET117" s="263"/>
      <c r="EU117" s="263"/>
      <c r="EV117" s="263"/>
      <c r="EW117" s="263"/>
      <c r="EX117" s="263"/>
      <c r="EY117" s="263"/>
      <c r="EZ117" s="263"/>
      <c r="FA117" s="263"/>
      <c r="FB117" s="263"/>
      <c r="FC117" s="263"/>
      <c r="FD117" s="263"/>
      <c r="FE117" s="263"/>
      <c r="FF117" s="263"/>
      <c r="FG117" s="263"/>
      <c r="FH117" s="263"/>
      <c r="FI117" s="263"/>
      <c r="FJ117" s="263"/>
      <c r="FK117" s="263"/>
      <c r="FL117" s="263"/>
      <c r="FM117" s="263"/>
      <c r="FN117" s="263"/>
      <c r="FO117" s="263"/>
      <c r="FP117" s="263"/>
      <c r="FQ117" s="263"/>
      <c r="FR117" s="263"/>
      <c r="FS117" s="263"/>
      <c r="FT117" s="263"/>
      <c r="FU117" s="263"/>
      <c r="FV117" s="263"/>
      <c r="FW117" s="263"/>
      <c r="FX117" s="263"/>
      <c r="FY117" s="263"/>
      <c r="FZ117" s="263"/>
      <c r="GA117" s="263"/>
      <c r="GB117" s="263"/>
      <c r="GC117" s="263"/>
      <c r="GD117" s="263"/>
      <c r="GE117" s="263"/>
      <c r="GF117" s="263"/>
      <c r="GG117" s="263"/>
      <c r="GH117" s="263"/>
      <c r="GI117" s="263"/>
      <c r="GJ117" s="263"/>
      <c r="GK117" s="263"/>
      <c r="GL117" s="263"/>
      <c r="GM117" s="263"/>
      <c r="GN117" s="263"/>
      <c r="GO117" s="263"/>
      <c r="GP117" s="263"/>
      <c r="GQ117" s="263"/>
      <c r="GR117" s="263"/>
      <c r="GS117" s="263"/>
      <c r="GT117" s="263"/>
      <c r="GU117" s="263"/>
      <c r="GV117" s="263"/>
      <c r="GW117" s="263"/>
      <c r="GX117" s="263"/>
      <c r="GY117" s="263"/>
      <c r="GZ117" s="263"/>
      <c r="HA117" s="263"/>
      <c r="HB117" s="263"/>
      <c r="HC117" s="263"/>
      <c r="HD117" s="263"/>
      <c r="HE117" s="263"/>
      <c r="HF117" s="263"/>
      <c r="HG117" s="263"/>
      <c r="HH117" s="263"/>
      <c r="HI117" s="263"/>
      <c r="HJ117" s="263"/>
      <c r="HK117" s="263"/>
      <c r="HL117" s="263"/>
      <c r="HM117" s="263"/>
      <c r="HN117" s="263"/>
      <c r="HO117" s="263"/>
      <c r="HP117" s="263"/>
      <c r="HQ117" s="263"/>
      <c r="HR117" s="263"/>
      <c r="HS117" s="263"/>
      <c r="HT117" s="263"/>
      <c r="HU117" s="263"/>
      <c r="HV117" s="263"/>
      <c r="HW117" s="263"/>
      <c r="HX117" s="263"/>
      <c r="HY117" s="263"/>
      <c r="HZ117" s="263"/>
      <c r="IA117" s="263"/>
      <c r="IB117" s="263"/>
      <c r="IC117" s="263"/>
      <c r="ID117" s="263"/>
      <c r="IE117" s="263"/>
      <c r="IF117" s="263"/>
      <c r="IG117" s="263"/>
      <c r="IH117" s="263"/>
      <c r="II117" s="263"/>
      <c r="IJ117" s="263"/>
      <c r="IK117" s="263"/>
      <c r="IL117" s="263"/>
      <c r="IM117" s="263"/>
      <c r="IN117" s="263"/>
      <c r="IO117" s="263"/>
      <c r="IP117" s="263"/>
      <c r="IQ117" s="263"/>
      <c r="IR117" s="263"/>
      <c r="IS117" s="263"/>
      <c r="IT117" s="263"/>
      <c r="IU117" s="263"/>
    </row>
    <row r="118" spans="1:255" ht="15.6">
      <c r="A118" s="263"/>
      <c r="B118" s="263"/>
      <c r="C118" s="263"/>
      <c r="D118" s="263"/>
      <c r="E118" s="263"/>
      <c r="F118" s="263"/>
      <c r="G118" s="263"/>
      <c r="H118" s="263"/>
      <c r="I118" s="263"/>
      <c r="J118" s="263"/>
      <c r="K118" s="263"/>
      <c r="L118" s="263"/>
      <c r="M118" s="263"/>
      <c r="N118" s="263"/>
      <c r="O118" s="263"/>
      <c r="P118" s="263"/>
      <c r="Q118" s="263"/>
      <c r="R118" s="263"/>
      <c r="S118" s="263"/>
      <c r="T118" s="263"/>
      <c r="U118" s="263"/>
      <c r="V118" s="263"/>
      <c r="W118" s="263"/>
      <c r="X118" s="263"/>
      <c r="Y118" s="263"/>
      <c r="Z118" s="263"/>
      <c r="AA118" s="263"/>
      <c r="AB118" s="263"/>
      <c r="AC118" s="263"/>
      <c r="AD118" s="263"/>
      <c r="AE118" s="263"/>
      <c r="AF118" s="263"/>
      <c r="AG118" s="263"/>
      <c r="AH118" s="263"/>
      <c r="AI118" s="263"/>
      <c r="AJ118" s="263"/>
      <c r="AK118" s="263"/>
      <c r="AL118" s="263"/>
      <c r="AM118" s="263"/>
      <c r="AN118" s="263"/>
      <c r="AO118" s="263"/>
      <c r="AP118" s="263"/>
      <c r="AQ118" s="263"/>
      <c r="AR118" s="263"/>
      <c r="AS118" s="263"/>
      <c r="AT118" s="263"/>
      <c r="AU118" s="263"/>
      <c r="AV118" s="263"/>
      <c r="AW118" s="263"/>
      <c r="AX118" s="263"/>
      <c r="AY118" s="263"/>
      <c r="AZ118" s="263"/>
      <c r="BA118" s="263"/>
      <c r="BB118" s="263"/>
      <c r="BC118" s="263"/>
      <c r="BD118" s="263"/>
      <c r="BE118" s="263"/>
      <c r="BF118" s="263"/>
      <c r="BG118" s="263"/>
      <c r="BH118" s="263"/>
      <c r="BI118" s="263"/>
      <c r="BJ118" s="263"/>
      <c r="BK118" s="263"/>
      <c r="BL118" s="263"/>
      <c r="BM118" s="263"/>
      <c r="BN118" s="263"/>
      <c r="BO118" s="263"/>
      <c r="BP118" s="263"/>
      <c r="BQ118" s="263"/>
      <c r="BR118" s="263"/>
      <c r="BS118" s="263"/>
      <c r="BT118" s="263"/>
      <c r="BU118" s="263"/>
      <c r="BV118" s="263"/>
      <c r="BW118" s="263"/>
      <c r="BX118" s="263"/>
      <c r="BY118" s="263"/>
      <c r="BZ118" s="263"/>
      <c r="CA118" s="263"/>
      <c r="CB118" s="263"/>
      <c r="CC118" s="263"/>
      <c r="CD118" s="263"/>
      <c r="CE118" s="263"/>
      <c r="CF118" s="263"/>
      <c r="CG118" s="263"/>
      <c r="CH118" s="263"/>
      <c r="CI118" s="263"/>
      <c r="CJ118" s="263"/>
      <c r="CK118" s="263"/>
      <c r="CL118" s="263"/>
      <c r="CM118" s="263"/>
      <c r="CN118" s="263"/>
      <c r="CO118" s="263"/>
      <c r="CP118" s="263"/>
      <c r="CQ118" s="263"/>
      <c r="CR118" s="263"/>
      <c r="CS118" s="263"/>
      <c r="CT118" s="263"/>
      <c r="CU118" s="263"/>
      <c r="CV118" s="263"/>
      <c r="CW118" s="263"/>
      <c r="CX118" s="263"/>
      <c r="CY118" s="263"/>
      <c r="CZ118" s="263"/>
      <c r="DA118" s="263"/>
      <c r="DB118" s="263"/>
      <c r="DC118" s="263"/>
      <c r="DD118" s="263"/>
      <c r="DE118" s="263"/>
      <c r="DF118" s="263"/>
      <c r="DG118" s="263"/>
      <c r="DH118" s="263"/>
      <c r="DI118" s="263"/>
      <c r="DJ118" s="263"/>
      <c r="DK118" s="263"/>
      <c r="DL118" s="263"/>
      <c r="DM118" s="263"/>
      <c r="DN118" s="263"/>
      <c r="DO118" s="263"/>
      <c r="DP118" s="263"/>
      <c r="DQ118" s="263"/>
      <c r="DR118" s="263"/>
      <c r="DS118" s="263"/>
      <c r="DT118" s="263"/>
      <c r="DU118" s="263"/>
      <c r="DV118" s="263"/>
      <c r="DW118" s="263"/>
      <c r="DX118" s="263"/>
      <c r="DY118" s="263"/>
      <c r="DZ118" s="263"/>
      <c r="EA118" s="263"/>
      <c r="EB118" s="263"/>
      <c r="EC118" s="263"/>
      <c r="ED118" s="263"/>
      <c r="EE118" s="263"/>
      <c r="EF118" s="263"/>
      <c r="EG118" s="263"/>
      <c r="EH118" s="263"/>
      <c r="EI118" s="263"/>
      <c r="EJ118" s="263"/>
      <c r="EK118" s="263"/>
      <c r="EL118" s="263"/>
      <c r="EM118" s="263"/>
      <c r="EN118" s="263"/>
      <c r="EO118" s="263"/>
      <c r="EP118" s="263"/>
      <c r="EQ118" s="263"/>
      <c r="ER118" s="263"/>
      <c r="ES118" s="263"/>
      <c r="ET118" s="263"/>
      <c r="EU118" s="263"/>
      <c r="EV118" s="263"/>
      <c r="EW118" s="263"/>
      <c r="EX118" s="263"/>
      <c r="EY118" s="263"/>
      <c r="EZ118" s="263"/>
      <c r="FA118" s="263"/>
      <c r="FB118" s="263"/>
      <c r="FC118" s="263"/>
      <c r="FD118" s="263"/>
      <c r="FE118" s="263"/>
      <c r="FF118" s="263"/>
      <c r="FG118" s="263"/>
      <c r="FH118" s="263"/>
      <c r="FI118" s="263"/>
      <c r="FJ118" s="263"/>
      <c r="FK118" s="263"/>
      <c r="FL118" s="263"/>
      <c r="FM118" s="263"/>
      <c r="FN118" s="263"/>
      <c r="FO118" s="263"/>
      <c r="FP118" s="263"/>
      <c r="FQ118" s="263"/>
      <c r="FR118" s="263"/>
      <c r="FS118" s="263"/>
      <c r="FT118" s="263"/>
      <c r="FU118" s="263"/>
      <c r="FV118" s="263"/>
      <c r="FW118" s="263"/>
      <c r="FX118" s="263"/>
      <c r="FY118" s="263"/>
      <c r="FZ118" s="263"/>
      <c r="GA118" s="263"/>
      <c r="GB118" s="263"/>
      <c r="GC118" s="263"/>
      <c r="GD118" s="263"/>
      <c r="GE118" s="263"/>
      <c r="GF118" s="263"/>
      <c r="GG118" s="263"/>
      <c r="GH118" s="263"/>
      <c r="GI118" s="263"/>
      <c r="GJ118" s="263"/>
      <c r="GK118" s="263"/>
      <c r="GL118" s="263"/>
      <c r="GM118" s="263"/>
      <c r="GN118" s="263"/>
      <c r="GO118" s="263"/>
      <c r="GP118" s="263"/>
      <c r="GQ118" s="263"/>
      <c r="GR118" s="263"/>
      <c r="GS118" s="263"/>
      <c r="GT118" s="263"/>
      <c r="GU118" s="263"/>
      <c r="GV118" s="263"/>
      <c r="GW118" s="263"/>
      <c r="GX118" s="263"/>
      <c r="GY118" s="263"/>
      <c r="GZ118" s="263"/>
      <c r="HA118" s="263"/>
      <c r="HB118" s="263"/>
      <c r="HC118" s="263"/>
      <c r="HD118" s="263"/>
      <c r="HE118" s="263"/>
      <c r="HF118" s="263"/>
      <c r="HG118" s="263"/>
      <c r="HH118" s="263"/>
      <c r="HI118" s="263"/>
      <c r="HJ118" s="263"/>
      <c r="HK118" s="263"/>
      <c r="HL118" s="263"/>
      <c r="HM118" s="263"/>
      <c r="HN118" s="263"/>
      <c r="HO118" s="263"/>
      <c r="HP118" s="263"/>
      <c r="HQ118" s="263"/>
      <c r="HR118" s="263"/>
      <c r="HS118" s="263"/>
      <c r="HT118" s="263"/>
      <c r="HU118" s="263"/>
      <c r="HV118" s="263"/>
      <c r="HW118" s="263"/>
      <c r="HX118" s="263"/>
      <c r="HY118" s="263"/>
      <c r="HZ118" s="263"/>
      <c r="IA118" s="263"/>
      <c r="IB118" s="263"/>
      <c r="IC118" s="263"/>
      <c r="ID118" s="263"/>
      <c r="IE118" s="263"/>
      <c r="IF118" s="263"/>
      <c r="IG118" s="263"/>
      <c r="IH118" s="263"/>
      <c r="II118" s="263"/>
      <c r="IJ118" s="263"/>
      <c r="IK118" s="263"/>
      <c r="IL118" s="263"/>
      <c r="IM118" s="263"/>
      <c r="IN118" s="263"/>
      <c r="IO118" s="263"/>
      <c r="IP118" s="263"/>
      <c r="IQ118" s="263"/>
      <c r="IR118" s="263"/>
      <c r="IS118" s="263"/>
      <c r="IT118" s="263"/>
      <c r="IU118" s="263"/>
    </row>
    <row r="119" spans="1:255" ht="15.6">
      <c r="A119" s="263"/>
      <c r="B119" s="263"/>
      <c r="C119" s="263"/>
      <c r="D119" s="263"/>
      <c r="E119" s="263"/>
      <c r="F119" s="263"/>
      <c r="G119" s="263"/>
      <c r="H119" s="263"/>
      <c r="I119" s="263"/>
      <c r="J119" s="263"/>
      <c r="K119" s="263"/>
      <c r="L119" s="263"/>
      <c r="M119" s="263"/>
      <c r="N119" s="263"/>
      <c r="O119" s="263"/>
      <c r="P119" s="263"/>
      <c r="Q119" s="263"/>
      <c r="R119" s="263"/>
      <c r="S119" s="263"/>
      <c r="T119" s="263"/>
      <c r="U119" s="263"/>
      <c r="V119" s="263"/>
      <c r="W119" s="263"/>
      <c r="X119" s="263"/>
      <c r="Y119" s="263"/>
      <c r="Z119" s="263"/>
      <c r="AA119" s="263"/>
      <c r="AB119" s="263"/>
      <c r="AC119" s="263"/>
      <c r="AD119" s="263"/>
      <c r="AE119" s="263"/>
      <c r="AF119" s="263"/>
      <c r="AG119" s="263"/>
      <c r="AH119" s="263"/>
      <c r="AI119" s="263"/>
      <c r="AJ119" s="263"/>
      <c r="AK119" s="263"/>
      <c r="AL119" s="263"/>
      <c r="AM119" s="263"/>
      <c r="AN119" s="263"/>
      <c r="AO119" s="263"/>
      <c r="AP119" s="263"/>
      <c r="AQ119" s="263"/>
      <c r="AR119" s="263"/>
      <c r="AS119" s="263"/>
      <c r="AT119" s="263"/>
      <c r="AU119" s="263"/>
      <c r="AV119" s="263"/>
      <c r="AW119" s="263"/>
      <c r="AX119" s="263"/>
      <c r="AY119" s="263"/>
      <c r="AZ119" s="263"/>
      <c r="BA119" s="263"/>
      <c r="BB119" s="263"/>
      <c r="BC119" s="263"/>
      <c r="BD119" s="263"/>
      <c r="BE119" s="263"/>
      <c r="BF119" s="263"/>
      <c r="BG119" s="263"/>
      <c r="BH119" s="263"/>
      <c r="BI119" s="263"/>
      <c r="BJ119" s="263"/>
      <c r="BK119" s="263"/>
      <c r="BL119" s="263"/>
      <c r="BM119" s="263"/>
      <c r="BN119" s="263"/>
      <c r="BO119" s="263"/>
      <c r="BP119" s="263"/>
      <c r="BQ119" s="263"/>
      <c r="BR119" s="263"/>
      <c r="BS119" s="263"/>
      <c r="BT119" s="263"/>
      <c r="BU119" s="263"/>
      <c r="BV119" s="263"/>
      <c r="BW119" s="263"/>
      <c r="BX119" s="263"/>
      <c r="BY119" s="263"/>
      <c r="BZ119" s="263"/>
      <c r="CA119" s="263"/>
      <c r="CB119" s="263"/>
      <c r="CC119" s="263"/>
      <c r="CD119" s="263"/>
      <c r="CE119" s="263"/>
      <c r="CF119" s="263"/>
      <c r="CG119" s="263"/>
      <c r="CH119" s="263"/>
      <c r="CI119" s="263"/>
      <c r="CJ119" s="263"/>
      <c r="CK119" s="263"/>
      <c r="CL119" s="263"/>
      <c r="CM119" s="263"/>
      <c r="CN119" s="263"/>
      <c r="CO119" s="263"/>
      <c r="CP119" s="263"/>
      <c r="CQ119" s="263"/>
      <c r="CR119" s="263"/>
      <c r="CS119" s="263"/>
      <c r="CT119" s="263"/>
      <c r="CU119" s="263"/>
      <c r="CV119" s="263"/>
      <c r="CW119" s="263"/>
      <c r="CX119" s="263"/>
      <c r="CY119" s="263"/>
      <c r="CZ119" s="263"/>
      <c r="DA119" s="263"/>
      <c r="DB119" s="263"/>
      <c r="DC119" s="263"/>
      <c r="DD119" s="263"/>
      <c r="DE119" s="263"/>
      <c r="DF119" s="263"/>
      <c r="DG119" s="263"/>
      <c r="DH119" s="263"/>
      <c r="DI119" s="263"/>
      <c r="DJ119" s="263"/>
      <c r="DK119" s="263"/>
      <c r="DL119" s="263"/>
      <c r="DM119" s="263"/>
      <c r="DN119" s="263"/>
      <c r="DO119" s="263"/>
      <c r="DP119" s="263"/>
      <c r="DQ119" s="263"/>
      <c r="DR119" s="263"/>
      <c r="DS119" s="263"/>
      <c r="DT119" s="263"/>
      <c r="DU119" s="263"/>
      <c r="DV119" s="263"/>
      <c r="DW119" s="263"/>
      <c r="DX119" s="263"/>
      <c r="DY119" s="263"/>
      <c r="DZ119" s="263"/>
      <c r="EA119" s="263"/>
      <c r="EB119" s="263"/>
      <c r="EC119" s="263"/>
      <c r="ED119" s="263"/>
      <c r="EE119" s="263"/>
      <c r="EF119" s="263"/>
      <c r="EG119" s="263"/>
      <c r="EH119" s="263"/>
      <c r="EI119" s="263"/>
      <c r="EJ119" s="263"/>
      <c r="EK119" s="263"/>
      <c r="EL119" s="263"/>
      <c r="EM119" s="263"/>
      <c r="EN119" s="263"/>
      <c r="EO119" s="263"/>
      <c r="EP119" s="263"/>
      <c r="EQ119" s="263"/>
      <c r="ER119" s="263"/>
      <c r="ES119" s="263"/>
      <c r="ET119" s="263"/>
      <c r="EU119" s="263"/>
      <c r="EV119" s="263"/>
      <c r="EW119" s="263"/>
      <c r="EX119" s="263"/>
      <c r="EY119" s="263"/>
      <c r="EZ119" s="263"/>
      <c r="FA119" s="263"/>
      <c r="FB119" s="263"/>
      <c r="FC119" s="263"/>
      <c r="FD119" s="263"/>
      <c r="FE119" s="263"/>
      <c r="FF119" s="263"/>
      <c r="FG119" s="263"/>
      <c r="FH119" s="263"/>
      <c r="FI119" s="263"/>
      <c r="FJ119" s="263"/>
      <c r="FK119" s="263"/>
      <c r="FL119" s="263"/>
      <c r="FM119" s="263"/>
      <c r="FN119" s="263"/>
      <c r="FO119" s="263"/>
      <c r="FP119" s="263"/>
      <c r="FQ119" s="263"/>
      <c r="FR119" s="263"/>
      <c r="FS119" s="263"/>
      <c r="FT119" s="263"/>
      <c r="FU119" s="263"/>
      <c r="FV119" s="263"/>
      <c r="FW119" s="263"/>
      <c r="FX119" s="263"/>
      <c r="FY119" s="263"/>
      <c r="FZ119" s="263"/>
      <c r="GA119" s="263"/>
      <c r="GB119" s="263"/>
      <c r="GC119" s="263"/>
      <c r="GD119" s="263"/>
      <c r="GE119" s="263"/>
      <c r="GF119" s="263"/>
      <c r="GG119" s="263"/>
      <c r="GH119" s="263"/>
      <c r="GI119" s="263"/>
      <c r="GJ119" s="263"/>
      <c r="GK119" s="263"/>
      <c r="GL119" s="263"/>
      <c r="GM119" s="263"/>
      <c r="GN119" s="263"/>
      <c r="GO119" s="263"/>
      <c r="GP119" s="263"/>
      <c r="GQ119" s="263"/>
      <c r="GR119" s="263"/>
      <c r="GS119" s="263"/>
      <c r="GT119" s="263"/>
      <c r="GU119" s="263"/>
      <c r="GV119" s="263"/>
      <c r="GW119" s="263"/>
      <c r="GX119" s="263"/>
      <c r="GY119" s="263"/>
      <c r="GZ119" s="263"/>
      <c r="HA119" s="263"/>
      <c r="HB119" s="263"/>
      <c r="HC119" s="263"/>
      <c r="HD119" s="263"/>
      <c r="HE119" s="263"/>
      <c r="HF119" s="263"/>
      <c r="HG119" s="263"/>
      <c r="HH119" s="263"/>
      <c r="HI119" s="263"/>
      <c r="HJ119" s="263"/>
      <c r="HK119" s="263"/>
      <c r="HL119" s="263"/>
      <c r="HM119" s="263"/>
      <c r="HN119" s="263"/>
      <c r="HO119" s="263"/>
      <c r="HP119" s="263"/>
      <c r="HQ119" s="263"/>
      <c r="HR119" s="263"/>
      <c r="HS119" s="263"/>
      <c r="HT119" s="263"/>
      <c r="HU119" s="263"/>
      <c r="HV119" s="263"/>
      <c r="HW119" s="263"/>
      <c r="HX119" s="263"/>
      <c r="HY119" s="263"/>
      <c r="HZ119" s="263"/>
      <c r="IA119" s="263"/>
      <c r="IB119" s="263"/>
      <c r="IC119" s="263"/>
      <c r="ID119" s="263"/>
      <c r="IE119" s="263"/>
      <c r="IF119" s="263"/>
      <c r="IG119" s="263"/>
      <c r="IH119" s="263"/>
      <c r="II119" s="263"/>
      <c r="IJ119" s="263"/>
      <c r="IK119" s="263"/>
      <c r="IL119" s="263"/>
      <c r="IM119" s="263"/>
      <c r="IN119" s="263"/>
      <c r="IO119" s="263"/>
      <c r="IP119" s="263"/>
      <c r="IQ119" s="263"/>
      <c r="IR119" s="263"/>
      <c r="IS119" s="263"/>
      <c r="IT119" s="263"/>
      <c r="IU119" s="263"/>
    </row>
    <row r="120" spans="1:255" ht="15.6">
      <c r="A120" s="263"/>
      <c r="B120" s="263"/>
      <c r="C120" s="263"/>
      <c r="D120" s="263"/>
      <c r="E120" s="263"/>
      <c r="F120" s="263"/>
      <c r="G120" s="263"/>
      <c r="H120" s="263"/>
      <c r="I120" s="263"/>
      <c r="J120" s="263"/>
      <c r="K120" s="263"/>
      <c r="L120" s="263"/>
      <c r="M120" s="263"/>
      <c r="N120" s="263"/>
      <c r="O120" s="263"/>
      <c r="P120" s="263"/>
      <c r="Q120" s="263"/>
      <c r="R120" s="263"/>
      <c r="S120" s="263"/>
      <c r="T120" s="263"/>
      <c r="U120" s="263"/>
      <c r="V120" s="263"/>
      <c r="W120" s="263"/>
      <c r="X120" s="263"/>
      <c r="Y120" s="263"/>
      <c r="Z120" s="263"/>
      <c r="AA120" s="263"/>
      <c r="AB120" s="263"/>
      <c r="AC120" s="263"/>
      <c r="AD120" s="263"/>
      <c r="AE120" s="263"/>
      <c r="AF120" s="263"/>
      <c r="AG120" s="263"/>
      <c r="AH120" s="263"/>
      <c r="AI120" s="263"/>
      <c r="AJ120" s="263"/>
      <c r="AK120" s="263"/>
      <c r="AL120" s="263"/>
      <c r="AM120" s="263"/>
      <c r="AN120" s="263"/>
      <c r="AO120" s="263"/>
      <c r="AP120" s="263"/>
      <c r="AQ120" s="263"/>
      <c r="AR120" s="263"/>
      <c r="AS120" s="263"/>
      <c r="AT120" s="263"/>
      <c r="AU120" s="263"/>
      <c r="AV120" s="263"/>
      <c r="AW120" s="263"/>
      <c r="AX120" s="263"/>
      <c r="AY120" s="263"/>
      <c r="AZ120" s="263"/>
      <c r="BA120" s="263"/>
      <c r="BB120" s="263"/>
      <c r="BC120" s="263"/>
      <c r="BD120" s="263"/>
      <c r="BE120" s="263"/>
      <c r="BF120" s="263"/>
      <c r="BG120" s="263"/>
      <c r="BH120" s="263"/>
      <c r="BI120" s="263"/>
      <c r="BJ120" s="263"/>
      <c r="BK120" s="263"/>
      <c r="BL120" s="263"/>
      <c r="BM120" s="263"/>
      <c r="BN120" s="263"/>
      <c r="BO120" s="263"/>
      <c r="BP120" s="263"/>
      <c r="BQ120" s="263"/>
      <c r="BR120" s="263"/>
      <c r="BS120" s="263"/>
      <c r="BT120" s="263"/>
      <c r="BU120" s="263"/>
      <c r="BV120" s="263"/>
      <c r="BW120" s="263"/>
      <c r="BX120" s="263"/>
      <c r="BY120" s="263"/>
      <c r="BZ120" s="263"/>
      <c r="CA120" s="263"/>
      <c r="CB120" s="263"/>
      <c r="CC120" s="263"/>
      <c r="CD120" s="263"/>
      <c r="CE120" s="263"/>
      <c r="CF120" s="263"/>
      <c r="CG120" s="263"/>
      <c r="CH120" s="263"/>
      <c r="CI120" s="263"/>
      <c r="CJ120" s="263"/>
      <c r="CK120" s="263"/>
      <c r="CL120" s="263"/>
      <c r="CM120" s="263"/>
      <c r="CN120" s="263"/>
      <c r="CO120" s="263"/>
      <c r="CP120" s="263"/>
      <c r="CQ120" s="263"/>
      <c r="CR120" s="263"/>
      <c r="CS120" s="263"/>
      <c r="CT120" s="263"/>
      <c r="CU120" s="263"/>
      <c r="CV120" s="263"/>
      <c r="CW120" s="263"/>
      <c r="CX120" s="263"/>
      <c r="CY120" s="263"/>
      <c r="CZ120" s="263"/>
      <c r="DA120" s="263"/>
      <c r="DB120" s="263"/>
      <c r="DC120" s="263"/>
      <c r="DD120" s="263"/>
      <c r="DE120" s="263"/>
      <c r="DF120" s="263"/>
      <c r="DG120" s="263"/>
      <c r="DH120" s="263"/>
      <c r="DI120" s="263"/>
      <c r="DJ120" s="263"/>
      <c r="DK120" s="263"/>
      <c r="DL120" s="263"/>
      <c r="DM120" s="263"/>
      <c r="DN120" s="263"/>
      <c r="DO120" s="263"/>
      <c r="DP120" s="263"/>
      <c r="DQ120" s="263"/>
      <c r="DR120" s="263"/>
      <c r="DS120" s="263"/>
      <c r="DT120" s="263"/>
      <c r="DU120" s="263"/>
      <c r="DV120" s="263"/>
      <c r="DW120" s="263"/>
      <c r="DX120" s="263"/>
      <c r="DY120" s="263"/>
      <c r="DZ120" s="263"/>
      <c r="EA120" s="263"/>
      <c r="EB120" s="263"/>
      <c r="EC120" s="263"/>
      <c r="ED120" s="263"/>
      <c r="EE120" s="263"/>
      <c r="EF120" s="263"/>
      <c r="EG120" s="263"/>
      <c r="EH120" s="263"/>
      <c r="EI120" s="263"/>
      <c r="EJ120" s="263"/>
      <c r="EK120" s="263"/>
      <c r="EL120" s="263"/>
      <c r="EM120" s="263"/>
      <c r="EN120" s="263"/>
      <c r="EO120" s="263"/>
      <c r="EP120" s="263"/>
      <c r="EQ120" s="263"/>
      <c r="ER120" s="263"/>
      <c r="ES120" s="263"/>
      <c r="ET120" s="263"/>
      <c r="EU120" s="263"/>
      <c r="EV120" s="263"/>
      <c r="EW120" s="263"/>
      <c r="EX120" s="263"/>
      <c r="EY120" s="263"/>
      <c r="EZ120" s="263"/>
      <c r="FA120" s="263"/>
      <c r="FB120" s="263"/>
      <c r="FC120" s="263"/>
      <c r="FD120" s="263"/>
      <c r="FE120" s="263"/>
      <c r="FF120" s="263"/>
      <c r="FG120" s="263"/>
      <c r="FH120" s="263"/>
      <c r="FI120" s="263"/>
      <c r="FJ120" s="263"/>
      <c r="FK120" s="263"/>
      <c r="FL120" s="263"/>
      <c r="FM120" s="263"/>
      <c r="FN120" s="263"/>
      <c r="FO120" s="263"/>
      <c r="FP120" s="263"/>
      <c r="FQ120" s="263"/>
      <c r="FR120" s="263"/>
      <c r="FS120" s="263"/>
      <c r="FT120" s="263"/>
      <c r="FU120" s="263"/>
      <c r="FV120" s="263"/>
      <c r="FW120" s="263"/>
      <c r="FX120" s="263"/>
      <c r="FY120" s="263"/>
      <c r="FZ120" s="263"/>
      <c r="GA120" s="263"/>
      <c r="GB120" s="263"/>
      <c r="GC120" s="263"/>
      <c r="GD120" s="263"/>
      <c r="GE120" s="263"/>
      <c r="GF120" s="263"/>
      <c r="GG120" s="263"/>
      <c r="GH120" s="263"/>
      <c r="GI120" s="263"/>
      <c r="GJ120" s="263"/>
      <c r="GK120" s="263"/>
      <c r="GL120" s="263"/>
      <c r="GM120" s="263"/>
      <c r="GN120" s="263"/>
      <c r="GO120" s="263"/>
      <c r="GP120" s="263"/>
      <c r="GQ120" s="263"/>
      <c r="GR120" s="263"/>
      <c r="GS120" s="263"/>
      <c r="GT120" s="263"/>
      <c r="GU120" s="263"/>
      <c r="GV120" s="263"/>
      <c r="GW120" s="263"/>
      <c r="GX120" s="263"/>
      <c r="GY120" s="263"/>
      <c r="GZ120" s="263"/>
      <c r="HA120" s="263"/>
      <c r="HB120" s="263"/>
      <c r="HC120" s="263"/>
      <c r="HD120" s="263"/>
      <c r="HE120" s="263"/>
      <c r="HF120" s="263"/>
      <c r="HG120" s="263"/>
      <c r="HH120" s="263"/>
      <c r="HI120" s="263"/>
      <c r="HJ120" s="263"/>
      <c r="HK120" s="263"/>
      <c r="HL120" s="263"/>
      <c r="HM120" s="263"/>
      <c r="HN120" s="263"/>
      <c r="HO120" s="263"/>
      <c r="HP120" s="263"/>
      <c r="HQ120" s="263"/>
      <c r="HR120" s="263"/>
      <c r="HS120" s="263"/>
      <c r="HT120" s="263"/>
      <c r="HU120" s="263"/>
      <c r="HV120" s="263"/>
      <c r="HW120" s="263"/>
      <c r="HX120" s="263"/>
      <c r="HY120" s="263"/>
      <c r="HZ120" s="263"/>
      <c r="IA120" s="263"/>
      <c r="IB120" s="263"/>
      <c r="IC120" s="263"/>
      <c r="ID120" s="263"/>
      <c r="IE120" s="263"/>
      <c r="IF120" s="263"/>
      <c r="IG120" s="263"/>
      <c r="IH120" s="263"/>
      <c r="II120" s="263"/>
      <c r="IJ120" s="263"/>
      <c r="IK120" s="263"/>
      <c r="IL120" s="263"/>
      <c r="IM120" s="263"/>
      <c r="IN120" s="263"/>
      <c r="IO120" s="263"/>
      <c r="IP120" s="263"/>
      <c r="IQ120" s="263"/>
      <c r="IR120" s="263"/>
      <c r="IS120" s="263"/>
      <c r="IT120" s="263"/>
      <c r="IU120" s="263"/>
    </row>
    <row r="121" spans="1:255" ht="15.6">
      <c r="A121" s="263"/>
      <c r="B121" s="263"/>
      <c r="C121" s="263"/>
      <c r="D121" s="263"/>
      <c r="E121" s="263"/>
      <c r="F121" s="263"/>
      <c r="G121" s="263"/>
      <c r="H121" s="263"/>
      <c r="I121" s="263"/>
      <c r="J121" s="263"/>
      <c r="K121" s="263"/>
      <c r="L121" s="263"/>
      <c r="M121" s="263"/>
      <c r="N121" s="263"/>
      <c r="O121" s="263"/>
      <c r="P121" s="263"/>
      <c r="Q121" s="263"/>
      <c r="R121" s="263"/>
      <c r="S121" s="263"/>
      <c r="T121" s="263"/>
      <c r="U121" s="263"/>
      <c r="V121" s="263"/>
      <c r="W121" s="263"/>
      <c r="X121" s="263"/>
      <c r="Y121" s="263"/>
      <c r="Z121" s="263"/>
      <c r="AA121" s="263"/>
      <c r="AB121" s="263"/>
      <c r="AC121" s="263"/>
      <c r="AD121" s="263"/>
      <c r="AE121" s="263"/>
      <c r="AF121" s="263"/>
      <c r="AG121" s="263"/>
      <c r="AH121" s="263"/>
      <c r="AI121" s="263"/>
      <c r="AJ121" s="263"/>
      <c r="AK121" s="263"/>
      <c r="AL121" s="263"/>
      <c r="AM121" s="263"/>
      <c r="AN121" s="263"/>
      <c r="AO121" s="263"/>
      <c r="AP121" s="263"/>
      <c r="AQ121" s="263"/>
      <c r="AR121" s="263"/>
      <c r="AS121" s="263"/>
      <c r="AT121" s="263"/>
      <c r="AU121" s="263"/>
      <c r="AV121" s="263"/>
      <c r="AW121" s="263"/>
      <c r="AX121" s="263"/>
      <c r="AY121" s="263"/>
      <c r="AZ121" s="263"/>
      <c r="BA121" s="263"/>
      <c r="BB121" s="263"/>
      <c r="BC121" s="263"/>
      <c r="BD121" s="263"/>
      <c r="BE121" s="263"/>
      <c r="BF121" s="263"/>
      <c r="BG121" s="263"/>
      <c r="BH121" s="263"/>
      <c r="BI121" s="263"/>
      <c r="BJ121" s="263"/>
      <c r="BK121" s="263"/>
      <c r="BL121" s="263"/>
      <c r="BM121" s="263"/>
      <c r="BN121" s="263"/>
      <c r="BO121" s="263"/>
      <c r="BP121" s="263"/>
      <c r="BQ121" s="263"/>
      <c r="BR121" s="263"/>
      <c r="BS121" s="263"/>
      <c r="BT121" s="263"/>
      <c r="BU121" s="263"/>
      <c r="BV121" s="263"/>
      <c r="BW121" s="263"/>
      <c r="BX121" s="263"/>
      <c r="BY121" s="263"/>
      <c r="BZ121" s="263"/>
      <c r="CA121" s="263"/>
      <c r="CB121" s="263"/>
      <c r="CC121" s="263"/>
      <c r="CD121" s="263"/>
      <c r="CE121" s="263"/>
      <c r="CF121" s="263"/>
      <c r="CG121" s="263"/>
      <c r="CH121" s="263"/>
      <c r="CI121" s="263"/>
      <c r="CJ121" s="263"/>
      <c r="CK121" s="263"/>
      <c r="CL121" s="263"/>
      <c r="CM121" s="263"/>
      <c r="CN121" s="263"/>
      <c r="CO121" s="263"/>
      <c r="CP121" s="263"/>
      <c r="CQ121" s="263"/>
      <c r="CR121" s="263"/>
      <c r="CS121" s="263"/>
      <c r="CT121" s="263"/>
      <c r="CU121" s="263"/>
      <c r="CV121" s="263"/>
      <c r="CW121" s="263"/>
      <c r="CX121" s="263"/>
      <c r="CY121" s="263"/>
      <c r="CZ121" s="263"/>
      <c r="DA121" s="263"/>
      <c r="DB121" s="263"/>
      <c r="DC121" s="263"/>
      <c r="DD121" s="263"/>
      <c r="DE121" s="263"/>
      <c r="DF121" s="263"/>
      <c r="DG121" s="263"/>
      <c r="DH121" s="263"/>
      <c r="DI121" s="263"/>
      <c r="DJ121" s="263"/>
      <c r="DK121" s="263"/>
      <c r="DL121" s="263"/>
      <c r="DM121" s="263"/>
      <c r="DN121" s="263"/>
      <c r="DO121" s="263"/>
      <c r="DP121" s="263"/>
      <c r="DQ121" s="263"/>
      <c r="DR121" s="263"/>
      <c r="DS121" s="263"/>
      <c r="DT121" s="263"/>
      <c r="DU121" s="263"/>
      <c r="DV121" s="263"/>
      <c r="DW121" s="263"/>
      <c r="DX121" s="263"/>
      <c r="DY121" s="263"/>
      <c r="DZ121" s="263"/>
      <c r="EA121" s="263"/>
      <c r="EB121" s="263"/>
      <c r="EC121" s="263"/>
      <c r="ED121" s="263"/>
      <c r="EE121" s="263"/>
      <c r="EF121" s="263"/>
      <c r="EG121" s="263"/>
      <c r="EH121" s="263"/>
      <c r="EI121" s="263"/>
      <c r="EJ121" s="263"/>
      <c r="EK121" s="263"/>
      <c r="EL121" s="263"/>
      <c r="EM121" s="263"/>
      <c r="EN121" s="263"/>
      <c r="EO121" s="263"/>
      <c r="EP121" s="263"/>
      <c r="EQ121" s="263"/>
      <c r="ER121" s="263"/>
      <c r="ES121" s="263"/>
      <c r="ET121" s="263"/>
      <c r="EU121" s="263"/>
      <c r="EV121" s="263"/>
      <c r="EW121" s="263"/>
      <c r="EX121" s="263"/>
      <c r="EY121" s="263"/>
      <c r="EZ121" s="263"/>
      <c r="FA121" s="263"/>
      <c r="FB121" s="263"/>
      <c r="FC121" s="263"/>
      <c r="FD121" s="263"/>
      <c r="FE121" s="263"/>
      <c r="FF121" s="263"/>
      <c r="FG121" s="263"/>
      <c r="FH121" s="263"/>
      <c r="FI121" s="263"/>
      <c r="FJ121" s="263"/>
      <c r="FK121" s="263"/>
      <c r="FL121" s="263"/>
      <c r="FM121" s="263"/>
      <c r="FN121" s="263"/>
      <c r="FO121" s="263"/>
      <c r="FP121" s="263"/>
      <c r="FQ121" s="263"/>
      <c r="FR121" s="263"/>
      <c r="FS121" s="263"/>
      <c r="FT121" s="263"/>
      <c r="FU121" s="263"/>
      <c r="FV121" s="263"/>
      <c r="FW121" s="263"/>
      <c r="FX121" s="263"/>
      <c r="FY121" s="263"/>
      <c r="FZ121" s="263"/>
      <c r="GA121" s="263"/>
      <c r="GB121" s="263"/>
      <c r="GC121" s="263"/>
      <c r="GD121" s="263"/>
      <c r="GE121" s="263"/>
      <c r="GF121" s="263"/>
      <c r="GG121" s="263"/>
      <c r="GH121" s="263"/>
      <c r="GI121" s="263"/>
      <c r="GJ121" s="263"/>
      <c r="GK121" s="263"/>
      <c r="GL121" s="263"/>
      <c r="GM121" s="263"/>
      <c r="GN121" s="263"/>
      <c r="GO121" s="263"/>
      <c r="GP121" s="263"/>
      <c r="GQ121" s="263"/>
      <c r="GR121" s="263"/>
      <c r="GS121" s="263"/>
      <c r="GT121" s="263"/>
      <c r="GU121" s="263"/>
      <c r="GV121" s="263"/>
      <c r="GW121" s="263"/>
      <c r="GX121" s="263"/>
      <c r="GY121" s="263"/>
      <c r="GZ121" s="263"/>
      <c r="HA121" s="263"/>
      <c r="HB121" s="263"/>
      <c r="HC121" s="263"/>
      <c r="HD121" s="263"/>
      <c r="HE121" s="263"/>
      <c r="HF121" s="263"/>
      <c r="HG121" s="263"/>
      <c r="HH121" s="263"/>
      <c r="HI121" s="263"/>
      <c r="HJ121" s="263"/>
      <c r="HK121" s="263"/>
      <c r="HL121" s="263"/>
      <c r="HM121" s="263"/>
      <c r="HN121" s="263"/>
      <c r="HO121" s="263"/>
      <c r="HP121" s="263"/>
      <c r="HQ121" s="263"/>
      <c r="HR121" s="263"/>
      <c r="HS121" s="263"/>
      <c r="HT121" s="263"/>
      <c r="HU121" s="263"/>
      <c r="HV121" s="263"/>
      <c r="HW121" s="263"/>
      <c r="HX121" s="263"/>
      <c r="HY121" s="263"/>
      <c r="HZ121" s="263"/>
      <c r="IA121" s="263"/>
      <c r="IB121" s="263"/>
      <c r="IC121" s="263"/>
      <c r="ID121" s="263"/>
      <c r="IE121" s="263"/>
      <c r="IF121" s="263"/>
      <c r="IG121" s="263"/>
      <c r="IH121" s="263"/>
      <c r="II121" s="263"/>
      <c r="IJ121" s="263"/>
      <c r="IK121" s="263"/>
      <c r="IL121" s="263"/>
      <c r="IM121" s="263"/>
      <c r="IN121" s="263"/>
      <c r="IO121" s="263"/>
      <c r="IP121" s="263"/>
      <c r="IQ121" s="263"/>
      <c r="IR121" s="263"/>
      <c r="IS121" s="263"/>
      <c r="IT121" s="263"/>
      <c r="IU121" s="263"/>
    </row>
    <row r="122" spans="1:255" ht="15.6">
      <c r="A122" s="263"/>
      <c r="B122" s="263"/>
      <c r="C122" s="263"/>
      <c r="D122" s="263"/>
      <c r="E122" s="263"/>
      <c r="F122" s="263"/>
      <c r="G122" s="263"/>
      <c r="H122" s="263"/>
      <c r="I122" s="263"/>
      <c r="J122" s="263"/>
      <c r="K122" s="263"/>
      <c r="L122" s="263"/>
      <c r="M122" s="263"/>
      <c r="N122" s="263"/>
      <c r="O122" s="263"/>
      <c r="P122" s="263"/>
      <c r="Q122" s="263"/>
      <c r="R122" s="263"/>
      <c r="S122" s="263"/>
      <c r="T122" s="263"/>
      <c r="U122" s="263"/>
      <c r="V122" s="263"/>
      <c r="W122" s="263"/>
      <c r="X122" s="263"/>
      <c r="Y122" s="263"/>
      <c r="Z122" s="263"/>
      <c r="AA122" s="263"/>
      <c r="AB122" s="263"/>
      <c r="AC122" s="263"/>
      <c r="AD122" s="263"/>
      <c r="AE122" s="263"/>
      <c r="AF122" s="263"/>
      <c r="AG122" s="263"/>
      <c r="AH122" s="263"/>
      <c r="AI122" s="263"/>
      <c r="AJ122" s="263"/>
      <c r="AK122" s="263"/>
      <c r="AL122" s="263"/>
      <c r="AM122" s="263"/>
      <c r="AN122" s="263"/>
      <c r="AO122" s="263"/>
      <c r="AP122" s="263"/>
      <c r="AQ122" s="263"/>
      <c r="AR122" s="263"/>
      <c r="AS122" s="263"/>
      <c r="AT122" s="263"/>
      <c r="AU122" s="263"/>
      <c r="AV122" s="263"/>
      <c r="AW122" s="263"/>
      <c r="AX122" s="263"/>
      <c r="AY122" s="263"/>
      <c r="AZ122" s="263"/>
      <c r="BA122" s="263"/>
      <c r="BB122" s="263"/>
      <c r="BC122" s="263"/>
      <c r="BD122" s="263"/>
      <c r="BE122" s="263"/>
      <c r="BF122" s="263"/>
      <c r="BG122" s="263"/>
      <c r="BH122" s="263"/>
      <c r="BI122" s="263"/>
      <c r="BJ122" s="263"/>
      <c r="BK122" s="263"/>
      <c r="BL122" s="263"/>
      <c r="BM122" s="263"/>
      <c r="BN122" s="263"/>
      <c r="BO122" s="263"/>
      <c r="BP122" s="263"/>
      <c r="BQ122" s="263"/>
      <c r="BR122" s="263"/>
      <c r="BS122" s="263"/>
      <c r="BT122" s="263"/>
      <c r="BU122" s="263"/>
      <c r="BV122" s="263"/>
      <c r="BW122" s="263"/>
      <c r="BX122" s="263"/>
      <c r="BY122" s="263"/>
      <c r="BZ122" s="263"/>
      <c r="CA122" s="263"/>
      <c r="CB122" s="263"/>
      <c r="CC122" s="263"/>
      <c r="CD122" s="263"/>
      <c r="CE122" s="263"/>
      <c r="CF122" s="263"/>
      <c r="CG122" s="263"/>
      <c r="CH122" s="263"/>
      <c r="CI122" s="263"/>
      <c r="CJ122" s="263"/>
      <c r="CK122" s="263"/>
      <c r="CL122" s="263"/>
      <c r="CM122" s="263"/>
      <c r="CN122" s="263"/>
      <c r="CO122" s="263"/>
      <c r="CP122" s="263"/>
      <c r="CQ122" s="263"/>
      <c r="CR122" s="263"/>
      <c r="CS122" s="263"/>
      <c r="CT122" s="263"/>
      <c r="CU122" s="263"/>
      <c r="CV122" s="263"/>
      <c r="CW122" s="263"/>
      <c r="CX122" s="263"/>
      <c r="CY122" s="263"/>
      <c r="CZ122" s="263"/>
      <c r="DA122" s="263"/>
      <c r="DB122" s="263"/>
      <c r="DC122" s="263"/>
      <c r="DD122" s="263"/>
      <c r="DE122" s="263"/>
      <c r="DF122" s="263"/>
      <c r="DG122" s="263"/>
      <c r="DH122" s="263"/>
      <c r="DI122" s="263"/>
      <c r="DJ122" s="263"/>
      <c r="DK122" s="263"/>
      <c r="DL122" s="263"/>
      <c r="DM122" s="263"/>
      <c r="DN122" s="263"/>
      <c r="DO122" s="263"/>
      <c r="DP122" s="263"/>
      <c r="DQ122" s="263"/>
      <c r="DR122" s="263"/>
      <c r="DS122" s="263"/>
      <c r="DT122" s="263"/>
      <c r="DU122" s="263"/>
      <c r="DV122" s="263"/>
      <c r="DW122" s="263"/>
      <c r="DX122" s="263"/>
      <c r="DY122" s="263"/>
      <c r="DZ122" s="263"/>
      <c r="EA122" s="263"/>
      <c r="EB122" s="263"/>
      <c r="EC122" s="263"/>
      <c r="ED122" s="263"/>
      <c r="EE122" s="263"/>
      <c r="EF122" s="263"/>
      <c r="EG122" s="263"/>
      <c r="EH122" s="263"/>
      <c r="EI122" s="263"/>
      <c r="EJ122" s="263"/>
      <c r="EK122" s="263"/>
      <c r="EL122" s="263"/>
      <c r="EM122" s="263"/>
      <c r="EN122" s="263"/>
      <c r="EO122" s="263"/>
      <c r="EP122" s="263"/>
      <c r="EQ122" s="263"/>
      <c r="ER122" s="263"/>
      <c r="ES122" s="263"/>
      <c r="ET122" s="263"/>
      <c r="EU122" s="263"/>
      <c r="EV122" s="263"/>
      <c r="EW122" s="263"/>
      <c r="EX122" s="263"/>
      <c r="EY122" s="263"/>
      <c r="EZ122" s="263"/>
      <c r="FA122" s="263"/>
      <c r="FB122" s="263"/>
      <c r="FC122" s="263"/>
      <c r="FD122" s="263"/>
      <c r="FE122" s="263"/>
      <c r="FF122" s="263"/>
      <c r="FG122" s="263"/>
      <c r="FH122" s="263"/>
      <c r="FI122" s="263"/>
      <c r="FJ122" s="263"/>
      <c r="FK122" s="263"/>
      <c r="FL122" s="263"/>
      <c r="FM122" s="263"/>
      <c r="FN122" s="263"/>
      <c r="FO122" s="263"/>
      <c r="FP122" s="263"/>
      <c r="FQ122" s="263"/>
      <c r="FR122" s="263"/>
      <c r="FS122" s="263"/>
      <c r="FT122" s="263"/>
      <c r="FU122" s="263"/>
      <c r="FV122" s="263"/>
      <c r="FW122" s="263"/>
      <c r="FX122" s="263"/>
      <c r="FY122" s="263"/>
      <c r="FZ122" s="263"/>
      <c r="GA122" s="263"/>
      <c r="GB122" s="263"/>
      <c r="GC122" s="263"/>
      <c r="GD122" s="263"/>
      <c r="GE122" s="263"/>
      <c r="GF122" s="263"/>
      <c r="GG122" s="263"/>
      <c r="GH122" s="263"/>
      <c r="GI122" s="263"/>
      <c r="GJ122" s="263"/>
      <c r="GK122" s="263"/>
      <c r="GL122" s="263"/>
      <c r="GM122" s="263"/>
      <c r="GN122" s="263"/>
      <c r="GO122" s="263"/>
      <c r="GP122" s="263"/>
      <c r="GQ122" s="263"/>
      <c r="GR122" s="263"/>
      <c r="GS122" s="263"/>
      <c r="GT122" s="263"/>
      <c r="GU122" s="263"/>
      <c r="GV122" s="263"/>
      <c r="GW122" s="263"/>
      <c r="GX122" s="263"/>
      <c r="GY122" s="263"/>
      <c r="GZ122" s="263"/>
      <c r="HA122" s="263"/>
      <c r="HB122" s="263"/>
      <c r="HC122" s="263"/>
      <c r="HD122" s="263"/>
      <c r="HE122" s="263"/>
      <c r="HF122" s="263"/>
      <c r="HG122" s="263"/>
      <c r="HH122" s="263"/>
      <c r="HI122" s="263"/>
      <c r="HJ122" s="263"/>
      <c r="HK122" s="263"/>
      <c r="HL122" s="263"/>
      <c r="HM122" s="263"/>
      <c r="HN122" s="263"/>
      <c r="HO122" s="263"/>
      <c r="HP122" s="263"/>
      <c r="HQ122" s="263"/>
      <c r="HR122" s="263"/>
      <c r="HS122" s="263"/>
      <c r="HT122" s="263"/>
      <c r="HU122" s="263"/>
      <c r="HV122" s="263"/>
      <c r="HW122" s="263"/>
      <c r="HX122" s="263"/>
      <c r="HY122" s="263"/>
      <c r="HZ122" s="263"/>
      <c r="IA122" s="263"/>
      <c r="IB122" s="263"/>
      <c r="IC122" s="263"/>
      <c r="ID122" s="263"/>
      <c r="IE122" s="263"/>
      <c r="IF122" s="263"/>
      <c r="IG122" s="263"/>
      <c r="IH122" s="263"/>
      <c r="II122" s="263"/>
      <c r="IJ122" s="263"/>
      <c r="IK122" s="263"/>
      <c r="IL122" s="263"/>
      <c r="IM122" s="263"/>
      <c r="IN122" s="263"/>
      <c r="IO122" s="263"/>
      <c r="IP122" s="263"/>
      <c r="IQ122" s="263"/>
      <c r="IR122" s="263"/>
      <c r="IS122" s="263"/>
      <c r="IT122" s="263"/>
      <c r="IU122" s="263"/>
    </row>
    <row r="123" spans="1:255" ht="15.6">
      <c r="A123" s="263"/>
      <c r="B123" s="263"/>
      <c r="C123" s="263"/>
      <c r="D123" s="263"/>
      <c r="E123" s="263"/>
      <c r="F123" s="263"/>
      <c r="G123" s="263"/>
      <c r="H123" s="263"/>
      <c r="I123" s="263"/>
      <c r="J123" s="263"/>
      <c r="K123" s="263"/>
      <c r="L123" s="263"/>
      <c r="M123" s="263"/>
      <c r="N123" s="263"/>
      <c r="O123" s="263"/>
      <c r="P123" s="263"/>
      <c r="Q123" s="263"/>
      <c r="R123" s="263"/>
      <c r="S123" s="263"/>
      <c r="T123" s="263"/>
      <c r="U123" s="263"/>
      <c r="V123" s="263"/>
      <c r="W123" s="263"/>
      <c r="X123" s="263"/>
      <c r="Y123" s="263"/>
      <c r="Z123" s="263"/>
      <c r="AA123" s="263"/>
      <c r="AB123" s="263"/>
      <c r="AC123" s="263"/>
      <c r="AD123" s="263"/>
      <c r="AE123" s="263"/>
      <c r="AF123" s="263"/>
      <c r="AG123" s="263"/>
      <c r="AH123" s="263"/>
      <c r="AI123" s="263"/>
      <c r="AJ123" s="263"/>
      <c r="AK123" s="263"/>
      <c r="AL123" s="263"/>
      <c r="AM123" s="263"/>
      <c r="AN123" s="263"/>
      <c r="AO123" s="263"/>
      <c r="AP123" s="263"/>
      <c r="AQ123" s="263"/>
      <c r="AR123" s="263"/>
      <c r="AS123" s="263"/>
      <c r="AT123" s="263"/>
      <c r="AU123" s="263"/>
      <c r="AV123" s="263"/>
      <c r="AW123" s="263"/>
      <c r="AX123" s="263"/>
      <c r="AY123" s="263"/>
      <c r="AZ123" s="263"/>
      <c r="BA123" s="263"/>
      <c r="BB123" s="263"/>
      <c r="BC123" s="263"/>
      <c r="BD123" s="263"/>
      <c r="BE123" s="263"/>
      <c r="BF123" s="263"/>
      <c r="BG123" s="263"/>
      <c r="BH123" s="263"/>
      <c r="BI123" s="263"/>
      <c r="BJ123" s="263"/>
      <c r="BK123" s="263"/>
      <c r="BL123" s="263"/>
      <c r="BM123" s="263"/>
      <c r="BN123" s="263"/>
      <c r="BO123" s="263"/>
      <c r="BP123" s="263"/>
      <c r="BQ123" s="263"/>
      <c r="BR123" s="263"/>
      <c r="BS123" s="263"/>
      <c r="BT123" s="263"/>
      <c r="BU123" s="263"/>
      <c r="BV123" s="263"/>
      <c r="BW123" s="263"/>
      <c r="BX123" s="263"/>
      <c r="BY123" s="263"/>
      <c r="BZ123" s="263"/>
      <c r="CA123" s="263"/>
      <c r="CB123" s="263"/>
      <c r="CC123" s="263"/>
      <c r="CD123" s="263"/>
      <c r="CE123" s="263"/>
      <c r="CF123" s="263"/>
      <c r="CG123" s="263"/>
      <c r="CH123" s="263"/>
      <c r="CI123" s="263"/>
      <c r="CJ123" s="263"/>
      <c r="CK123" s="263"/>
      <c r="CL123" s="263"/>
      <c r="CM123" s="263"/>
      <c r="CN123" s="263"/>
      <c r="CO123" s="263"/>
      <c r="CP123" s="263"/>
      <c r="CQ123" s="263"/>
      <c r="CR123" s="263"/>
      <c r="CS123" s="263"/>
      <c r="CT123" s="263"/>
      <c r="CU123" s="263"/>
      <c r="CV123" s="263"/>
      <c r="CW123" s="263"/>
      <c r="CX123" s="263"/>
      <c r="CY123" s="263"/>
      <c r="CZ123" s="263"/>
      <c r="DA123" s="263"/>
      <c r="DB123" s="263"/>
      <c r="DC123" s="263"/>
      <c r="DD123" s="263"/>
      <c r="DE123" s="263"/>
      <c r="DF123" s="263"/>
      <c r="DG123" s="263"/>
      <c r="DH123" s="263"/>
      <c r="DI123" s="263"/>
      <c r="DJ123" s="263"/>
      <c r="DK123" s="263"/>
      <c r="DL123" s="263"/>
      <c r="DM123" s="263"/>
      <c r="DN123" s="263"/>
      <c r="DO123" s="263"/>
      <c r="DP123" s="263"/>
      <c r="DQ123" s="263"/>
      <c r="DR123" s="263"/>
      <c r="DS123" s="263"/>
      <c r="DT123" s="263"/>
      <c r="DU123" s="263"/>
      <c r="DV123" s="263"/>
      <c r="DW123" s="263"/>
      <c r="DX123" s="263"/>
      <c r="DY123" s="263"/>
      <c r="DZ123" s="263"/>
      <c r="EA123" s="263"/>
      <c r="EB123" s="263"/>
      <c r="EC123" s="263"/>
      <c r="ED123" s="263"/>
      <c r="EE123" s="263"/>
      <c r="EF123" s="263"/>
      <c r="EG123" s="263"/>
      <c r="EH123" s="263"/>
      <c r="EI123" s="263"/>
      <c r="EJ123" s="263"/>
      <c r="EK123" s="263"/>
      <c r="EL123" s="263"/>
      <c r="EM123" s="263"/>
      <c r="EN123" s="263"/>
      <c r="EO123" s="263"/>
      <c r="EP123" s="263"/>
      <c r="EQ123" s="263"/>
      <c r="ER123" s="263"/>
      <c r="ES123" s="263"/>
      <c r="ET123" s="263"/>
      <c r="EU123" s="263"/>
      <c r="EV123" s="263"/>
      <c r="EW123" s="263"/>
      <c r="EX123" s="263"/>
      <c r="EY123" s="263"/>
      <c r="EZ123" s="263"/>
      <c r="FA123" s="263"/>
      <c r="FB123" s="263"/>
      <c r="FC123" s="263"/>
      <c r="FD123" s="263"/>
      <c r="FE123" s="263"/>
      <c r="FF123" s="263"/>
      <c r="FG123" s="263"/>
      <c r="FH123" s="263"/>
      <c r="FI123" s="263"/>
      <c r="FJ123" s="263"/>
      <c r="FK123" s="263"/>
      <c r="FL123" s="263"/>
      <c r="FM123" s="263"/>
      <c r="FN123" s="263"/>
      <c r="FO123" s="263"/>
      <c r="FP123" s="263"/>
      <c r="FQ123" s="263"/>
      <c r="FR123" s="263"/>
      <c r="FS123" s="263"/>
      <c r="FT123" s="263"/>
      <c r="FU123" s="263"/>
      <c r="FV123" s="263"/>
      <c r="FW123" s="263"/>
      <c r="FX123" s="263"/>
      <c r="FY123" s="263"/>
      <c r="FZ123" s="263"/>
      <c r="GA123" s="263"/>
      <c r="GB123" s="263"/>
      <c r="GC123" s="263"/>
      <c r="GD123" s="263"/>
      <c r="GE123" s="263"/>
      <c r="GF123" s="263"/>
      <c r="GG123" s="263"/>
      <c r="GH123" s="263"/>
      <c r="GI123" s="263"/>
      <c r="GJ123" s="263"/>
      <c r="GK123" s="263"/>
      <c r="GL123" s="263"/>
      <c r="GM123" s="263"/>
      <c r="GN123" s="263"/>
      <c r="GO123" s="263"/>
      <c r="GP123" s="263"/>
      <c r="GQ123" s="263"/>
      <c r="GR123" s="263"/>
      <c r="GS123" s="263"/>
      <c r="GT123" s="263"/>
      <c r="GU123" s="263"/>
      <c r="GV123" s="263"/>
      <c r="GW123" s="263"/>
      <c r="GX123" s="263"/>
      <c r="GY123" s="263"/>
      <c r="GZ123" s="263"/>
      <c r="HA123" s="263"/>
      <c r="HB123" s="263"/>
      <c r="HC123" s="263"/>
      <c r="HD123" s="263"/>
      <c r="HE123" s="263"/>
      <c r="HF123" s="263"/>
      <c r="HG123" s="263"/>
      <c r="HH123" s="263"/>
      <c r="HI123" s="263"/>
      <c r="HJ123" s="263"/>
      <c r="HK123" s="263"/>
      <c r="HL123" s="263"/>
      <c r="HM123" s="263"/>
      <c r="HN123" s="263"/>
      <c r="HO123" s="263"/>
      <c r="HP123" s="263"/>
      <c r="HQ123" s="263"/>
      <c r="HR123" s="263"/>
      <c r="HS123" s="263"/>
      <c r="HT123" s="263"/>
      <c r="HU123" s="263"/>
      <c r="HV123" s="263"/>
      <c r="HW123" s="263"/>
      <c r="HX123" s="263"/>
      <c r="HY123" s="263"/>
      <c r="HZ123" s="263"/>
      <c r="IA123" s="263"/>
      <c r="IB123" s="263"/>
      <c r="IC123" s="263"/>
      <c r="ID123" s="263"/>
      <c r="IE123" s="263"/>
      <c r="IF123" s="263"/>
      <c r="IG123" s="263"/>
      <c r="IH123" s="263"/>
      <c r="II123" s="263"/>
      <c r="IJ123" s="263"/>
      <c r="IK123" s="263"/>
      <c r="IL123" s="263"/>
      <c r="IM123" s="263"/>
      <c r="IN123" s="263"/>
      <c r="IO123" s="263"/>
      <c r="IP123" s="263"/>
      <c r="IQ123" s="263"/>
      <c r="IR123" s="263"/>
      <c r="IS123" s="263"/>
      <c r="IT123" s="263"/>
      <c r="IU123" s="263"/>
    </row>
    <row r="124" spans="1:255" ht="15.6">
      <c r="A124" s="263"/>
      <c r="B124" s="263"/>
      <c r="C124" s="263"/>
      <c r="D124" s="263"/>
      <c r="E124" s="263"/>
      <c r="F124" s="263"/>
      <c r="G124" s="263"/>
      <c r="H124" s="263"/>
      <c r="I124" s="263"/>
      <c r="J124" s="263"/>
      <c r="K124" s="263"/>
      <c r="L124" s="263"/>
      <c r="M124" s="263"/>
      <c r="N124" s="263"/>
      <c r="O124" s="263"/>
      <c r="P124" s="263"/>
      <c r="Q124" s="263"/>
      <c r="R124" s="263"/>
      <c r="S124" s="263"/>
      <c r="T124" s="263"/>
      <c r="U124" s="263"/>
      <c r="V124" s="263"/>
      <c r="W124" s="263"/>
      <c r="X124" s="263"/>
      <c r="Y124" s="263"/>
      <c r="Z124" s="263"/>
      <c r="AA124" s="263"/>
      <c r="AB124" s="263"/>
      <c r="AC124" s="263"/>
      <c r="AD124" s="263"/>
      <c r="AE124" s="263"/>
      <c r="AF124" s="263"/>
      <c r="AG124" s="263"/>
      <c r="AH124" s="263"/>
      <c r="AI124" s="263"/>
      <c r="AJ124" s="263"/>
      <c r="AK124" s="263"/>
      <c r="AL124" s="263"/>
      <c r="AM124" s="263"/>
      <c r="AN124" s="263"/>
      <c r="AO124" s="263"/>
      <c r="AP124" s="263"/>
      <c r="AQ124" s="263"/>
      <c r="AR124" s="263"/>
      <c r="AS124" s="263"/>
      <c r="AT124" s="263"/>
      <c r="AU124" s="263"/>
      <c r="AV124" s="263"/>
      <c r="AW124" s="263"/>
      <c r="AX124" s="263"/>
      <c r="AY124" s="263"/>
      <c r="AZ124" s="263"/>
      <c r="BA124" s="263"/>
      <c r="BB124" s="263"/>
      <c r="BC124" s="263"/>
      <c r="BD124" s="263"/>
      <c r="BE124" s="263"/>
      <c r="BF124" s="263"/>
      <c r="BG124" s="263"/>
      <c r="BH124" s="263"/>
      <c r="BI124" s="263"/>
      <c r="BJ124" s="263"/>
      <c r="BK124" s="263"/>
      <c r="BL124" s="263"/>
      <c r="BM124" s="263"/>
      <c r="BN124" s="263"/>
      <c r="BO124" s="263"/>
      <c r="BP124" s="263"/>
      <c r="BQ124" s="263"/>
      <c r="BR124" s="263"/>
      <c r="BS124" s="263"/>
      <c r="BT124" s="263"/>
      <c r="BU124" s="263"/>
      <c r="BV124" s="263"/>
      <c r="BW124" s="263"/>
      <c r="BX124" s="263"/>
      <c r="BY124" s="263"/>
      <c r="BZ124" s="263"/>
      <c r="CA124" s="263"/>
      <c r="CB124" s="263"/>
      <c r="CC124" s="263"/>
      <c r="CD124" s="263"/>
      <c r="CE124" s="263"/>
      <c r="CF124" s="263"/>
      <c r="CG124" s="263"/>
      <c r="CH124" s="263"/>
      <c r="CI124" s="263"/>
      <c r="CJ124" s="263"/>
      <c r="CK124" s="263"/>
      <c r="CL124" s="263"/>
      <c r="CM124" s="263"/>
      <c r="CN124" s="263"/>
      <c r="CO124" s="263"/>
      <c r="CP124" s="263"/>
      <c r="CQ124" s="263"/>
      <c r="CR124" s="263"/>
      <c r="CS124" s="263"/>
      <c r="CT124" s="263"/>
      <c r="CU124" s="263"/>
      <c r="CV124" s="263"/>
      <c r="CW124" s="263"/>
      <c r="CX124" s="263"/>
      <c r="CY124" s="263"/>
      <c r="CZ124" s="263"/>
      <c r="DA124" s="263"/>
      <c r="DB124" s="263"/>
      <c r="DC124" s="263"/>
      <c r="DD124" s="263"/>
      <c r="DE124" s="263"/>
      <c r="DF124" s="263"/>
      <c r="DG124" s="263"/>
      <c r="DH124" s="263"/>
      <c r="DI124" s="263"/>
      <c r="DJ124" s="263"/>
      <c r="DK124" s="263"/>
      <c r="DL124" s="263"/>
      <c r="DM124" s="263"/>
      <c r="DN124" s="263"/>
      <c r="DO124" s="263"/>
      <c r="DP124" s="263"/>
      <c r="DQ124" s="263"/>
      <c r="DR124" s="263"/>
      <c r="DS124" s="263"/>
      <c r="DT124" s="263"/>
      <c r="DU124" s="263"/>
      <c r="DV124" s="263"/>
      <c r="DW124" s="263"/>
      <c r="DX124" s="263"/>
      <c r="DY124" s="263"/>
      <c r="DZ124" s="263"/>
      <c r="EA124" s="263"/>
      <c r="EB124" s="263"/>
      <c r="EC124" s="263"/>
      <c r="ED124" s="263"/>
      <c r="EE124" s="263"/>
      <c r="EF124" s="263"/>
      <c r="EG124" s="263"/>
      <c r="EH124" s="263"/>
      <c r="EI124" s="263"/>
      <c r="EJ124" s="263"/>
      <c r="EK124" s="263"/>
      <c r="EL124" s="263"/>
      <c r="EM124" s="263"/>
      <c r="EN124" s="263"/>
      <c r="EO124" s="263"/>
      <c r="EP124" s="263"/>
      <c r="EQ124" s="263"/>
      <c r="ER124" s="263"/>
      <c r="ES124" s="263"/>
      <c r="ET124" s="263"/>
      <c r="EU124" s="263"/>
      <c r="EV124" s="263"/>
      <c r="EW124" s="263"/>
      <c r="EX124" s="263"/>
      <c r="EY124" s="263"/>
      <c r="EZ124" s="263"/>
      <c r="FA124" s="263"/>
      <c r="FB124" s="263"/>
      <c r="FC124" s="263"/>
      <c r="FD124" s="263"/>
      <c r="FE124" s="263"/>
      <c r="FF124" s="263"/>
      <c r="FG124" s="263"/>
      <c r="FH124" s="263"/>
      <c r="FI124" s="263"/>
      <c r="FJ124" s="263"/>
      <c r="FK124" s="263"/>
      <c r="FL124" s="263"/>
      <c r="FM124" s="263"/>
      <c r="FN124" s="263"/>
      <c r="FO124" s="263"/>
      <c r="FP124" s="263"/>
      <c r="FQ124" s="263"/>
      <c r="FR124" s="263"/>
      <c r="FS124" s="263"/>
      <c r="FT124" s="263"/>
      <c r="FU124" s="263"/>
      <c r="FV124" s="263"/>
      <c r="FW124" s="263"/>
      <c r="FX124" s="263"/>
      <c r="FY124" s="263"/>
      <c r="FZ124" s="263"/>
      <c r="GA124" s="263"/>
      <c r="GB124" s="263"/>
      <c r="GC124" s="263"/>
      <c r="GD124" s="263"/>
      <c r="GE124" s="263"/>
      <c r="GF124" s="263"/>
      <c r="GG124" s="263"/>
      <c r="GH124" s="263"/>
      <c r="GI124" s="263"/>
      <c r="GJ124" s="263"/>
      <c r="GK124" s="263"/>
      <c r="GL124" s="263"/>
      <c r="GM124" s="263"/>
      <c r="GN124" s="263"/>
      <c r="GO124" s="263"/>
      <c r="GP124" s="263"/>
      <c r="GQ124" s="263"/>
      <c r="GR124" s="263"/>
      <c r="GS124" s="263"/>
      <c r="GT124" s="263"/>
      <c r="GU124" s="263"/>
      <c r="GV124" s="263"/>
      <c r="GW124" s="263"/>
      <c r="GX124" s="263"/>
      <c r="GY124" s="263"/>
      <c r="GZ124" s="263"/>
      <c r="HA124" s="263"/>
      <c r="HB124" s="263"/>
      <c r="HC124" s="263"/>
      <c r="HD124" s="263"/>
      <c r="HE124" s="263"/>
      <c r="HF124" s="263"/>
      <c r="HG124" s="263"/>
      <c r="HH124" s="263"/>
      <c r="HI124" s="263"/>
      <c r="HJ124" s="263"/>
      <c r="HK124" s="263"/>
      <c r="HL124" s="263"/>
      <c r="HM124" s="263"/>
      <c r="HN124" s="263"/>
      <c r="HO124" s="263"/>
      <c r="HP124" s="263"/>
      <c r="HQ124" s="263"/>
      <c r="HR124" s="263"/>
      <c r="HS124" s="263"/>
      <c r="HT124" s="263"/>
      <c r="HU124" s="263"/>
      <c r="HV124" s="263"/>
      <c r="HW124" s="263"/>
      <c r="HX124" s="263"/>
      <c r="HY124" s="263"/>
      <c r="HZ124" s="263"/>
      <c r="IA124" s="263"/>
      <c r="IB124" s="263"/>
      <c r="IC124" s="263"/>
      <c r="ID124" s="263"/>
      <c r="IE124" s="263"/>
      <c r="IF124" s="263"/>
      <c r="IG124" s="263"/>
      <c r="IH124" s="263"/>
      <c r="II124" s="263"/>
      <c r="IJ124" s="263"/>
      <c r="IK124" s="263"/>
      <c r="IL124" s="263"/>
      <c r="IM124" s="263"/>
      <c r="IN124" s="263"/>
      <c r="IO124" s="263"/>
      <c r="IP124" s="263"/>
      <c r="IQ124" s="263"/>
      <c r="IR124" s="263"/>
      <c r="IS124" s="263"/>
      <c r="IT124" s="263"/>
      <c r="IU124" s="263"/>
    </row>
    <row r="125" spans="1:255" ht="15.6">
      <c r="A125" s="263"/>
      <c r="B125" s="263"/>
      <c r="C125" s="263"/>
      <c r="D125" s="263"/>
      <c r="E125" s="263"/>
      <c r="F125" s="263"/>
      <c r="G125" s="263"/>
      <c r="H125" s="263"/>
      <c r="I125" s="263"/>
      <c r="J125" s="263"/>
      <c r="K125" s="263"/>
      <c r="L125" s="263"/>
      <c r="M125" s="263"/>
      <c r="N125" s="263"/>
      <c r="O125" s="263"/>
      <c r="P125" s="263"/>
      <c r="Q125" s="263"/>
      <c r="R125" s="263"/>
      <c r="S125" s="263"/>
      <c r="T125" s="263"/>
      <c r="U125" s="263"/>
      <c r="V125" s="263"/>
      <c r="W125" s="263"/>
      <c r="X125" s="263"/>
      <c r="Y125" s="263"/>
      <c r="Z125" s="263"/>
      <c r="AA125" s="263"/>
      <c r="AB125" s="263"/>
      <c r="AC125" s="263"/>
      <c r="AD125" s="263"/>
      <c r="AE125" s="263"/>
      <c r="AF125" s="263"/>
      <c r="AG125" s="263"/>
      <c r="AH125" s="263"/>
      <c r="AI125" s="263"/>
      <c r="AJ125" s="263"/>
      <c r="AK125" s="263"/>
      <c r="AL125" s="263"/>
      <c r="AM125" s="263"/>
      <c r="AN125" s="263"/>
      <c r="AO125" s="263"/>
      <c r="AP125" s="263"/>
      <c r="AQ125" s="263"/>
      <c r="AR125" s="263"/>
      <c r="AS125" s="263"/>
      <c r="AT125" s="263"/>
      <c r="AU125" s="263"/>
      <c r="AV125" s="263"/>
      <c r="AW125" s="263"/>
      <c r="AX125" s="263"/>
      <c r="AY125" s="263"/>
      <c r="AZ125" s="263"/>
      <c r="BA125" s="263"/>
      <c r="BB125" s="263"/>
      <c r="BC125" s="263"/>
      <c r="BD125" s="263"/>
      <c r="BE125" s="263"/>
      <c r="BF125" s="263"/>
      <c r="BG125" s="263"/>
      <c r="BH125" s="263"/>
      <c r="BI125" s="263"/>
      <c r="BJ125" s="263"/>
      <c r="BK125" s="263"/>
      <c r="BL125" s="263"/>
      <c r="BM125" s="263"/>
      <c r="BN125" s="263"/>
      <c r="BO125" s="263"/>
      <c r="BP125" s="263"/>
      <c r="BQ125" s="263"/>
      <c r="BR125" s="263"/>
      <c r="BS125" s="263"/>
      <c r="BT125" s="263"/>
      <c r="BU125" s="263"/>
      <c r="BV125" s="263"/>
      <c r="BW125" s="263"/>
      <c r="BX125" s="263"/>
      <c r="BY125" s="263"/>
      <c r="BZ125" s="263"/>
      <c r="CA125" s="263"/>
      <c r="CB125" s="263"/>
      <c r="CC125" s="263"/>
      <c r="CD125" s="263"/>
      <c r="CE125" s="263"/>
      <c r="CF125" s="263"/>
      <c r="CG125" s="263"/>
      <c r="CH125" s="263"/>
      <c r="CI125" s="263"/>
      <c r="CJ125" s="263"/>
      <c r="CK125" s="263"/>
      <c r="CL125" s="263"/>
      <c r="CM125" s="263"/>
      <c r="CN125" s="263"/>
      <c r="CO125" s="263"/>
      <c r="CP125" s="263"/>
      <c r="CQ125" s="263"/>
      <c r="CR125" s="263"/>
      <c r="CS125" s="263"/>
      <c r="CT125" s="263"/>
      <c r="CU125" s="263"/>
      <c r="CV125" s="263"/>
      <c r="CW125" s="263"/>
      <c r="CX125" s="263"/>
      <c r="CY125" s="263"/>
      <c r="CZ125" s="263"/>
      <c r="DA125" s="263"/>
      <c r="DB125" s="263"/>
      <c r="DC125" s="263"/>
      <c r="DD125" s="263"/>
      <c r="DE125" s="263"/>
      <c r="DF125" s="263"/>
      <c r="DG125" s="263"/>
      <c r="DH125" s="263"/>
      <c r="DI125" s="263"/>
      <c r="DJ125" s="263"/>
      <c r="DK125" s="263"/>
      <c r="DL125" s="263"/>
      <c r="DM125" s="263"/>
      <c r="DN125" s="263"/>
      <c r="DO125" s="263"/>
      <c r="DP125" s="263"/>
      <c r="DQ125" s="263"/>
      <c r="DR125" s="263"/>
      <c r="DS125" s="263"/>
      <c r="DT125" s="263"/>
      <c r="DU125" s="263"/>
      <c r="DV125" s="263"/>
      <c r="DW125" s="263"/>
      <c r="DX125" s="263"/>
      <c r="DY125" s="263"/>
      <c r="DZ125" s="263"/>
      <c r="EA125" s="263"/>
      <c r="EB125" s="263"/>
      <c r="EC125" s="263"/>
      <c r="ED125" s="263"/>
      <c r="EE125" s="263"/>
      <c r="EF125" s="263"/>
      <c r="EG125" s="263"/>
      <c r="EH125" s="263"/>
      <c r="EI125" s="263"/>
      <c r="EJ125" s="263"/>
      <c r="EK125" s="263"/>
      <c r="EL125" s="263"/>
      <c r="EM125" s="263"/>
      <c r="EN125" s="263"/>
      <c r="EO125" s="263"/>
      <c r="EP125" s="263"/>
      <c r="EQ125" s="263"/>
      <c r="ER125" s="263"/>
      <c r="ES125" s="263"/>
      <c r="ET125" s="263"/>
      <c r="EU125" s="263"/>
      <c r="EV125" s="263"/>
      <c r="EW125" s="263"/>
      <c r="EX125" s="263"/>
      <c r="EY125" s="263"/>
      <c r="EZ125" s="263"/>
      <c r="FA125" s="263"/>
      <c r="FB125" s="263"/>
      <c r="FC125" s="263"/>
      <c r="FD125" s="263"/>
      <c r="FE125" s="263"/>
      <c r="FF125" s="263"/>
      <c r="FG125" s="263"/>
      <c r="FH125" s="263"/>
      <c r="FI125" s="263"/>
      <c r="FJ125" s="263"/>
      <c r="FK125" s="263"/>
      <c r="FL125" s="263"/>
      <c r="FM125" s="263"/>
      <c r="FN125" s="263"/>
      <c r="FO125" s="263"/>
      <c r="FP125" s="263"/>
      <c r="FQ125" s="263"/>
      <c r="FR125" s="263"/>
      <c r="FS125" s="263"/>
      <c r="FT125" s="263"/>
      <c r="FU125" s="263"/>
      <c r="FV125" s="263"/>
      <c r="FW125" s="263"/>
      <c r="FX125" s="263"/>
      <c r="FY125" s="263"/>
      <c r="FZ125" s="263"/>
      <c r="GA125" s="263"/>
      <c r="GB125" s="263"/>
      <c r="GC125" s="263"/>
      <c r="GD125" s="263"/>
      <c r="GE125" s="263"/>
      <c r="GF125" s="263"/>
      <c r="GG125" s="263"/>
      <c r="GH125" s="263"/>
      <c r="GI125" s="263"/>
      <c r="GJ125" s="263"/>
      <c r="GK125" s="263"/>
      <c r="GL125" s="263"/>
      <c r="GM125" s="263"/>
      <c r="GN125" s="263"/>
      <c r="GO125" s="263"/>
      <c r="GP125" s="263"/>
      <c r="GQ125" s="263"/>
      <c r="GR125" s="263"/>
      <c r="GS125" s="263"/>
      <c r="GT125" s="263"/>
      <c r="GU125" s="263"/>
      <c r="GV125" s="263"/>
      <c r="GW125" s="263"/>
      <c r="GX125" s="263"/>
      <c r="GY125" s="263"/>
      <c r="GZ125" s="263"/>
      <c r="HA125" s="263"/>
      <c r="HB125" s="263"/>
      <c r="HC125" s="263"/>
      <c r="HD125" s="263"/>
      <c r="HE125" s="263"/>
      <c r="HF125" s="263"/>
      <c r="HG125" s="263"/>
      <c r="HH125" s="263"/>
      <c r="HI125" s="263"/>
      <c r="HJ125" s="263"/>
      <c r="HK125" s="263"/>
      <c r="HL125" s="263"/>
      <c r="HM125" s="263"/>
      <c r="HN125" s="263"/>
      <c r="HO125" s="263"/>
      <c r="HP125" s="263"/>
      <c r="HQ125" s="263"/>
      <c r="HR125" s="263"/>
      <c r="HS125" s="263"/>
      <c r="HT125" s="263"/>
      <c r="HU125" s="263"/>
      <c r="HV125" s="263"/>
      <c r="HW125" s="263"/>
      <c r="HX125" s="263"/>
      <c r="HY125" s="263"/>
      <c r="HZ125" s="263"/>
      <c r="IA125" s="263"/>
      <c r="IB125" s="263"/>
      <c r="IC125" s="263"/>
      <c r="ID125" s="263"/>
      <c r="IE125" s="263"/>
      <c r="IF125" s="263"/>
      <c r="IG125" s="263"/>
      <c r="IH125" s="263"/>
      <c r="II125" s="263"/>
      <c r="IJ125" s="263"/>
      <c r="IK125" s="263"/>
      <c r="IL125" s="263"/>
      <c r="IM125" s="263"/>
      <c r="IN125" s="263"/>
      <c r="IO125" s="263"/>
      <c r="IP125" s="263"/>
      <c r="IQ125" s="263"/>
      <c r="IR125" s="263"/>
      <c r="IS125" s="263"/>
      <c r="IT125" s="263"/>
      <c r="IU125" s="263"/>
    </row>
    <row r="126" spans="1:255" ht="15.6">
      <c r="A126" s="263"/>
      <c r="B126" s="263"/>
      <c r="C126" s="263"/>
      <c r="D126" s="263"/>
      <c r="E126" s="263"/>
      <c r="F126" s="263"/>
      <c r="G126" s="263"/>
      <c r="H126" s="263"/>
      <c r="I126" s="263"/>
      <c r="J126" s="263"/>
      <c r="K126" s="263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3"/>
      <c r="AA126" s="263"/>
      <c r="AB126" s="263"/>
      <c r="AC126" s="263"/>
      <c r="AD126" s="263"/>
      <c r="AE126" s="263"/>
      <c r="AF126" s="263"/>
      <c r="AG126" s="263"/>
      <c r="AH126" s="263"/>
      <c r="AI126" s="263"/>
      <c r="AJ126" s="263"/>
      <c r="AK126" s="263"/>
      <c r="AL126" s="263"/>
      <c r="AM126" s="263"/>
      <c r="AN126" s="263"/>
      <c r="AO126" s="263"/>
      <c r="AP126" s="263"/>
      <c r="AQ126" s="263"/>
      <c r="AR126" s="263"/>
      <c r="AS126" s="263"/>
      <c r="AT126" s="263"/>
      <c r="AU126" s="263"/>
      <c r="AV126" s="263"/>
      <c r="AW126" s="263"/>
      <c r="AX126" s="263"/>
      <c r="AY126" s="263"/>
      <c r="AZ126" s="263"/>
      <c r="BA126" s="263"/>
      <c r="BB126" s="263"/>
      <c r="BC126" s="263"/>
      <c r="BD126" s="263"/>
      <c r="BE126" s="263"/>
      <c r="BF126" s="263"/>
      <c r="BG126" s="263"/>
      <c r="BH126" s="263"/>
      <c r="BI126" s="263"/>
      <c r="BJ126" s="263"/>
      <c r="BK126" s="263"/>
      <c r="BL126" s="263"/>
      <c r="BM126" s="263"/>
      <c r="BN126" s="263"/>
      <c r="BO126" s="263"/>
      <c r="BP126" s="263"/>
      <c r="BQ126" s="263"/>
      <c r="BR126" s="263"/>
      <c r="BS126" s="263"/>
      <c r="BT126" s="263"/>
      <c r="BU126" s="263"/>
      <c r="BV126" s="263"/>
      <c r="BW126" s="263"/>
      <c r="BX126" s="263"/>
      <c r="BY126" s="263"/>
      <c r="BZ126" s="263"/>
      <c r="CA126" s="263"/>
      <c r="CB126" s="263"/>
      <c r="CC126" s="263"/>
      <c r="CD126" s="263"/>
      <c r="CE126" s="263"/>
      <c r="CF126" s="263"/>
      <c r="CG126" s="263"/>
      <c r="CH126" s="263"/>
      <c r="CI126" s="263"/>
      <c r="CJ126" s="263"/>
      <c r="CK126" s="263"/>
      <c r="CL126" s="263"/>
      <c r="CM126" s="263"/>
      <c r="CN126" s="263"/>
      <c r="CO126" s="263"/>
      <c r="CP126" s="263"/>
      <c r="CQ126" s="263"/>
      <c r="CR126" s="263"/>
      <c r="CS126" s="263"/>
      <c r="CT126" s="263"/>
      <c r="CU126" s="263"/>
      <c r="CV126" s="263"/>
      <c r="CW126" s="263"/>
      <c r="CX126" s="263"/>
      <c r="CY126" s="263"/>
      <c r="CZ126" s="263"/>
      <c r="DA126" s="263"/>
      <c r="DB126" s="263"/>
      <c r="DC126" s="263"/>
      <c r="DD126" s="263"/>
      <c r="DE126" s="263"/>
      <c r="DF126" s="263"/>
      <c r="DG126" s="263"/>
      <c r="DH126" s="263"/>
      <c r="DI126" s="263"/>
      <c r="DJ126" s="263"/>
      <c r="DK126" s="263"/>
      <c r="DL126" s="263"/>
      <c r="DM126" s="263"/>
      <c r="DN126" s="263"/>
      <c r="DO126" s="263"/>
      <c r="DP126" s="263"/>
      <c r="DQ126" s="263"/>
      <c r="DR126" s="263"/>
      <c r="DS126" s="263"/>
      <c r="DT126" s="263"/>
      <c r="DU126" s="263"/>
      <c r="DV126" s="263"/>
      <c r="DW126" s="263"/>
      <c r="DX126" s="263"/>
      <c r="DY126" s="263"/>
      <c r="DZ126" s="263"/>
      <c r="EA126" s="263"/>
      <c r="EB126" s="263"/>
      <c r="EC126" s="263"/>
      <c r="ED126" s="263"/>
      <c r="EE126" s="263"/>
      <c r="EF126" s="263"/>
      <c r="EG126" s="263"/>
      <c r="EH126" s="263"/>
      <c r="EI126" s="263"/>
      <c r="EJ126" s="263"/>
      <c r="EK126" s="263"/>
      <c r="EL126" s="263"/>
      <c r="EM126" s="263"/>
      <c r="EN126" s="263"/>
      <c r="EO126" s="263"/>
      <c r="EP126" s="263"/>
      <c r="EQ126" s="263"/>
      <c r="ER126" s="263"/>
      <c r="ES126" s="263"/>
      <c r="ET126" s="263"/>
      <c r="EU126" s="263"/>
      <c r="EV126" s="263"/>
      <c r="EW126" s="263"/>
      <c r="EX126" s="263"/>
      <c r="EY126" s="263"/>
      <c r="EZ126" s="263"/>
      <c r="FA126" s="263"/>
      <c r="FB126" s="263"/>
      <c r="FC126" s="263"/>
      <c r="FD126" s="263"/>
      <c r="FE126" s="263"/>
      <c r="FF126" s="263"/>
      <c r="FG126" s="263"/>
      <c r="FH126" s="263"/>
      <c r="FI126" s="263"/>
      <c r="FJ126" s="263"/>
      <c r="FK126" s="263"/>
      <c r="FL126" s="263"/>
      <c r="FM126" s="263"/>
      <c r="FN126" s="263"/>
      <c r="FO126" s="263"/>
      <c r="FP126" s="263"/>
      <c r="FQ126" s="263"/>
      <c r="FR126" s="263"/>
      <c r="FS126" s="263"/>
      <c r="FT126" s="263"/>
      <c r="FU126" s="263"/>
      <c r="FV126" s="263"/>
      <c r="FW126" s="263"/>
      <c r="FX126" s="263"/>
      <c r="FY126" s="263"/>
      <c r="FZ126" s="263"/>
      <c r="GA126" s="263"/>
      <c r="GB126" s="263"/>
      <c r="GC126" s="263"/>
      <c r="GD126" s="263"/>
      <c r="GE126" s="263"/>
      <c r="GF126" s="263"/>
      <c r="GG126" s="263"/>
      <c r="GH126" s="263"/>
      <c r="GI126" s="263"/>
      <c r="GJ126" s="263"/>
      <c r="GK126" s="263"/>
      <c r="GL126" s="263"/>
      <c r="GM126" s="263"/>
      <c r="GN126" s="263"/>
      <c r="GO126" s="263"/>
      <c r="GP126" s="263"/>
      <c r="GQ126" s="263"/>
      <c r="GR126" s="263"/>
      <c r="GS126" s="263"/>
      <c r="GT126" s="263"/>
      <c r="GU126" s="263"/>
      <c r="GV126" s="263"/>
      <c r="GW126" s="263"/>
      <c r="GX126" s="263"/>
      <c r="GY126" s="263"/>
      <c r="GZ126" s="263"/>
      <c r="HA126" s="263"/>
      <c r="HB126" s="263"/>
      <c r="HC126" s="263"/>
      <c r="HD126" s="263"/>
      <c r="HE126" s="263"/>
      <c r="HF126" s="263"/>
      <c r="HG126" s="263"/>
      <c r="HH126" s="263"/>
      <c r="HI126" s="263"/>
      <c r="HJ126" s="263"/>
      <c r="HK126" s="263"/>
      <c r="HL126" s="263"/>
      <c r="HM126" s="263"/>
      <c r="HN126" s="263"/>
      <c r="HO126" s="263"/>
      <c r="HP126" s="263"/>
      <c r="HQ126" s="263"/>
      <c r="HR126" s="263"/>
      <c r="HS126" s="263"/>
      <c r="HT126" s="263"/>
      <c r="HU126" s="263"/>
      <c r="HV126" s="263"/>
      <c r="HW126" s="263"/>
      <c r="HX126" s="263"/>
      <c r="HY126" s="263"/>
      <c r="HZ126" s="263"/>
      <c r="IA126" s="263"/>
      <c r="IB126" s="263"/>
      <c r="IC126" s="263"/>
      <c r="ID126" s="263"/>
      <c r="IE126" s="263"/>
      <c r="IF126" s="263"/>
      <c r="IG126" s="263"/>
      <c r="IH126" s="263"/>
      <c r="II126" s="263"/>
      <c r="IJ126" s="263"/>
      <c r="IK126" s="263"/>
      <c r="IL126" s="263"/>
      <c r="IM126" s="263"/>
      <c r="IN126" s="263"/>
      <c r="IO126" s="263"/>
      <c r="IP126" s="263"/>
      <c r="IQ126" s="263"/>
      <c r="IR126" s="263"/>
      <c r="IS126" s="263"/>
      <c r="IT126" s="263"/>
      <c r="IU126" s="263"/>
    </row>
    <row r="127" spans="1:255" ht="15.6">
      <c r="A127" s="263"/>
      <c r="B127" s="263"/>
      <c r="C127" s="263"/>
      <c r="D127" s="263"/>
      <c r="E127" s="263"/>
      <c r="F127" s="263"/>
      <c r="G127" s="263"/>
      <c r="H127" s="263"/>
      <c r="I127" s="263"/>
      <c r="J127" s="263"/>
      <c r="K127" s="263"/>
      <c r="L127" s="263"/>
      <c r="M127" s="263"/>
      <c r="N127" s="263"/>
      <c r="O127" s="263"/>
      <c r="P127" s="263"/>
      <c r="Q127" s="263"/>
      <c r="R127" s="263"/>
      <c r="S127" s="263"/>
      <c r="T127" s="263"/>
      <c r="U127" s="263"/>
      <c r="V127" s="263"/>
      <c r="W127" s="263"/>
      <c r="X127" s="263"/>
      <c r="Y127" s="263"/>
      <c r="Z127" s="263"/>
      <c r="AA127" s="263"/>
      <c r="AB127" s="263"/>
      <c r="AC127" s="263"/>
      <c r="AD127" s="263"/>
      <c r="AE127" s="263"/>
      <c r="AF127" s="263"/>
      <c r="AG127" s="263"/>
      <c r="AH127" s="263"/>
      <c r="AI127" s="263"/>
      <c r="AJ127" s="263"/>
      <c r="AK127" s="263"/>
      <c r="AL127" s="263"/>
      <c r="AM127" s="263"/>
      <c r="AN127" s="263"/>
      <c r="AO127" s="263"/>
      <c r="AP127" s="263"/>
      <c r="AQ127" s="263"/>
      <c r="AR127" s="263"/>
      <c r="AS127" s="263"/>
      <c r="AT127" s="263"/>
      <c r="AU127" s="263"/>
      <c r="AV127" s="263"/>
      <c r="AW127" s="263"/>
      <c r="AX127" s="263"/>
      <c r="AY127" s="263"/>
      <c r="AZ127" s="263"/>
      <c r="BA127" s="263"/>
      <c r="BB127" s="263"/>
      <c r="BC127" s="263"/>
      <c r="BD127" s="263"/>
      <c r="BE127" s="263"/>
      <c r="BF127" s="263"/>
      <c r="BG127" s="263"/>
      <c r="BH127" s="263"/>
      <c r="BI127" s="263"/>
      <c r="BJ127" s="263"/>
      <c r="BK127" s="263"/>
      <c r="BL127" s="263"/>
      <c r="BM127" s="263"/>
      <c r="BN127" s="263"/>
      <c r="BO127" s="263"/>
      <c r="BP127" s="263"/>
      <c r="BQ127" s="263"/>
      <c r="BR127" s="263"/>
      <c r="BS127" s="263"/>
      <c r="BT127" s="263"/>
      <c r="BU127" s="263"/>
      <c r="BV127" s="263"/>
      <c r="BW127" s="263"/>
      <c r="BX127" s="263"/>
      <c r="BY127" s="263"/>
      <c r="BZ127" s="263"/>
      <c r="CA127" s="263"/>
      <c r="CB127" s="263"/>
      <c r="CC127" s="263"/>
      <c r="CD127" s="263"/>
      <c r="CE127" s="263"/>
      <c r="CF127" s="263"/>
      <c r="CG127" s="263"/>
      <c r="CH127" s="263"/>
      <c r="CI127" s="263"/>
      <c r="CJ127" s="263"/>
      <c r="CK127" s="263"/>
      <c r="CL127" s="263"/>
      <c r="CM127" s="263"/>
      <c r="CN127" s="263"/>
      <c r="CO127" s="263"/>
      <c r="CP127" s="263"/>
      <c r="CQ127" s="263"/>
      <c r="CR127" s="263"/>
      <c r="CS127" s="263"/>
      <c r="CT127" s="263"/>
      <c r="CU127" s="263"/>
      <c r="CV127" s="263"/>
      <c r="CW127" s="263"/>
      <c r="CX127" s="263"/>
      <c r="CY127" s="263"/>
      <c r="CZ127" s="263"/>
      <c r="DA127" s="263"/>
      <c r="DB127" s="263"/>
      <c r="DC127" s="263"/>
      <c r="DD127" s="263"/>
      <c r="DE127" s="263"/>
      <c r="DF127" s="263"/>
      <c r="DG127" s="263"/>
      <c r="DH127" s="263"/>
      <c r="DI127" s="263"/>
      <c r="DJ127" s="263"/>
      <c r="DK127" s="263"/>
      <c r="DL127" s="263"/>
      <c r="DM127" s="263"/>
      <c r="DN127" s="263"/>
      <c r="DO127" s="263"/>
      <c r="DP127" s="263"/>
      <c r="DQ127" s="263"/>
      <c r="DR127" s="263"/>
      <c r="DS127" s="263"/>
      <c r="DT127" s="263"/>
      <c r="DU127" s="263"/>
      <c r="DV127" s="263"/>
      <c r="DW127" s="263"/>
      <c r="DX127" s="263"/>
      <c r="DY127" s="263"/>
      <c r="DZ127" s="263"/>
      <c r="EA127" s="263"/>
      <c r="EB127" s="263"/>
      <c r="EC127" s="263"/>
      <c r="ED127" s="263"/>
      <c r="EE127" s="263"/>
      <c r="EF127" s="263"/>
      <c r="EG127" s="263"/>
      <c r="EH127" s="263"/>
      <c r="EI127" s="263"/>
      <c r="EJ127" s="263"/>
      <c r="EK127" s="263"/>
      <c r="EL127" s="263"/>
      <c r="EM127" s="263"/>
      <c r="EN127" s="263"/>
      <c r="EO127" s="263"/>
      <c r="EP127" s="263"/>
      <c r="EQ127" s="263"/>
      <c r="ER127" s="263"/>
      <c r="ES127" s="263"/>
      <c r="ET127" s="263"/>
      <c r="EU127" s="263"/>
      <c r="EV127" s="263"/>
      <c r="EW127" s="263"/>
      <c r="EX127" s="263"/>
      <c r="EY127" s="263"/>
      <c r="EZ127" s="263"/>
      <c r="FA127" s="263"/>
      <c r="FB127" s="263"/>
      <c r="FC127" s="263"/>
      <c r="FD127" s="263"/>
      <c r="FE127" s="263"/>
      <c r="FF127" s="263"/>
      <c r="FG127" s="263"/>
      <c r="FH127" s="263"/>
      <c r="FI127" s="263"/>
      <c r="FJ127" s="263"/>
      <c r="FK127" s="263"/>
      <c r="FL127" s="263"/>
      <c r="FM127" s="263"/>
      <c r="FN127" s="263"/>
      <c r="FO127" s="263"/>
      <c r="FP127" s="263"/>
      <c r="FQ127" s="263"/>
      <c r="FR127" s="263"/>
      <c r="FS127" s="263"/>
      <c r="FT127" s="263"/>
      <c r="FU127" s="263"/>
      <c r="FV127" s="263"/>
      <c r="FW127" s="263"/>
      <c r="FX127" s="263"/>
      <c r="FY127" s="263"/>
      <c r="FZ127" s="263"/>
      <c r="GA127" s="263"/>
      <c r="GB127" s="263"/>
      <c r="GC127" s="263"/>
      <c r="GD127" s="263"/>
      <c r="GE127" s="263"/>
      <c r="GF127" s="263"/>
      <c r="GG127" s="263"/>
      <c r="GH127" s="263"/>
      <c r="GI127" s="263"/>
      <c r="GJ127" s="263"/>
      <c r="GK127" s="263"/>
      <c r="GL127" s="263"/>
      <c r="GM127" s="263"/>
      <c r="GN127" s="263"/>
      <c r="GO127" s="263"/>
      <c r="GP127" s="263"/>
      <c r="GQ127" s="263"/>
      <c r="GR127" s="263"/>
      <c r="GS127" s="263"/>
      <c r="GT127" s="263"/>
      <c r="GU127" s="263"/>
      <c r="GV127" s="263"/>
      <c r="GW127" s="263"/>
      <c r="GX127" s="263"/>
      <c r="GY127" s="263"/>
      <c r="GZ127" s="263"/>
      <c r="HA127" s="263"/>
      <c r="HB127" s="263"/>
      <c r="HC127" s="263"/>
      <c r="HD127" s="263"/>
      <c r="HE127" s="263"/>
      <c r="HF127" s="263"/>
      <c r="HG127" s="263"/>
      <c r="HH127" s="263"/>
      <c r="HI127" s="263"/>
      <c r="HJ127" s="263"/>
      <c r="HK127" s="263"/>
      <c r="HL127" s="263"/>
      <c r="HM127" s="263"/>
      <c r="HN127" s="263"/>
      <c r="HO127" s="263"/>
      <c r="HP127" s="263"/>
      <c r="HQ127" s="263"/>
      <c r="HR127" s="263"/>
      <c r="HS127" s="263"/>
      <c r="HT127" s="263"/>
      <c r="HU127" s="263"/>
      <c r="HV127" s="263"/>
      <c r="HW127" s="263"/>
      <c r="HX127" s="263"/>
      <c r="HY127" s="263"/>
      <c r="HZ127" s="263"/>
      <c r="IA127" s="263"/>
      <c r="IB127" s="263"/>
      <c r="IC127" s="263"/>
      <c r="ID127" s="263"/>
      <c r="IE127" s="263"/>
      <c r="IF127" s="263"/>
      <c r="IG127" s="263"/>
      <c r="IH127" s="263"/>
      <c r="II127" s="263"/>
      <c r="IJ127" s="263"/>
      <c r="IK127" s="263"/>
      <c r="IL127" s="263"/>
      <c r="IM127" s="263"/>
      <c r="IN127" s="263"/>
      <c r="IO127" s="263"/>
      <c r="IP127" s="263"/>
      <c r="IQ127" s="263"/>
      <c r="IR127" s="263"/>
      <c r="IS127" s="263"/>
      <c r="IT127" s="263"/>
      <c r="IU127" s="263"/>
    </row>
    <row r="128" spans="1:255" ht="15.6">
      <c r="A128" s="263"/>
      <c r="B128" s="263"/>
      <c r="C128" s="263"/>
      <c r="D128" s="263"/>
      <c r="E128" s="263"/>
      <c r="F128" s="263"/>
      <c r="G128" s="263"/>
      <c r="H128" s="263"/>
      <c r="I128" s="263"/>
      <c r="J128" s="263"/>
      <c r="K128" s="263"/>
      <c r="L128" s="263"/>
      <c r="M128" s="263"/>
      <c r="N128" s="263"/>
      <c r="O128" s="263"/>
      <c r="P128" s="263"/>
      <c r="Q128" s="263"/>
      <c r="R128" s="263"/>
      <c r="S128" s="263"/>
      <c r="T128" s="263"/>
      <c r="U128" s="263"/>
      <c r="V128" s="263"/>
      <c r="W128" s="263"/>
      <c r="X128" s="263"/>
      <c r="Y128" s="263"/>
      <c r="Z128" s="263"/>
      <c r="AA128" s="263"/>
      <c r="AB128" s="263"/>
      <c r="AC128" s="263"/>
      <c r="AD128" s="263"/>
      <c r="AE128" s="263"/>
      <c r="AF128" s="263"/>
      <c r="AG128" s="263"/>
      <c r="AH128" s="263"/>
      <c r="AI128" s="263"/>
      <c r="AJ128" s="263"/>
      <c r="AK128" s="263"/>
      <c r="AL128" s="263"/>
      <c r="AM128" s="263"/>
      <c r="AN128" s="263"/>
      <c r="AO128" s="263"/>
      <c r="AP128" s="263"/>
      <c r="AQ128" s="263"/>
      <c r="AR128" s="263"/>
      <c r="AS128" s="263"/>
      <c r="AT128" s="263"/>
      <c r="AU128" s="263"/>
      <c r="AV128" s="263"/>
      <c r="AW128" s="263"/>
      <c r="AX128" s="263"/>
      <c r="AY128" s="263"/>
      <c r="AZ128" s="263"/>
      <c r="BA128" s="263"/>
      <c r="BB128" s="263"/>
      <c r="BC128" s="263"/>
      <c r="BD128" s="263"/>
      <c r="BE128" s="263"/>
      <c r="BF128" s="263"/>
      <c r="BG128" s="263"/>
      <c r="BH128" s="263"/>
      <c r="BI128" s="263"/>
      <c r="BJ128" s="263"/>
      <c r="BK128" s="263"/>
      <c r="BL128" s="263"/>
      <c r="BM128" s="263"/>
      <c r="BN128" s="263"/>
      <c r="BO128" s="263"/>
      <c r="BP128" s="263"/>
      <c r="BQ128" s="263"/>
      <c r="BR128" s="263"/>
      <c r="BS128" s="263"/>
      <c r="BT128" s="263"/>
      <c r="BU128" s="263"/>
      <c r="BV128" s="263"/>
      <c r="BW128" s="263"/>
      <c r="BX128" s="263"/>
      <c r="BY128" s="263"/>
      <c r="BZ128" s="263"/>
      <c r="CA128" s="263"/>
      <c r="CB128" s="263"/>
      <c r="CC128" s="263"/>
      <c r="CD128" s="263"/>
      <c r="CE128" s="263"/>
      <c r="CF128" s="263"/>
      <c r="CG128" s="263"/>
      <c r="CH128" s="263"/>
      <c r="CI128" s="263"/>
      <c r="CJ128" s="263"/>
      <c r="CK128" s="263"/>
      <c r="CL128" s="263"/>
      <c r="CM128" s="263"/>
      <c r="CN128" s="263"/>
      <c r="CO128" s="263"/>
      <c r="CP128" s="263"/>
      <c r="CQ128" s="263"/>
      <c r="CR128" s="263"/>
      <c r="CS128" s="263"/>
      <c r="CT128" s="263"/>
      <c r="CU128" s="263"/>
      <c r="CV128" s="263"/>
      <c r="CW128" s="263"/>
      <c r="CX128" s="263"/>
      <c r="CY128" s="263"/>
      <c r="CZ128" s="263"/>
      <c r="DA128" s="263"/>
      <c r="DB128" s="263"/>
      <c r="DC128" s="263"/>
      <c r="DD128" s="263"/>
      <c r="DE128" s="263"/>
      <c r="DF128" s="263"/>
      <c r="DG128" s="263"/>
      <c r="DH128" s="263"/>
      <c r="DI128" s="263"/>
      <c r="DJ128" s="263"/>
      <c r="DK128" s="263"/>
      <c r="DL128" s="263"/>
      <c r="DM128" s="263"/>
      <c r="DN128" s="263"/>
      <c r="DO128" s="263"/>
      <c r="DP128" s="263"/>
      <c r="DQ128" s="263"/>
      <c r="DR128" s="263"/>
      <c r="DS128" s="263"/>
      <c r="DT128" s="263"/>
      <c r="DU128" s="263"/>
      <c r="DV128" s="263"/>
      <c r="DW128" s="263"/>
      <c r="DX128" s="263"/>
      <c r="DY128" s="263"/>
      <c r="DZ128" s="263"/>
      <c r="EA128" s="263"/>
      <c r="EB128" s="263"/>
      <c r="EC128" s="263"/>
      <c r="ED128" s="263"/>
      <c r="EE128" s="263"/>
      <c r="EF128" s="263"/>
      <c r="EG128" s="263"/>
      <c r="EH128" s="263"/>
      <c r="EI128" s="263"/>
      <c r="EJ128" s="263"/>
      <c r="EK128" s="263"/>
      <c r="EL128" s="263"/>
      <c r="EM128" s="263"/>
      <c r="EN128" s="263"/>
      <c r="EO128" s="263"/>
      <c r="EP128" s="263"/>
      <c r="EQ128" s="263"/>
      <c r="ER128" s="263"/>
      <c r="ES128" s="263"/>
      <c r="ET128" s="263"/>
      <c r="EU128" s="263"/>
      <c r="EV128" s="263"/>
      <c r="EW128" s="263"/>
      <c r="EX128" s="263"/>
      <c r="EY128" s="263"/>
      <c r="EZ128" s="263"/>
      <c r="FA128" s="263"/>
      <c r="FB128" s="263"/>
      <c r="FC128" s="263"/>
      <c r="FD128" s="263"/>
      <c r="FE128" s="263"/>
      <c r="FF128" s="263"/>
      <c r="FG128" s="263"/>
      <c r="FH128" s="263"/>
      <c r="FI128" s="263"/>
      <c r="FJ128" s="263"/>
      <c r="FK128" s="263"/>
      <c r="FL128" s="263"/>
      <c r="FM128" s="263"/>
      <c r="FN128" s="263"/>
      <c r="FO128" s="263"/>
      <c r="FP128" s="263"/>
      <c r="FQ128" s="263"/>
      <c r="FR128" s="263"/>
      <c r="FS128" s="263"/>
      <c r="FT128" s="263"/>
      <c r="FU128" s="263"/>
      <c r="FV128" s="263"/>
      <c r="FW128" s="263"/>
      <c r="FX128" s="263"/>
      <c r="FY128" s="263"/>
      <c r="FZ128" s="263"/>
      <c r="GA128" s="263"/>
      <c r="GB128" s="263"/>
      <c r="GC128" s="263"/>
      <c r="GD128" s="263"/>
      <c r="GE128" s="263"/>
      <c r="GF128" s="263"/>
      <c r="GG128" s="263"/>
      <c r="GH128" s="263"/>
      <c r="GI128" s="263"/>
      <c r="GJ128" s="263"/>
      <c r="GK128" s="263"/>
      <c r="GL128" s="263"/>
      <c r="GM128" s="263"/>
      <c r="GN128" s="263"/>
      <c r="GO128" s="263"/>
      <c r="GP128" s="263"/>
      <c r="GQ128" s="263"/>
      <c r="GR128" s="263"/>
      <c r="GS128" s="263"/>
      <c r="GT128" s="263"/>
      <c r="GU128" s="263"/>
      <c r="GV128" s="263"/>
      <c r="GW128" s="263"/>
      <c r="GX128" s="263"/>
      <c r="GY128" s="263"/>
      <c r="GZ128" s="263"/>
      <c r="HA128" s="263"/>
      <c r="HB128" s="263"/>
      <c r="HC128" s="263"/>
      <c r="HD128" s="263"/>
      <c r="HE128" s="263"/>
      <c r="HF128" s="263"/>
      <c r="HG128" s="263"/>
      <c r="HH128" s="263"/>
      <c r="HI128" s="263"/>
      <c r="HJ128" s="263"/>
      <c r="HK128" s="263"/>
      <c r="HL128" s="263"/>
      <c r="HM128" s="263"/>
      <c r="HN128" s="263"/>
      <c r="HO128" s="263"/>
      <c r="HP128" s="263"/>
      <c r="HQ128" s="263"/>
      <c r="HR128" s="263"/>
      <c r="HS128" s="263"/>
      <c r="HT128" s="263"/>
      <c r="HU128" s="263"/>
      <c r="HV128" s="263"/>
      <c r="HW128" s="263"/>
      <c r="HX128" s="263"/>
      <c r="HY128" s="263"/>
      <c r="HZ128" s="263"/>
      <c r="IA128" s="263"/>
      <c r="IB128" s="263"/>
      <c r="IC128" s="263"/>
      <c r="ID128" s="263"/>
      <c r="IE128" s="263"/>
      <c r="IF128" s="263"/>
      <c r="IG128" s="263"/>
      <c r="IH128" s="263"/>
      <c r="II128" s="263"/>
      <c r="IJ128" s="263"/>
      <c r="IK128" s="263"/>
      <c r="IL128" s="263"/>
      <c r="IM128" s="263"/>
      <c r="IN128" s="263"/>
      <c r="IO128" s="263"/>
      <c r="IP128" s="263"/>
      <c r="IQ128" s="263"/>
      <c r="IR128" s="263"/>
      <c r="IS128" s="263"/>
      <c r="IT128" s="263"/>
      <c r="IU128" s="263"/>
    </row>
    <row r="129" spans="1:255" ht="15.6">
      <c r="A129" s="263"/>
      <c r="B129" s="263"/>
      <c r="C129" s="263"/>
      <c r="D129" s="263"/>
      <c r="E129" s="263"/>
      <c r="F129" s="263"/>
      <c r="G129" s="263"/>
      <c r="H129" s="263"/>
      <c r="I129" s="263"/>
      <c r="J129" s="263"/>
      <c r="K129" s="263"/>
      <c r="L129" s="263"/>
      <c r="M129" s="263"/>
      <c r="N129" s="263"/>
      <c r="O129" s="263"/>
      <c r="P129" s="263"/>
      <c r="Q129" s="263"/>
      <c r="R129" s="263"/>
      <c r="S129" s="263"/>
      <c r="T129" s="263"/>
      <c r="U129" s="263"/>
      <c r="V129" s="263"/>
      <c r="W129" s="263"/>
      <c r="X129" s="263"/>
      <c r="Y129" s="263"/>
      <c r="Z129" s="263"/>
      <c r="AA129" s="263"/>
      <c r="AB129" s="263"/>
      <c r="AC129" s="263"/>
      <c r="AD129" s="263"/>
      <c r="AE129" s="263"/>
      <c r="AF129" s="263"/>
      <c r="AG129" s="263"/>
      <c r="AH129" s="263"/>
      <c r="AI129" s="263"/>
      <c r="AJ129" s="263"/>
      <c r="AK129" s="263"/>
      <c r="AL129" s="263"/>
      <c r="AM129" s="263"/>
      <c r="AN129" s="263"/>
      <c r="AO129" s="263"/>
      <c r="AP129" s="263"/>
      <c r="AQ129" s="263"/>
      <c r="AR129" s="263"/>
      <c r="AS129" s="263"/>
      <c r="AT129" s="263"/>
      <c r="AU129" s="263"/>
      <c r="AV129" s="263"/>
      <c r="AW129" s="263"/>
      <c r="AX129" s="263"/>
      <c r="AY129" s="263"/>
      <c r="AZ129" s="263"/>
      <c r="BA129" s="263"/>
      <c r="BB129" s="263"/>
      <c r="BC129" s="263"/>
      <c r="BD129" s="263"/>
      <c r="BE129" s="263"/>
      <c r="BF129" s="263"/>
      <c r="BG129" s="263"/>
      <c r="BH129" s="263"/>
      <c r="BI129" s="263"/>
      <c r="BJ129" s="263"/>
      <c r="BK129" s="263"/>
      <c r="BL129" s="263"/>
      <c r="BM129" s="263"/>
      <c r="BN129" s="263"/>
      <c r="BO129" s="263"/>
      <c r="BP129" s="263"/>
      <c r="BQ129" s="263"/>
      <c r="BR129" s="263"/>
      <c r="BS129" s="263"/>
      <c r="BT129" s="263"/>
      <c r="BU129" s="263"/>
      <c r="BV129" s="263"/>
      <c r="BW129" s="263"/>
      <c r="BX129" s="263"/>
      <c r="BY129" s="263"/>
      <c r="BZ129" s="263"/>
      <c r="CA129" s="263"/>
      <c r="CB129" s="263"/>
      <c r="CC129" s="263"/>
      <c r="CD129" s="263"/>
      <c r="CE129" s="263"/>
      <c r="CF129" s="263"/>
      <c r="CG129" s="263"/>
      <c r="CH129" s="263"/>
      <c r="CI129" s="263"/>
      <c r="CJ129" s="263"/>
      <c r="CK129" s="263"/>
      <c r="CL129" s="263"/>
      <c r="CM129" s="263"/>
      <c r="CN129" s="263"/>
      <c r="CO129" s="263"/>
      <c r="CP129" s="263"/>
      <c r="CQ129" s="263"/>
      <c r="CR129" s="263"/>
      <c r="CS129" s="263"/>
      <c r="CT129" s="263"/>
      <c r="CU129" s="263"/>
      <c r="CV129" s="263"/>
      <c r="CW129" s="263"/>
      <c r="CX129" s="263"/>
      <c r="CY129" s="263"/>
      <c r="CZ129" s="263"/>
      <c r="DA129" s="263"/>
      <c r="DB129" s="263"/>
      <c r="DC129" s="263"/>
      <c r="DD129" s="263"/>
      <c r="DE129" s="263"/>
      <c r="DF129" s="263"/>
      <c r="DG129" s="263"/>
      <c r="DH129" s="263"/>
      <c r="DI129" s="263"/>
      <c r="DJ129" s="263"/>
      <c r="DK129" s="263"/>
      <c r="DL129" s="263"/>
      <c r="DM129" s="263"/>
      <c r="DN129" s="263"/>
      <c r="DO129" s="263"/>
      <c r="DP129" s="263"/>
      <c r="DQ129" s="263"/>
      <c r="DR129" s="263"/>
      <c r="DS129" s="263"/>
      <c r="DT129" s="263"/>
      <c r="DU129" s="263"/>
      <c r="DV129" s="263"/>
      <c r="DW129" s="263"/>
      <c r="DX129" s="263"/>
      <c r="DY129" s="263"/>
      <c r="DZ129" s="263"/>
      <c r="EA129" s="263"/>
      <c r="EB129" s="263"/>
      <c r="EC129" s="263"/>
      <c r="ED129" s="263"/>
      <c r="EE129" s="263"/>
      <c r="EF129" s="263"/>
      <c r="EG129" s="263"/>
      <c r="EH129" s="263"/>
      <c r="EI129" s="263"/>
      <c r="EJ129" s="263"/>
      <c r="EK129" s="263"/>
      <c r="EL129" s="263"/>
      <c r="EM129" s="263"/>
      <c r="EN129" s="263"/>
      <c r="EO129" s="263"/>
      <c r="EP129" s="263"/>
      <c r="EQ129" s="263"/>
      <c r="ER129" s="263"/>
      <c r="ES129" s="263"/>
      <c r="ET129" s="263"/>
      <c r="EU129" s="263"/>
      <c r="EV129" s="263"/>
      <c r="EW129" s="263"/>
      <c r="EX129" s="263"/>
      <c r="EY129" s="263"/>
      <c r="EZ129" s="263"/>
      <c r="FA129" s="263"/>
      <c r="FB129" s="263"/>
      <c r="FC129" s="263"/>
      <c r="FD129" s="263"/>
      <c r="FE129" s="263"/>
      <c r="FF129" s="263"/>
      <c r="FG129" s="263"/>
      <c r="FH129" s="263"/>
      <c r="FI129" s="263"/>
      <c r="FJ129" s="263"/>
      <c r="FK129" s="263"/>
      <c r="FL129" s="263"/>
      <c r="FM129" s="263"/>
      <c r="FN129" s="263"/>
      <c r="FO129" s="263"/>
      <c r="FP129" s="263"/>
      <c r="FQ129" s="263"/>
      <c r="FR129" s="263"/>
      <c r="FS129" s="263"/>
      <c r="FT129" s="263"/>
      <c r="FU129" s="263"/>
      <c r="FV129" s="263"/>
      <c r="FW129" s="263"/>
      <c r="FX129" s="263"/>
      <c r="FY129" s="263"/>
      <c r="FZ129" s="263"/>
      <c r="GA129" s="263"/>
      <c r="GB129" s="263"/>
      <c r="GC129" s="263"/>
      <c r="GD129" s="263"/>
      <c r="GE129" s="263"/>
      <c r="GF129" s="263"/>
      <c r="GG129" s="263"/>
      <c r="GH129" s="263"/>
      <c r="GI129" s="263"/>
      <c r="GJ129" s="263"/>
      <c r="GK129" s="263"/>
      <c r="GL129" s="263"/>
      <c r="GM129" s="263"/>
      <c r="GN129" s="263"/>
      <c r="GO129" s="263"/>
      <c r="GP129" s="263"/>
      <c r="GQ129" s="263"/>
      <c r="GR129" s="263"/>
      <c r="GS129" s="263"/>
      <c r="GT129" s="263"/>
      <c r="GU129" s="263"/>
      <c r="GV129" s="263"/>
      <c r="GW129" s="263"/>
      <c r="GX129" s="263"/>
      <c r="GY129" s="263"/>
      <c r="GZ129" s="263"/>
      <c r="HA129" s="263"/>
      <c r="HB129" s="263"/>
      <c r="HC129" s="263"/>
      <c r="HD129" s="263"/>
      <c r="HE129" s="263"/>
      <c r="HF129" s="263"/>
      <c r="HG129" s="263"/>
      <c r="HH129" s="263"/>
      <c r="HI129" s="263"/>
      <c r="HJ129" s="263"/>
      <c r="HK129" s="263"/>
      <c r="HL129" s="263"/>
      <c r="HM129" s="263"/>
      <c r="HN129" s="263"/>
      <c r="HO129" s="263"/>
      <c r="HP129" s="263"/>
      <c r="HQ129" s="263"/>
      <c r="HR129" s="263"/>
      <c r="HS129" s="263"/>
      <c r="HT129" s="263"/>
      <c r="HU129" s="263"/>
      <c r="HV129" s="263"/>
      <c r="HW129" s="263"/>
      <c r="HX129" s="263"/>
      <c r="HY129" s="263"/>
      <c r="HZ129" s="263"/>
      <c r="IA129" s="263"/>
      <c r="IB129" s="263"/>
      <c r="IC129" s="263"/>
      <c r="ID129" s="263"/>
      <c r="IE129" s="263"/>
      <c r="IF129" s="263"/>
      <c r="IG129" s="263"/>
      <c r="IH129" s="263"/>
      <c r="II129" s="263"/>
      <c r="IJ129" s="263"/>
      <c r="IK129" s="263"/>
      <c r="IL129" s="263"/>
      <c r="IM129" s="263"/>
      <c r="IN129" s="263"/>
      <c r="IO129" s="263"/>
      <c r="IP129" s="263"/>
      <c r="IQ129" s="263"/>
      <c r="IR129" s="263"/>
      <c r="IS129" s="263"/>
      <c r="IT129" s="263"/>
      <c r="IU129" s="263"/>
    </row>
    <row r="130" spans="1:255" ht="15.6">
      <c r="A130" s="263"/>
      <c r="B130" s="263"/>
      <c r="C130" s="263"/>
      <c r="D130" s="263"/>
      <c r="E130" s="263"/>
      <c r="F130" s="263"/>
      <c r="G130" s="263"/>
      <c r="H130" s="263"/>
      <c r="I130" s="263"/>
      <c r="J130" s="263"/>
      <c r="K130" s="263"/>
      <c r="L130" s="263"/>
      <c r="M130" s="263"/>
      <c r="N130" s="263"/>
      <c r="O130" s="263"/>
      <c r="P130" s="263"/>
      <c r="Q130" s="263"/>
      <c r="R130" s="263"/>
      <c r="S130" s="263"/>
      <c r="T130" s="263"/>
      <c r="U130" s="263"/>
      <c r="V130" s="263"/>
      <c r="W130" s="263"/>
      <c r="X130" s="263"/>
      <c r="Y130" s="263"/>
      <c r="Z130" s="263"/>
      <c r="AA130" s="263"/>
      <c r="AB130" s="263"/>
      <c r="AC130" s="263"/>
      <c r="AD130" s="263"/>
      <c r="AE130" s="263"/>
      <c r="AF130" s="263"/>
      <c r="AG130" s="263"/>
      <c r="AH130" s="263"/>
      <c r="AI130" s="263"/>
      <c r="AJ130" s="263"/>
      <c r="AK130" s="263"/>
      <c r="AL130" s="263"/>
      <c r="AM130" s="263"/>
      <c r="AN130" s="263"/>
      <c r="AO130" s="263"/>
      <c r="AP130" s="263"/>
      <c r="AQ130" s="263"/>
      <c r="AR130" s="263"/>
      <c r="AS130" s="263"/>
      <c r="AT130" s="263"/>
      <c r="AU130" s="263"/>
      <c r="AV130" s="263"/>
      <c r="AW130" s="263"/>
      <c r="AX130" s="263"/>
      <c r="AY130" s="263"/>
      <c r="AZ130" s="263"/>
      <c r="BA130" s="263"/>
      <c r="BB130" s="263"/>
      <c r="BC130" s="263"/>
      <c r="BD130" s="263"/>
      <c r="BE130" s="263"/>
      <c r="BF130" s="263"/>
      <c r="BG130" s="263"/>
      <c r="BH130" s="263"/>
      <c r="BI130" s="263"/>
      <c r="BJ130" s="263"/>
      <c r="BK130" s="263"/>
      <c r="BL130" s="263"/>
      <c r="BM130" s="263"/>
      <c r="BN130" s="263"/>
      <c r="BO130" s="263"/>
      <c r="BP130" s="263"/>
      <c r="BQ130" s="263"/>
      <c r="BR130" s="263"/>
      <c r="BS130" s="263"/>
      <c r="BT130" s="263"/>
      <c r="BU130" s="263"/>
      <c r="BV130" s="263"/>
      <c r="BW130" s="263"/>
      <c r="BX130" s="263"/>
      <c r="BY130" s="263"/>
      <c r="BZ130" s="263"/>
      <c r="CA130" s="263"/>
      <c r="CB130" s="263"/>
      <c r="CC130" s="263"/>
      <c r="CD130" s="263"/>
      <c r="CE130" s="263"/>
      <c r="CF130" s="263"/>
      <c r="CG130" s="263"/>
      <c r="CH130" s="263"/>
      <c r="CI130" s="263"/>
      <c r="CJ130" s="263"/>
      <c r="CK130" s="263"/>
      <c r="CL130" s="263"/>
      <c r="CM130" s="263"/>
      <c r="CN130" s="263"/>
      <c r="CO130" s="263"/>
      <c r="CP130" s="263"/>
      <c r="CQ130" s="263"/>
      <c r="CR130" s="263"/>
      <c r="CS130" s="263"/>
      <c r="CT130" s="263"/>
      <c r="CU130" s="263"/>
      <c r="CV130" s="263"/>
      <c r="CW130" s="263"/>
      <c r="CX130" s="263"/>
      <c r="CY130" s="263"/>
      <c r="CZ130" s="263"/>
      <c r="DA130" s="263"/>
      <c r="DB130" s="263"/>
      <c r="DC130" s="263"/>
      <c r="DD130" s="263"/>
      <c r="DE130" s="263"/>
      <c r="DF130" s="263"/>
      <c r="DG130" s="263"/>
      <c r="DH130" s="263"/>
      <c r="DI130" s="263"/>
      <c r="DJ130" s="263"/>
      <c r="DK130" s="263"/>
      <c r="DL130" s="263"/>
      <c r="DM130" s="263"/>
      <c r="DN130" s="263"/>
      <c r="DO130" s="263"/>
      <c r="DP130" s="263"/>
      <c r="DQ130" s="263"/>
      <c r="DR130" s="263"/>
      <c r="DS130" s="263"/>
      <c r="DT130" s="263"/>
      <c r="DU130" s="263"/>
      <c r="DV130" s="263"/>
      <c r="DW130" s="263"/>
      <c r="DX130" s="263"/>
      <c r="DY130" s="263"/>
      <c r="DZ130" s="263"/>
      <c r="EA130" s="263"/>
      <c r="EB130" s="263"/>
      <c r="EC130" s="263"/>
      <c r="ED130" s="263"/>
      <c r="EE130" s="263"/>
      <c r="EF130" s="263"/>
      <c r="EG130" s="263"/>
      <c r="EH130" s="263"/>
      <c r="EI130" s="263"/>
      <c r="EJ130" s="263"/>
      <c r="EK130" s="263"/>
      <c r="EL130" s="263"/>
      <c r="EM130" s="263"/>
      <c r="EN130" s="263"/>
      <c r="EO130" s="263"/>
      <c r="EP130" s="263"/>
      <c r="EQ130" s="263"/>
      <c r="ER130" s="263"/>
      <c r="ES130" s="263"/>
      <c r="ET130" s="263"/>
      <c r="EU130" s="263"/>
      <c r="EV130" s="263"/>
      <c r="EW130" s="263"/>
      <c r="EX130" s="263"/>
      <c r="EY130" s="263"/>
      <c r="EZ130" s="263"/>
      <c r="FA130" s="263"/>
      <c r="FB130" s="263"/>
      <c r="FC130" s="263"/>
      <c r="FD130" s="263"/>
      <c r="FE130" s="263"/>
      <c r="FF130" s="263"/>
      <c r="FG130" s="263"/>
      <c r="FH130" s="263"/>
      <c r="FI130" s="263"/>
      <c r="FJ130" s="263"/>
      <c r="FK130" s="263"/>
      <c r="FL130" s="263"/>
      <c r="FM130" s="263"/>
      <c r="FN130" s="263"/>
      <c r="FO130" s="263"/>
      <c r="FP130" s="263"/>
      <c r="FQ130" s="263"/>
      <c r="FR130" s="263"/>
      <c r="FS130" s="263"/>
      <c r="FT130" s="263"/>
      <c r="FU130" s="263"/>
      <c r="FV130" s="263"/>
      <c r="FW130" s="263"/>
      <c r="FX130" s="263"/>
      <c r="FY130" s="263"/>
      <c r="FZ130" s="263"/>
      <c r="GA130" s="263"/>
      <c r="GB130" s="263"/>
      <c r="GC130" s="263"/>
      <c r="GD130" s="263"/>
      <c r="GE130" s="263"/>
      <c r="GF130" s="263"/>
      <c r="GG130" s="263"/>
      <c r="GH130" s="263"/>
      <c r="GI130" s="263"/>
      <c r="GJ130" s="263"/>
      <c r="GK130" s="263"/>
      <c r="GL130" s="263"/>
      <c r="GM130" s="263"/>
      <c r="GN130" s="263"/>
      <c r="GO130" s="263"/>
      <c r="GP130" s="263"/>
      <c r="GQ130" s="263"/>
      <c r="GR130" s="263"/>
      <c r="GS130" s="263"/>
      <c r="GT130" s="263"/>
      <c r="GU130" s="263"/>
      <c r="GV130" s="263"/>
      <c r="GW130" s="263"/>
      <c r="GX130" s="263"/>
      <c r="GY130" s="263"/>
      <c r="GZ130" s="263"/>
      <c r="HA130" s="263"/>
      <c r="HB130" s="263"/>
      <c r="HC130" s="263"/>
      <c r="HD130" s="263"/>
      <c r="HE130" s="263"/>
      <c r="HF130" s="263"/>
      <c r="HG130" s="263"/>
      <c r="HH130" s="263"/>
      <c r="HI130" s="263"/>
      <c r="HJ130" s="263"/>
      <c r="HK130" s="263"/>
      <c r="HL130" s="263"/>
      <c r="HM130" s="263"/>
      <c r="HN130" s="263"/>
      <c r="HO130" s="263"/>
      <c r="HP130" s="263"/>
      <c r="HQ130" s="263"/>
      <c r="HR130" s="263"/>
      <c r="HS130" s="263"/>
      <c r="HT130" s="263"/>
      <c r="HU130" s="263"/>
      <c r="HV130" s="263"/>
      <c r="HW130" s="263"/>
      <c r="HX130" s="263"/>
      <c r="HY130" s="263"/>
      <c r="HZ130" s="263"/>
      <c r="IA130" s="263"/>
      <c r="IB130" s="263"/>
      <c r="IC130" s="263"/>
      <c r="ID130" s="263"/>
      <c r="IE130" s="263"/>
      <c r="IF130" s="263"/>
      <c r="IG130" s="263"/>
      <c r="IH130" s="263"/>
      <c r="II130" s="263"/>
      <c r="IJ130" s="263"/>
      <c r="IK130" s="263"/>
      <c r="IL130" s="263"/>
      <c r="IM130" s="263"/>
      <c r="IN130" s="263"/>
      <c r="IO130" s="263"/>
      <c r="IP130" s="263"/>
      <c r="IQ130" s="263"/>
      <c r="IR130" s="263"/>
      <c r="IS130" s="263"/>
      <c r="IT130" s="263"/>
      <c r="IU130" s="263"/>
    </row>
    <row r="131" spans="1:255" ht="15.6">
      <c r="A131" s="263"/>
      <c r="B131" s="263"/>
      <c r="C131" s="263"/>
      <c r="D131" s="263"/>
      <c r="E131" s="263"/>
      <c r="F131" s="263"/>
      <c r="G131" s="263"/>
      <c r="H131" s="263"/>
      <c r="I131" s="263"/>
      <c r="J131" s="263"/>
      <c r="K131" s="263"/>
      <c r="L131" s="263"/>
      <c r="M131" s="263"/>
      <c r="N131" s="263"/>
      <c r="O131" s="263"/>
      <c r="P131" s="263"/>
      <c r="Q131" s="263"/>
      <c r="R131" s="263"/>
      <c r="S131" s="263"/>
      <c r="T131" s="263"/>
      <c r="U131" s="263"/>
      <c r="V131" s="263"/>
      <c r="W131" s="263"/>
      <c r="X131" s="263"/>
      <c r="Y131" s="263"/>
      <c r="Z131" s="263"/>
      <c r="AA131" s="263"/>
      <c r="AB131" s="263"/>
      <c r="AC131" s="263"/>
      <c r="AD131" s="263"/>
      <c r="AE131" s="263"/>
      <c r="AF131" s="263"/>
      <c r="AG131" s="263"/>
      <c r="AH131" s="263"/>
      <c r="AI131" s="263"/>
      <c r="AJ131" s="263"/>
      <c r="AK131" s="263"/>
      <c r="AL131" s="263"/>
      <c r="AM131" s="263"/>
      <c r="AN131" s="263"/>
      <c r="AO131" s="263"/>
      <c r="AP131" s="263"/>
      <c r="AQ131" s="263"/>
      <c r="AR131" s="263"/>
      <c r="AS131" s="263"/>
      <c r="AT131" s="263"/>
      <c r="AU131" s="263"/>
      <c r="AV131" s="263"/>
      <c r="AW131" s="263"/>
      <c r="AX131" s="263"/>
      <c r="AY131" s="263"/>
      <c r="AZ131" s="263"/>
      <c r="BA131" s="263"/>
      <c r="BB131" s="263"/>
      <c r="BC131" s="263"/>
      <c r="BD131" s="263"/>
      <c r="BE131" s="263"/>
      <c r="BF131" s="263"/>
      <c r="BG131" s="263"/>
      <c r="BH131" s="263"/>
      <c r="BI131" s="263"/>
      <c r="BJ131" s="263"/>
      <c r="BK131" s="263"/>
      <c r="BL131" s="263"/>
      <c r="BM131" s="263"/>
      <c r="BN131" s="263"/>
      <c r="BO131" s="263"/>
      <c r="BP131" s="263"/>
      <c r="BQ131" s="263"/>
      <c r="BR131" s="263"/>
      <c r="BS131" s="263"/>
      <c r="BT131" s="263"/>
      <c r="BU131" s="263"/>
      <c r="BV131" s="263"/>
      <c r="BW131" s="263"/>
      <c r="BX131" s="263"/>
      <c r="BY131" s="263"/>
      <c r="BZ131" s="263"/>
      <c r="CA131" s="263"/>
      <c r="CB131" s="263"/>
      <c r="CC131" s="263"/>
      <c r="CD131" s="263"/>
      <c r="CE131" s="263"/>
      <c r="CF131" s="263"/>
      <c r="CG131" s="263"/>
      <c r="CH131" s="263"/>
      <c r="CI131" s="263"/>
      <c r="CJ131" s="263"/>
      <c r="CK131" s="263"/>
      <c r="CL131" s="263"/>
      <c r="CM131" s="263"/>
      <c r="CN131" s="263"/>
      <c r="CO131" s="263"/>
      <c r="CP131" s="263"/>
      <c r="CQ131" s="263"/>
      <c r="CR131" s="263"/>
      <c r="CS131" s="263"/>
      <c r="CT131" s="263"/>
      <c r="CU131" s="263"/>
      <c r="CV131" s="263"/>
      <c r="CW131" s="263"/>
      <c r="CX131" s="263"/>
      <c r="CY131" s="263"/>
      <c r="CZ131" s="263"/>
      <c r="DA131" s="263"/>
      <c r="DB131" s="263"/>
      <c r="DC131" s="263"/>
      <c r="DD131" s="263"/>
      <c r="DE131" s="263"/>
      <c r="DF131" s="263"/>
      <c r="DG131" s="263"/>
      <c r="DH131" s="263"/>
      <c r="DI131" s="263"/>
      <c r="DJ131" s="263"/>
      <c r="DK131" s="263"/>
      <c r="DL131" s="263"/>
      <c r="DM131" s="263"/>
      <c r="DN131" s="263"/>
      <c r="DO131" s="263"/>
      <c r="DP131" s="263"/>
      <c r="DQ131" s="263"/>
      <c r="DR131" s="263"/>
      <c r="DS131" s="263"/>
      <c r="DT131" s="263"/>
      <c r="DU131" s="263"/>
      <c r="DV131" s="263"/>
      <c r="DW131" s="263"/>
      <c r="DX131" s="263"/>
      <c r="DY131" s="263"/>
      <c r="DZ131" s="263"/>
      <c r="EA131" s="263"/>
      <c r="EB131" s="263"/>
      <c r="EC131" s="263"/>
      <c r="ED131" s="263"/>
      <c r="EE131" s="263"/>
      <c r="EF131" s="263"/>
      <c r="EG131" s="263"/>
      <c r="EH131" s="263"/>
      <c r="EI131" s="263"/>
      <c r="EJ131" s="263"/>
      <c r="EK131" s="263"/>
      <c r="EL131" s="263"/>
      <c r="EM131" s="263"/>
      <c r="EN131" s="263"/>
      <c r="EO131" s="263"/>
      <c r="EP131" s="263"/>
      <c r="EQ131" s="263"/>
      <c r="ER131" s="263"/>
      <c r="ES131" s="263"/>
      <c r="ET131" s="263"/>
      <c r="EU131" s="263"/>
      <c r="EV131" s="263"/>
      <c r="EW131" s="263"/>
      <c r="EX131" s="263"/>
      <c r="EY131" s="263"/>
      <c r="EZ131" s="263"/>
      <c r="FA131" s="263"/>
      <c r="FB131" s="263"/>
      <c r="FC131" s="263"/>
      <c r="FD131" s="263"/>
      <c r="FE131" s="263"/>
      <c r="FF131" s="263"/>
      <c r="FG131" s="263"/>
      <c r="FH131" s="263"/>
      <c r="FI131" s="263"/>
      <c r="FJ131" s="263"/>
      <c r="FK131" s="263"/>
      <c r="FL131" s="263"/>
      <c r="FM131" s="263"/>
      <c r="FN131" s="263"/>
      <c r="FO131" s="263"/>
      <c r="FP131" s="263"/>
      <c r="FQ131" s="263"/>
      <c r="FR131" s="263"/>
      <c r="FS131" s="263"/>
      <c r="FT131" s="263"/>
      <c r="FU131" s="263"/>
      <c r="FV131" s="263"/>
      <c r="FW131" s="263"/>
      <c r="FX131" s="263"/>
      <c r="FY131" s="263"/>
      <c r="FZ131" s="263"/>
      <c r="GA131" s="263"/>
      <c r="GB131" s="263"/>
      <c r="GC131" s="263"/>
      <c r="GD131" s="263"/>
      <c r="GE131" s="263"/>
      <c r="GF131" s="263"/>
      <c r="GG131" s="263"/>
      <c r="GH131" s="263"/>
      <c r="GI131" s="263"/>
      <c r="GJ131" s="263"/>
      <c r="GK131" s="263"/>
      <c r="GL131" s="263"/>
      <c r="GM131" s="263"/>
      <c r="GN131" s="263"/>
      <c r="GO131" s="263"/>
      <c r="GP131" s="263"/>
      <c r="GQ131" s="263"/>
      <c r="GR131" s="263"/>
      <c r="GS131" s="263"/>
      <c r="GT131" s="263"/>
      <c r="GU131" s="263"/>
      <c r="GV131" s="263"/>
      <c r="GW131" s="263"/>
      <c r="GX131" s="263"/>
      <c r="GY131" s="263"/>
      <c r="GZ131" s="263"/>
      <c r="HA131" s="263"/>
      <c r="HB131" s="263"/>
      <c r="HC131" s="263"/>
      <c r="HD131" s="263"/>
      <c r="HE131" s="263"/>
      <c r="HF131" s="263"/>
      <c r="HG131" s="263"/>
      <c r="HH131" s="263"/>
      <c r="HI131" s="263"/>
      <c r="HJ131" s="263"/>
      <c r="HK131" s="263"/>
      <c r="HL131" s="263"/>
      <c r="HM131" s="263"/>
      <c r="HN131" s="263"/>
      <c r="HO131" s="263"/>
      <c r="HP131" s="263"/>
      <c r="HQ131" s="263"/>
      <c r="HR131" s="263"/>
      <c r="HS131" s="263"/>
      <c r="HT131" s="263"/>
      <c r="HU131" s="263"/>
      <c r="HV131" s="263"/>
      <c r="HW131" s="263"/>
      <c r="HX131" s="263"/>
      <c r="HY131" s="263"/>
      <c r="HZ131" s="263"/>
      <c r="IA131" s="263"/>
      <c r="IB131" s="263"/>
      <c r="IC131" s="263"/>
      <c r="ID131" s="263"/>
      <c r="IE131" s="263"/>
      <c r="IF131" s="263"/>
      <c r="IG131" s="263"/>
      <c r="IH131" s="263"/>
      <c r="II131" s="263"/>
      <c r="IJ131" s="263"/>
      <c r="IK131" s="263"/>
      <c r="IL131" s="263"/>
      <c r="IM131" s="263"/>
      <c r="IN131" s="263"/>
      <c r="IO131" s="263"/>
      <c r="IP131" s="263"/>
      <c r="IQ131" s="263"/>
      <c r="IR131" s="263"/>
      <c r="IS131" s="263"/>
      <c r="IT131" s="263"/>
      <c r="IU131" s="263"/>
    </row>
    <row r="132" spans="1:255" ht="15.6">
      <c r="A132" s="263"/>
      <c r="B132" s="263"/>
      <c r="C132" s="263"/>
      <c r="D132" s="263"/>
      <c r="E132" s="263"/>
      <c r="F132" s="263"/>
      <c r="G132" s="263"/>
      <c r="H132" s="263"/>
      <c r="I132" s="263"/>
      <c r="J132" s="263"/>
      <c r="K132" s="263"/>
      <c r="L132" s="263"/>
      <c r="M132" s="263"/>
      <c r="N132" s="263"/>
      <c r="O132" s="263"/>
      <c r="P132" s="263"/>
      <c r="Q132" s="263"/>
      <c r="R132" s="263"/>
      <c r="S132" s="263"/>
      <c r="T132" s="263"/>
      <c r="U132" s="263"/>
      <c r="V132" s="263"/>
      <c r="W132" s="263"/>
      <c r="X132" s="263"/>
      <c r="Y132" s="263"/>
      <c r="Z132" s="263"/>
      <c r="AA132" s="263"/>
      <c r="AB132" s="263"/>
      <c r="AC132" s="263"/>
      <c r="AD132" s="263"/>
      <c r="AE132" s="263"/>
      <c r="AF132" s="263"/>
      <c r="AG132" s="263"/>
      <c r="AH132" s="263"/>
      <c r="AI132" s="263"/>
      <c r="AJ132" s="263"/>
      <c r="AK132" s="263"/>
      <c r="AL132" s="263"/>
      <c r="AM132" s="263"/>
      <c r="AN132" s="263"/>
      <c r="AO132" s="263"/>
      <c r="AP132" s="263"/>
      <c r="AQ132" s="263"/>
      <c r="AR132" s="263"/>
      <c r="AS132" s="263"/>
      <c r="AT132" s="263"/>
      <c r="AU132" s="263"/>
      <c r="AV132" s="263"/>
      <c r="AW132" s="263"/>
      <c r="AX132" s="263"/>
      <c r="AY132" s="263"/>
      <c r="AZ132" s="263"/>
      <c r="BA132" s="263"/>
      <c r="BB132" s="263"/>
      <c r="BC132" s="263"/>
      <c r="BD132" s="263"/>
      <c r="BE132" s="263"/>
      <c r="BF132" s="263"/>
      <c r="BG132" s="263"/>
      <c r="BH132" s="263"/>
      <c r="BI132" s="263"/>
      <c r="BJ132" s="263"/>
      <c r="BK132" s="263"/>
      <c r="BL132" s="263"/>
      <c r="BM132" s="263"/>
      <c r="BN132" s="263"/>
      <c r="BO132" s="263"/>
      <c r="BP132" s="263"/>
      <c r="BQ132" s="263"/>
      <c r="BR132" s="263"/>
      <c r="BS132" s="263"/>
      <c r="BT132" s="263"/>
      <c r="BU132" s="263"/>
      <c r="BV132" s="263"/>
      <c r="BW132" s="263"/>
      <c r="BX132" s="263"/>
      <c r="BY132" s="263"/>
      <c r="BZ132" s="263"/>
      <c r="CA132" s="263"/>
      <c r="CB132" s="263"/>
      <c r="CC132" s="263"/>
      <c r="CD132" s="263"/>
      <c r="CE132" s="263"/>
      <c r="CF132" s="263"/>
      <c r="CG132" s="263"/>
      <c r="CH132" s="263"/>
      <c r="CI132" s="263"/>
      <c r="CJ132" s="263"/>
      <c r="CK132" s="263"/>
      <c r="CL132" s="263"/>
      <c r="CM132" s="263"/>
      <c r="CN132" s="263"/>
      <c r="CO132" s="263"/>
      <c r="CP132" s="263"/>
      <c r="CQ132" s="263"/>
      <c r="CR132" s="263"/>
      <c r="CS132" s="263"/>
      <c r="CT132" s="263"/>
      <c r="CU132" s="263"/>
      <c r="CV132" s="263"/>
      <c r="CW132" s="263"/>
      <c r="CX132" s="263"/>
      <c r="CY132" s="263"/>
      <c r="CZ132" s="263"/>
      <c r="DA132" s="263"/>
      <c r="DB132" s="263"/>
      <c r="DC132" s="263"/>
      <c r="DD132" s="263"/>
      <c r="DE132" s="263"/>
      <c r="DF132" s="263"/>
      <c r="DG132" s="263"/>
      <c r="DH132" s="263"/>
      <c r="DI132" s="263"/>
      <c r="DJ132" s="263"/>
      <c r="DK132" s="263"/>
      <c r="DL132" s="263"/>
      <c r="DM132" s="263"/>
      <c r="DN132" s="263"/>
      <c r="DO132" s="263"/>
      <c r="DP132" s="263"/>
      <c r="DQ132" s="263"/>
      <c r="DR132" s="263"/>
      <c r="DS132" s="263"/>
      <c r="DT132" s="263"/>
      <c r="DU132" s="263"/>
      <c r="DV132" s="263"/>
      <c r="DW132" s="263"/>
      <c r="DX132" s="263"/>
      <c r="DY132" s="263"/>
      <c r="DZ132" s="263"/>
      <c r="EA132" s="263"/>
      <c r="EB132" s="263"/>
      <c r="EC132" s="263"/>
      <c r="ED132" s="263"/>
      <c r="EE132" s="263"/>
      <c r="EF132" s="263"/>
      <c r="EG132" s="263"/>
      <c r="EH132" s="263"/>
      <c r="EI132" s="263"/>
      <c r="EJ132" s="263"/>
      <c r="EK132" s="263"/>
      <c r="EL132" s="263"/>
      <c r="EM132" s="263"/>
      <c r="EN132" s="263"/>
      <c r="EO132" s="263"/>
      <c r="EP132" s="263"/>
      <c r="EQ132" s="263"/>
      <c r="ER132" s="263"/>
      <c r="ES132" s="263"/>
      <c r="ET132" s="263"/>
      <c r="EU132" s="263"/>
      <c r="EV132" s="263"/>
      <c r="EW132" s="263"/>
      <c r="EX132" s="263"/>
      <c r="EY132" s="263"/>
      <c r="EZ132" s="263"/>
      <c r="FA132" s="263"/>
      <c r="FB132" s="263"/>
      <c r="FC132" s="263"/>
      <c r="FD132" s="263"/>
      <c r="FE132" s="263"/>
      <c r="FF132" s="263"/>
      <c r="FG132" s="263"/>
      <c r="FH132" s="263"/>
      <c r="FI132" s="263"/>
      <c r="FJ132" s="263"/>
      <c r="FK132" s="263"/>
      <c r="FL132" s="263"/>
      <c r="FM132" s="263"/>
      <c r="FN132" s="263"/>
      <c r="FO132" s="263"/>
      <c r="FP132" s="263"/>
      <c r="FQ132" s="263"/>
      <c r="FR132" s="263"/>
      <c r="FS132" s="263"/>
      <c r="FT132" s="263"/>
      <c r="FU132" s="263"/>
      <c r="FV132" s="263"/>
      <c r="FW132" s="263"/>
      <c r="FX132" s="263"/>
      <c r="FY132" s="263"/>
      <c r="FZ132" s="263"/>
      <c r="GA132" s="263"/>
      <c r="GB132" s="263"/>
      <c r="GC132" s="263"/>
      <c r="GD132" s="263"/>
      <c r="GE132" s="263"/>
      <c r="GF132" s="263"/>
      <c r="GG132" s="263"/>
      <c r="GH132" s="263"/>
      <c r="GI132" s="263"/>
      <c r="GJ132" s="263"/>
      <c r="GK132" s="263"/>
      <c r="GL132" s="263"/>
      <c r="GM132" s="263"/>
      <c r="GN132" s="263"/>
      <c r="GO132" s="263"/>
      <c r="GP132" s="263"/>
      <c r="GQ132" s="263"/>
      <c r="GR132" s="263"/>
      <c r="GS132" s="263"/>
      <c r="GT132" s="263"/>
      <c r="GU132" s="263"/>
      <c r="GV132" s="263"/>
      <c r="GW132" s="263"/>
      <c r="GX132" s="263"/>
      <c r="GY132" s="263"/>
      <c r="GZ132" s="263"/>
      <c r="HA132" s="263"/>
      <c r="HB132" s="263"/>
      <c r="HC132" s="263"/>
      <c r="HD132" s="263"/>
      <c r="HE132" s="263"/>
      <c r="HF132" s="263"/>
      <c r="HG132" s="263"/>
      <c r="HH132" s="263"/>
      <c r="HI132" s="263"/>
      <c r="HJ132" s="263"/>
      <c r="HK132" s="263"/>
      <c r="HL132" s="263"/>
      <c r="HM132" s="263"/>
      <c r="HN132" s="263"/>
      <c r="HO132" s="263"/>
      <c r="HP132" s="263"/>
      <c r="HQ132" s="263"/>
      <c r="HR132" s="263"/>
      <c r="HS132" s="263"/>
      <c r="HT132" s="263"/>
      <c r="HU132" s="263"/>
      <c r="HV132" s="263"/>
      <c r="HW132" s="263"/>
      <c r="HX132" s="263"/>
      <c r="HY132" s="263"/>
      <c r="HZ132" s="263"/>
      <c r="IA132" s="263"/>
      <c r="IB132" s="263"/>
      <c r="IC132" s="263"/>
      <c r="ID132" s="263"/>
      <c r="IE132" s="263"/>
      <c r="IF132" s="263"/>
      <c r="IG132" s="263"/>
      <c r="IH132" s="263"/>
      <c r="II132" s="263"/>
      <c r="IJ132" s="263"/>
      <c r="IK132" s="263"/>
      <c r="IL132" s="263"/>
      <c r="IM132" s="263"/>
      <c r="IN132" s="263"/>
      <c r="IO132" s="263"/>
      <c r="IP132" s="263"/>
      <c r="IQ132" s="263"/>
      <c r="IR132" s="263"/>
      <c r="IS132" s="263"/>
      <c r="IT132" s="263"/>
      <c r="IU132" s="263"/>
    </row>
    <row r="133" spans="1:255" ht="15.6">
      <c r="A133" s="263"/>
      <c r="B133" s="263"/>
      <c r="C133" s="263"/>
      <c r="D133" s="263"/>
      <c r="E133" s="263"/>
      <c r="F133" s="263"/>
      <c r="G133" s="263"/>
      <c r="H133" s="263"/>
      <c r="I133" s="263"/>
      <c r="J133" s="263"/>
      <c r="K133" s="263"/>
      <c r="L133" s="263"/>
      <c r="M133" s="263"/>
      <c r="N133" s="263"/>
      <c r="O133" s="263"/>
      <c r="P133" s="263"/>
      <c r="Q133" s="263"/>
      <c r="R133" s="263"/>
      <c r="S133" s="263"/>
      <c r="T133" s="263"/>
      <c r="U133" s="263"/>
      <c r="V133" s="263"/>
      <c r="W133" s="263"/>
      <c r="X133" s="263"/>
      <c r="Y133" s="263"/>
      <c r="Z133" s="263"/>
      <c r="AA133" s="263"/>
      <c r="AB133" s="263"/>
      <c r="AC133" s="263"/>
      <c r="AD133" s="263"/>
      <c r="AE133" s="263"/>
      <c r="AF133" s="263"/>
      <c r="AG133" s="263"/>
      <c r="AH133" s="263"/>
      <c r="AI133" s="263"/>
      <c r="AJ133" s="263"/>
      <c r="AK133" s="263"/>
      <c r="AL133" s="263"/>
      <c r="AM133" s="263"/>
      <c r="AN133" s="263"/>
      <c r="AO133" s="263"/>
      <c r="AP133" s="263"/>
      <c r="AQ133" s="263"/>
      <c r="AR133" s="263"/>
      <c r="AS133" s="263"/>
      <c r="AT133" s="263"/>
      <c r="AU133" s="263"/>
      <c r="AV133" s="263"/>
      <c r="AW133" s="263"/>
      <c r="AX133" s="263"/>
      <c r="AY133" s="263"/>
      <c r="AZ133" s="263"/>
      <c r="BA133" s="263"/>
      <c r="BB133" s="263"/>
      <c r="BC133" s="263"/>
      <c r="BD133" s="263"/>
      <c r="BE133" s="263"/>
      <c r="BF133" s="263"/>
      <c r="BG133" s="263"/>
      <c r="BH133" s="263"/>
      <c r="BI133" s="263"/>
      <c r="BJ133" s="263"/>
      <c r="BK133" s="263"/>
      <c r="BL133" s="263"/>
      <c r="BM133" s="263"/>
      <c r="BN133" s="263"/>
      <c r="BO133" s="263"/>
      <c r="BP133" s="263"/>
      <c r="BQ133" s="263"/>
      <c r="BR133" s="263"/>
      <c r="BS133" s="263"/>
      <c r="BT133" s="263"/>
      <c r="BU133" s="263"/>
      <c r="BV133" s="263"/>
      <c r="BW133" s="263"/>
      <c r="BX133" s="263"/>
      <c r="BY133" s="263"/>
      <c r="BZ133" s="263"/>
      <c r="CA133" s="263"/>
      <c r="CB133" s="263"/>
      <c r="CC133" s="263"/>
      <c r="CD133" s="263"/>
      <c r="CE133" s="263"/>
      <c r="CF133" s="263"/>
      <c r="CG133" s="263"/>
      <c r="CH133" s="263"/>
      <c r="CI133" s="263"/>
      <c r="CJ133" s="263"/>
      <c r="CK133" s="263"/>
      <c r="CL133" s="263"/>
      <c r="CM133" s="263"/>
      <c r="CN133" s="263"/>
      <c r="CO133" s="263"/>
      <c r="CP133" s="263"/>
      <c r="CQ133" s="263"/>
      <c r="CR133" s="263"/>
      <c r="CS133" s="263"/>
      <c r="CT133" s="263"/>
      <c r="CU133" s="263"/>
      <c r="CV133" s="263"/>
      <c r="CW133" s="263"/>
      <c r="CX133" s="263"/>
      <c r="CY133" s="263"/>
      <c r="CZ133" s="263"/>
      <c r="DA133" s="263"/>
      <c r="DB133" s="263"/>
      <c r="DC133" s="263"/>
      <c r="DD133" s="263"/>
      <c r="DE133" s="263"/>
      <c r="DF133" s="263"/>
      <c r="DG133" s="263"/>
      <c r="DH133" s="263"/>
      <c r="DI133" s="263"/>
      <c r="DJ133" s="263"/>
      <c r="DK133" s="263"/>
      <c r="DL133" s="263"/>
      <c r="DM133" s="263"/>
      <c r="DN133" s="263"/>
      <c r="DO133" s="263"/>
      <c r="DP133" s="263"/>
      <c r="DQ133" s="263"/>
      <c r="DR133" s="263"/>
      <c r="DS133" s="263"/>
      <c r="DT133" s="263"/>
      <c r="DU133" s="263"/>
      <c r="DV133" s="263"/>
      <c r="DW133" s="263"/>
      <c r="DX133" s="263"/>
      <c r="DY133" s="263"/>
      <c r="DZ133" s="263"/>
      <c r="EA133" s="263"/>
      <c r="EB133" s="263"/>
      <c r="EC133" s="263"/>
      <c r="ED133" s="263"/>
      <c r="EE133" s="263"/>
      <c r="EF133" s="263"/>
      <c r="EG133" s="263"/>
      <c r="EH133" s="263"/>
      <c r="EI133" s="263"/>
      <c r="EJ133" s="263"/>
      <c r="EK133" s="263"/>
      <c r="EL133" s="263"/>
      <c r="EM133" s="263"/>
      <c r="EN133" s="263"/>
      <c r="EO133" s="263"/>
      <c r="EP133" s="263"/>
      <c r="EQ133" s="263"/>
      <c r="ER133" s="263"/>
      <c r="ES133" s="263"/>
      <c r="ET133" s="263"/>
      <c r="EU133" s="263"/>
      <c r="EV133" s="263"/>
      <c r="EW133" s="263"/>
      <c r="EX133" s="263"/>
      <c r="EY133" s="263"/>
      <c r="EZ133" s="263"/>
      <c r="FA133" s="263"/>
      <c r="FB133" s="263"/>
      <c r="FC133" s="263"/>
      <c r="FD133" s="263"/>
      <c r="FE133" s="263"/>
      <c r="FF133" s="263"/>
      <c r="FG133" s="263"/>
      <c r="FH133" s="263"/>
      <c r="FI133" s="263"/>
      <c r="FJ133" s="263"/>
      <c r="FK133" s="263"/>
      <c r="FL133" s="263"/>
      <c r="FM133" s="263"/>
      <c r="FN133" s="263"/>
      <c r="FO133" s="263"/>
      <c r="FP133" s="263"/>
      <c r="FQ133" s="263"/>
      <c r="FR133" s="263"/>
      <c r="FS133" s="263"/>
      <c r="FT133" s="263"/>
      <c r="FU133" s="263"/>
      <c r="FV133" s="263"/>
      <c r="FW133" s="263"/>
      <c r="FX133" s="263"/>
      <c r="FY133" s="263"/>
      <c r="FZ133" s="263"/>
      <c r="GA133" s="263"/>
      <c r="GB133" s="263"/>
      <c r="GC133" s="263"/>
      <c r="GD133" s="263"/>
      <c r="GE133" s="263"/>
      <c r="GF133" s="263"/>
      <c r="GG133" s="263"/>
      <c r="GH133" s="263"/>
      <c r="GI133" s="263"/>
      <c r="GJ133" s="263"/>
      <c r="GK133" s="263"/>
      <c r="GL133" s="263"/>
      <c r="GM133" s="263"/>
      <c r="GN133" s="263"/>
      <c r="GO133" s="263"/>
      <c r="GP133" s="263"/>
      <c r="GQ133" s="263"/>
      <c r="GR133" s="263"/>
      <c r="GS133" s="263"/>
      <c r="GT133" s="263"/>
      <c r="GU133" s="263"/>
      <c r="GV133" s="263"/>
      <c r="GW133" s="263"/>
      <c r="GX133" s="263"/>
      <c r="GY133" s="263"/>
      <c r="GZ133" s="263"/>
      <c r="HA133" s="263"/>
      <c r="HB133" s="263"/>
      <c r="HC133" s="263"/>
      <c r="HD133" s="263"/>
      <c r="HE133" s="263"/>
      <c r="HF133" s="263"/>
      <c r="HG133" s="263"/>
      <c r="HH133" s="263"/>
      <c r="HI133" s="263"/>
      <c r="HJ133" s="263"/>
      <c r="HK133" s="263"/>
      <c r="HL133" s="263"/>
      <c r="HM133" s="263"/>
      <c r="HN133" s="263"/>
      <c r="HO133" s="263"/>
      <c r="HP133" s="263"/>
      <c r="HQ133" s="263"/>
      <c r="HR133" s="263"/>
      <c r="HS133" s="263"/>
      <c r="HT133" s="263"/>
      <c r="HU133" s="263"/>
      <c r="HV133" s="263"/>
      <c r="HW133" s="263"/>
      <c r="HX133" s="263"/>
      <c r="HY133" s="263"/>
      <c r="HZ133" s="263"/>
      <c r="IA133" s="263"/>
      <c r="IB133" s="263"/>
      <c r="IC133" s="263"/>
      <c r="ID133" s="263"/>
      <c r="IE133" s="263"/>
      <c r="IF133" s="263"/>
      <c r="IG133" s="263"/>
      <c r="IH133" s="263"/>
      <c r="II133" s="263"/>
      <c r="IJ133" s="263"/>
      <c r="IK133" s="263"/>
      <c r="IL133" s="263"/>
      <c r="IM133" s="263"/>
      <c r="IN133" s="263"/>
      <c r="IO133" s="263"/>
      <c r="IP133" s="263"/>
      <c r="IQ133" s="263"/>
      <c r="IR133" s="263"/>
      <c r="IS133" s="263"/>
      <c r="IT133" s="263"/>
      <c r="IU133" s="263"/>
    </row>
    <row r="134" spans="1:255" ht="15.6">
      <c r="A134" s="263"/>
      <c r="B134" s="263"/>
      <c r="C134" s="263"/>
      <c r="D134" s="263"/>
      <c r="E134" s="263"/>
      <c r="F134" s="263"/>
      <c r="G134" s="263"/>
      <c r="H134" s="263"/>
      <c r="I134" s="263"/>
      <c r="J134" s="263"/>
      <c r="K134" s="263"/>
      <c r="L134" s="263"/>
      <c r="M134" s="263"/>
      <c r="N134" s="263"/>
      <c r="O134" s="263"/>
      <c r="P134" s="263"/>
      <c r="Q134" s="263"/>
      <c r="R134" s="263"/>
      <c r="S134" s="263"/>
      <c r="T134" s="263"/>
      <c r="U134" s="263"/>
      <c r="V134" s="263"/>
      <c r="W134" s="263"/>
      <c r="X134" s="263"/>
      <c r="Y134" s="263"/>
      <c r="Z134" s="263"/>
      <c r="AA134" s="263"/>
      <c r="AB134" s="263"/>
      <c r="AC134" s="263"/>
      <c r="AD134" s="263"/>
      <c r="AE134" s="263"/>
      <c r="AF134" s="263"/>
      <c r="AG134" s="263"/>
      <c r="AH134" s="263"/>
      <c r="AI134" s="263"/>
      <c r="AJ134" s="263"/>
      <c r="AK134" s="263"/>
      <c r="AL134" s="263"/>
      <c r="AM134" s="263"/>
      <c r="AN134" s="263"/>
      <c r="AO134" s="263"/>
      <c r="AP134" s="263"/>
      <c r="AQ134" s="263"/>
      <c r="AR134" s="263"/>
      <c r="AS134" s="263"/>
      <c r="AT134" s="263"/>
      <c r="AU134" s="263"/>
      <c r="AV134" s="263"/>
      <c r="AW134" s="263"/>
      <c r="AX134" s="263"/>
      <c r="AY134" s="263"/>
      <c r="AZ134" s="263"/>
      <c r="BA134" s="263"/>
      <c r="BB134" s="263"/>
      <c r="BC134" s="263"/>
      <c r="BD134" s="263"/>
      <c r="BE134" s="263"/>
      <c r="BF134" s="263"/>
      <c r="BG134" s="263"/>
      <c r="BH134" s="263"/>
      <c r="BI134" s="263"/>
      <c r="BJ134" s="263"/>
      <c r="BK134" s="263"/>
      <c r="BL134" s="263"/>
      <c r="BM134" s="263"/>
      <c r="BN134" s="263"/>
      <c r="BO134" s="263"/>
      <c r="BP134" s="263"/>
      <c r="BQ134" s="263"/>
      <c r="BR134" s="263"/>
      <c r="BS134" s="263"/>
      <c r="BT134" s="263"/>
      <c r="BU134" s="263"/>
      <c r="BV134" s="263"/>
      <c r="BW134" s="263"/>
      <c r="BX134" s="263"/>
      <c r="BY134" s="263"/>
      <c r="BZ134" s="263"/>
      <c r="CA134" s="263"/>
      <c r="CB134" s="263"/>
      <c r="CC134" s="263"/>
      <c r="CD134" s="263"/>
      <c r="CE134" s="263"/>
      <c r="CF134" s="263"/>
      <c r="CG134" s="263"/>
      <c r="CH134" s="263"/>
      <c r="CI134" s="263"/>
      <c r="CJ134" s="263"/>
      <c r="CK134" s="263"/>
      <c r="CL134" s="263"/>
      <c r="CM134" s="263"/>
      <c r="CN134" s="263"/>
      <c r="CO134" s="263"/>
      <c r="CP134" s="263"/>
      <c r="CQ134" s="263"/>
      <c r="CR134" s="263"/>
      <c r="CS134" s="263"/>
      <c r="CT134" s="263"/>
      <c r="CU134" s="263"/>
      <c r="CV134" s="263"/>
      <c r="CW134" s="263"/>
      <c r="CX134" s="263"/>
      <c r="CY134" s="263"/>
      <c r="CZ134" s="263"/>
      <c r="DA134" s="263"/>
      <c r="DB134" s="263"/>
      <c r="DC134" s="263"/>
      <c r="DD134" s="263"/>
      <c r="DE134" s="263"/>
      <c r="DF134" s="263"/>
      <c r="DG134" s="263"/>
      <c r="DH134" s="263"/>
      <c r="DI134" s="263"/>
      <c r="DJ134" s="263"/>
      <c r="DK134" s="263"/>
      <c r="DL134" s="263"/>
      <c r="DM134" s="263"/>
      <c r="DN134" s="263"/>
      <c r="DO134" s="263"/>
      <c r="DP134" s="263"/>
      <c r="DQ134" s="263"/>
      <c r="DR134" s="263"/>
      <c r="DS134" s="263"/>
      <c r="DT134" s="263"/>
      <c r="DU134" s="263"/>
      <c r="DV134" s="263"/>
      <c r="DW134" s="263"/>
      <c r="DX134" s="263"/>
      <c r="DY134" s="263"/>
      <c r="DZ134" s="263"/>
      <c r="EA134" s="263"/>
      <c r="EB134" s="263"/>
      <c r="EC134" s="263"/>
      <c r="ED134" s="263"/>
      <c r="EE134" s="263"/>
      <c r="EF134" s="263"/>
      <c r="EG134" s="263"/>
      <c r="EH134" s="263"/>
      <c r="EI134" s="263"/>
      <c r="EJ134" s="263"/>
      <c r="EK134" s="263"/>
      <c r="EL134" s="263"/>
      <c r="EM134" s="263"/>
      <c r="EN134" s="263"/>
      <c r="EO134" s="263"/>
      <c r="EP134" s="263"/>
      <c r="EQ134" s="263"/>
      <c r="ER134" s="263"/>
      <c r="ES134" s="263"/>
      <c r="ET134" s="263"/>
      <c r="EU134" s="263"/>
      <c r="EV134" s="263"/>
      <c r="EW134" s="263"/>
      <c r="EX134" s="263"/>
      <c r="EY134" s="263"/>
      <c r="EZ134" s="263"/>
      <c r="FA134" s="263"/>
      <c r="FB134" s="263"/>
      <c r="FC134" s="263"/>
      <c r="FD134" s="263"/>
      <c r="FE134" s="263"/>
      <c r="FF134" s="263"/>
      <c r="FG134" s="263"/>
      <c r="FH134" s="263"/>
      <c r="FI134" s="263"/>
      <c r="FJ134" s="263"/>
      <c r="FK134" s="263"/>
      <c r="FL134" s="263"/>
      <c r="FM134" s="263"/>
      <c r="FN134" s="263"/>
      <c r="FO134" s="263"/>
      <c r="FP134" s="263"/>
      <c r="FQ134" s="263"/>
      <c r="FR134" s="263"/>
      <c r="FS134" s="263"/>
      <c r="FT134" s="263"/>
      <c r="FU134" s="263"/>
      <c r="FV134" s="263"/>
      <c r="FW134" s="263"/>
      <c r="FX134" s="263"/>
      <c r="FY134" s="263"/>
      <c r="FZ134" s="263"/>
      <c r="GA134" s="263"/>
      <c r="GB134" s="263"/>
      <c r="GC134" s="263"/>
      <c r="GD134" s="263"/>
      <c r="GE134" s="263"/>
      <c r="GF134" s="263"/>
      <c r="GG134" s="263"/>
      <c r="GH134" s="263"/>
      <c r="GI134" s="263"/>
      <c r="GJ134" s="263"/>
      <c r="GK134" s="263"/>
      <c r="GL134" s="263"/>
      <c r="GM134" s="263"/>
      <c r="GN134" s="263"/>
      <c r="GO134" s="263"/>
      <c r="GP134" s="263"/>
      <c r="GQ134" s="263"/>
      <c r="GR134" s="263"/>
      <c r="GS134" s="263"/>
      <c r="GT134" s="263"/>
      <c r="GU134" s="263"/>
      <c r="GV134" s="263"/>
      <c r="GW134" s="263"/>
      <c r="GX134" s="263"/>
      <c r="GY134" s="263"/>
      <c r="GZ134" s="263"/>
      <c r="HA134" s="263"/>
      <c r="HB134" s="263"/>
      <c r="HC134" s="263"/>
      <c r="HD134" s="263"/>
      <c r="HE134" s="263"/>
      <c r="HF134" s="263"/>
      <c r="HG134" s="263"/>
      <c r="HH134" s="263"/>
      <c r="HI134" s="263"/>
      <c r="HJ134" s="263"/>
      <c r="HK134" s="263"/>
      <c r="HL134" s="263"/>
      <c r="HM134" s="263"/>
      <c r="HN134" s="263"/>
      <c r="HO134" s="263"/>
      <c r="HP134" s="263"/>
      <c r="HQ134" s="263"/>
      <c r="HR134" s="263"/>
      <c r="HS134" s="263"/>
      <c r="HT134" s="263"/>
      <c r="HU134" s="263"/>
      <c r="HV134" s="263"/>
      <c r="HW134" s="263"/>
      <c r="HX134" s="263"/>
      <c r="HY134" s="263"/>
      <c r="HZ134" s="263"/>
      <c r="IA134" s="263"/>
      <c r="IB134" s="263"/>
      <c r="IC134" s="263"/>
      <c r="ID134" s="263"/>
      <c r="IE134" s="263"/>
      <c r="IF134" s="263"/>
      <c r="IG134" s="263"/>
      <c r="IH134" s="263"/>
      <c r="II134" s="263"/>
      <c r="IJ134" s="263"/>
      <c r="IK134" s="263"/>
      <c r="IL134" s="263"/>
      <c r="IM134" s="263"/>
      <c r="IN134" s="263"/>
      <c r="IO134" s="263"/>
      <c r="IP134" s="263"/>
      <c r="IQ134" s="263"/>
      <c r="IR134" s="263"/>
      <c r="IS134" s="263"/>
      <c r="IT134" s="263"/>
      <c r="IU134" s="263"/>
    </row>
    <row r="135" spans="1:255" ht="15.6">
      <c r="A135" s="263"/>
      <c r="B135" s="263"/>
      <c r="C135" s="263"/>
      <c r="D135" s="263"/>
      <c r="E135" s="263"/>
      <c r="F135" s="263"/>
      <c r="G135" s="263"/>
      <c r="H135" s="263"/>
      <c r="I135" s="263"/>
      <c r="J135" s="263"/>
      <c r="K135" s="263"/>
      <c r="L135" s="263"/>
      <c r="M135" s="263"/>
      <c r="N135" s="263"/>
      <c r="O135" s="263"/>
      <c r="P135" s="263"/>
      <c r="Q135" s="263"/>
      <c r="R135" s="263"/>
      <c r="S135" s="263"/>
      <c r="T135" s="263"/>
      <c r="U135" s="263"/>
      <c r="V135" s="263"/>
      <c r="W135" s="263"/>
      <c r="X135" s="263"/>
      <c r="Y135" s="263"/>
      <c r="Z135" s="263"/>
      <c r="AA135" s="263"/>
      <c r="AB135" s="263"/>
      <c r="AC135" s="263"/>
      <c r="AD135" s="263"/>
      <c r="AE135" s="263"/>
      <c r="AF135" s="263"/>
      <c r="AG135" s="263"/>
      <c r="AH135" s="263"/>
      <c r="AI135" s="263"/>
      <c r="AJ135" s="263"/>
      <c r="AK135" s="263"/>
      <c r="AL135" s="263"/>
      <c r="AM135" s="263"/>
      <c r="AN135" s="263"/>
      <c r="AO135" s="263"/>
      <c r="AP135" s="263"/>
      <c r="AQ135" s="263"/>
      <c r="AR135" s="263"/>
      <c r="AS135" s="263"/>
      <c r="AT135" s="263"/>
      <c r="AU135" s="263"/>
      <c r="AV135" s="263"/>
      <c r="AW135" s="263"/>
      <c r="AX135" s="263"/>
      <c r="AY135" s="263"/>
      <c r="AZ135" s="263"/>
      <c r="BA135" s="263"/>
      <c r="BB135" s="263"/>
      <c r="BC135" s="263"/>
      <c r="BD135" s="263"/>
      <c r="BE135" s="263"/>
      <c r="BF135" s="263"/>
      <c r="BG135" s="263"/>
      <c r="BH135" s="263"/>
      <c r="BI135" s="263"/>
      <c r="BJ135" s="263"/>
      <c r="BK135" s="263"/>
      <c r="BL135" s="263"/>
      <c r="BM135" s="263"/>
      <c r="BN135" s="263"/>
      <c r="BO135" s="263"/>
      <c r="BP135" s="263"/>
      <c r="BQ135" s="263"/>
      <c r="BR135" s="263"/>
      <c r="BS135" s="263"/>
      <c r="BT135" s="263"/>
      <c r="BU135" s="263"/>
      <c r="BV135" s="263"/>
      <c r="BW135" s="263"/>
      <c r="BX135" s="263"/>
      <c r="BY135" s="263"/>
      <c r="BZ135" s="263"/>
      <c r="CA135" s="263"/>
      <c r="CB135" s="263"/>
      <c r="CC135" s="263"/>
      <c r="CD135" s="263"/>
      <c r="CE135" s="263"/>
      <c r="CF135" s="263"/>
      <c r="CG135" s="263"/>
      <c r="CH135" s="263"/>
      <c r="CI135" s="263"/>
      <c r="CJ135" s="263"/>
      <c r="CK135" s="263"/>
      <c r="CL135" s="263"/>
      <c r="CM135" s="263"/>
      <c r="CN135" s="263"/>
      <c r="CO135" s="263"/>
      <c r="CP135" s="263"/>
      <c r="CQ135" s="263"/>
      <c r="CR135" s="263"/>
      <c r="CS135" s="263"/>
      <c r="CT135" s="263"/>
      <c r="CU135" s="263"/>
      <c r="CV135" s="263"/>
      <c r="CW135" s="263"/>
      <c r="CX135" s="263"/>
      <c r="CY135" s="263"/>
      <c r="CZ135" s="263"/>
      <c r="DA135" s="263"/>
      <c r="DB135" s="263"/>
      <c r="DC135" s="263"/>
      <c r="DD135" s="263"/>
      <c r="DE135" s="263"/>
      <c r="DF135" s="263"/>
      <c r="DG135" s="263"/>
      <c r="DH135" s="263"/>
      <c r="DI135" s="263"/>
      <c r="DJ135" s="263"/>
      <c r="DK135" s="263"/>
      <c r="DL135" s="263"/>
      <c r="DM135" s="263"/>
      <c r="DN135" s="263"/>
      <c r="DO135" s="263"/>
      <c r="DP135" s="263"/>
      <c r="DQ135" s="263"/>
      <c r="DR135" s="263"/>
      <c r="DS135" s="263"/>
      <c r="DT135" s="263"/>
      <c r="DU135" s="263"/>
      <c r="DV135" s="263"/>
      <c r="DW135" s="263"/>
      <c r="DX135" s="263"/>
      <c r="DY135" s="263"/>
      <c r="DZ135" s="263"/>
      <c r="EA135" s="263"/>
      <c r="EB135" s="263"/>
      <c r="EC135" s="263"/>
      <c r="ED135" s="263"/>
      <c r="EE135" s="263"/>
      <c r="EF135" s="263"/>
      <c r="EG135" s="263"/>
      <c r="EH135" s="263"/>
      <c r="EI135" s="263"/>
      <c r="EJ135" s="263"/>
      <c r="EK135" s="263"/>
      <c r="EL135" s="263"/>
      <c r="EM135" s="263"/>
      <c r="EN135" s="263"/>
      <c r="EO135" s="263"/>
      <c r="EP135" s="263"/>
      <c r="EQ135" s="263"/>
      <c r="ER135" s="263"/>
      <c r="ES135" s="263"/>
      <c r="ET135" s="263"/>
      <c r="EU135" s="263"/>
      <c r="EV135" s="263"/>
      <c r="EW135" s="263"/>
      <c r="EX135" s="263"/>
      <c r="EY135" s="263"/>
      <c r="EZ135" s="263"/>
      <c r="FA135" s="263"/>
      <c r="FB135" s="263"/>
      <c r="FC135" s="263"/>
      <c r="FD135" s="263"/>
      <c r="FE135" s="263"/>
      <c r="FF135" s="263"/>
      <c r="FG135" s="263"/>
      <c r="FH135" s="263"/>
      <c r="FI135" s="263"/>
      <c r="FJ135" s="263"/>
      <c r="FK135" s="263"/>
      <c r="FL135" s="263"/>
      <c r="FM135" s="263"/>
      <c r="FN135" s="263"/>
      <c r="FO135" s="263"/>
      <c r="FP135" s="263"/>
      <c r="FQ135" s="263"/>
      <c r="FR135" s="263"/>
      <c r="FS135" s="263"/>
      <c r="FT135" s="263"/>
      <c r="FU135" s="263"/>
      <c r="FV135" s="263"/>
      <c r="FW135" s="263"/>
      <c r="FX135" s="263"/>
      <c r="FY135" s="263"/>
      <c r="FZ135" s="263"/>
      <c r="GA135" s="263"/>
      <c r="GB135" s="263"/>
      <c r="GC135" s="263"/>
      <c r="GD135" s="263"/>
      <c r="GE135" s="263"/>
      <c r="GF135" s="263"/>
      <c r="GG135" s="263"/>
      <c r="GH135" s="263"/>
      <c r="GI135" s="263"/>
      <c r="GJ135" s="263"/>
      <c r="GK135" s="263"/>
      <c r="GL135" s="263"/>
      <c r="GM135" s="263"/>
      <c r="GN135" s="263"/>
      <c r="GO135" s="263"/>
      <c r="GP135" s="263"/>
      <c r="GQ135" s="263"/>
      <c r="GR135" s="263"/>
      <c r="GS135" s="263"/>
      <c r="GT135" s="263"/>
      <c r="GU135" s="263"/>
      <c r="GV135" s="263"/>
      <c r="GW135" s="263"/>
      <c r="GX135" s="263"/>
      <c r="GY135" s="263"/>
      <c r="GZ135" s="263"/>
      <c r="HA135" s="263"/>
      <c r="HB135" s="263"/>
      <c r="HC135" s="263"/>
      <c r="HD135" s="263"/>
      <c r="HE135" s="263"/>
      <c r="HF135" s="263"/>
      <c r="HG135" s="263"/>
      <c r="HH135" s="263"/>
      <c r="HI135" s="263"/>
      <c r="HJ135" s="263"/>
      <c r="HK135" s="263"/>
      <c r="HL135" s="263"/>
      <c r="HM135" s="263"/>
      <c r="HN135" s="263"/>
      <c r="HO135" s="263"/>
      <c r="HP135" s="263"/>
      <c r="HQ135" s="263"/>
      <c r="HR135" s="263"/>
      <c r="HS135" s="263"/>
      <c r="HT135" s="263"/>
      <c r="HU135" s="263"/>
      <c r="HV135" s="263"/>
      <c r="HW135" s="263"/>
      <c r="HX135" s="263"/>
      <c r="HY135" s="263"/>
      <c r="HZ135" s="263"/>
      <c r="IA135" s="263"/>
      <c r="IB135" s="263"/>
      <c r="IC135" s="263"/>
      <c r="ID135" s="263"/>
      <c r="IE135" s="263"/>
      <c r="IF135" s="263"/>
      <c r="IG135" s="263"/>
      <c r="IH135" s="263"/>
      <c r="II135" s="263"/>
      <c r="IJ135" s="263"/>
      <c r="IK135" s="263"/>
      <c r="IL135" s="263"/>
      <c r="IM135" s="263"/>
      <c r="IN135" s="263"/>
      <c r="IO135" s="263"/>
      <c r="IP135" s="263"/>
      <c r="IQ135" s="263"/>
      <c r="IR135" s="263"/>
      <c r="IS135" s="263"/>
      <c r="IT135" s="263"/>
      <c r="IU135" s="263"/>
    </row>
    <row r="136" spans="1:255" ht="15.6">
      <c r="A136" s="263"/>
      <c r="B136" s="263"/>
      <c r="C136" s="263"/>
      <c r="D136" s="263"/>
      <c r="E136" s="263"/>
      <c r="F136" s="263"/>
      <c r="G136" s="263"/>
      <c r="H136" s="263"/>
      <c r="I136" s="263"/>
      <c r="J136" s="263"/>
      <c r="K136" s="263"/>
      <c r="L136" s="263"/>
      <c r="M136" s="263"/>
      <c r="N136" s="263"/>
      <c r="O136" s="263"/>
      <c r="P136" s="263"/>
      <c r="Q136" s="263"/>
      <c r="R136" s="263"/>
      <c r="S136" s="263"/>
      <c r="T136" s="263"/>
      <c r="U136" s="263"/>
      <c r="V136" s="263"/>
      <c r="W136" s="263"/>
      <c r="X136" s="263"/>
      <c r="Y136" s="263"/>
      <c r="Z136" s="263"/>
      <c r="AA136" s="263"/>
      <c r="AB136" s="263"/>
      <c r="AC136" s="263"/>
      <c r="AD136" s="263"/>
      <c r="AE136" s="263"/>
      <c r="AF136" s="263"/>
      <c r="AG136" s="263"/>
      <c r="AH136" s="263"/>
      <c r="AI136" s="263"/>
      <c r="AJ136" s="263"/>
      <c r="AK136" s="263"/>
      <c r="AL136" s="263"/>
      <c r="AM136" s="263"/>
      <c r="AN136" s="263"/>
      <c r="AO136" s="263"/>
      <c r="AP136" s="263"/>
      <c r="AQ136" s="263"/>
      <c r="AR136" s="263"/>
      <c r="AS136" s="263"/>
      <c r="AT136" s="263"/>
      <c r="AU136" s="263"/>
      <c r="AV136" s="263"/>
      <c r="AW136" s="263"/>
      <c r="AX136" s="263"/>
      <c r="AY136" s="263"/>
      <c r="AZ136" s="263"/>
      <c r="BA136" s="263"/>
      <c r="BB136" s="263"/>
      <c r="BC136" s="263"/>
      <c r="BD136" s="263"/>
      <c r="BE136" s="263"/>
      <c r="BF136" s="263"/>
      <c r="BG136" s="263"/>
      <c r="BH136" s="263"/>
      <c r="BI136" s="263"/>
      <c r="BJ136" s="263"/>
      <c r="BK136" s="263"/>
      <c r="BL136" s="263"/>
      <c r="BM136" s="263"/>
      <c r="BN136" s="263"/>
      <c r="BO136" s="263"/>
      <c r="BP136" s="263"/>
      <c r="BQ136" s="263"/>
      <c r="BR136" s="263"/>
      <c r="BS136" s="263"/>
      <c r="BT136" s="263"/>
      <c r="BU136" s="263"/>
      <c r="BV136" s="263"/>
      <c r="BW136" s="263"/>
      <c r="BX136" s="263"/>
      <c r="BY136" s="263"/>
      <c r="BZ136" s="263"/>
      <c r="CA136" s="263"/>
      <c r="CB136" s="263"/>
      <c r="CC136" s="263"/>
      <c r="CD136" s="263"/>
      <c r="CE136" s="263"/>
      <c r="CF136" s="263"/>
      <c r="CG136" s="263"/>
      <c r="CH136" s="263"/>
      <c r="CI136" s="263"/>
      <c r="CJ136" s="263"/>
      <c r="CK136" s="263"/>
      <c r="CL136" s="263"/>
      <c r="CM136" s="263"/>
      <c r="CN136" s="263"/>
      <c r="CO136" s="263"/>
      <c r="CP136" s="263"/>
      <c r="CQ136" s="263"/>
      <c r="CR136" s="263"/>
      <c r="CS136" s="263"/>
      <c r="CT136" s="263"/>
      <c r="CU136" s="263"/>
      <c r="CV136" s="263"/>
      <c r="CW136" s="263"/>
      <c r="CX136" s="263"/>
      <c r="CY136" s="263"/>
      <c r="CZ136" s="263"/>
      <c r="DA136" s="263"/>
      <c r="DB136" s="263"/>
      <c r="DC136" s="263"/>
      <c r="DD136" s="263"/>
      <c r="DE136" s="263"/>
      <c r="DF136" s="263"/>
      <c r="DG136" s="263"/>
      <c r="DH136" s="263"/>
      <c r="DI136" s="263"/>
      <c r="DJ136" s="263"/>
      <c r="DK136" s="263"/>
      <c r="DL136" s="263"/>
      <c r="DM136" s="263"/>
      <c r="DN136" s="263"/>
      <c r="DO136" s="263"/>
      <c r="DP136" s="263"/>
      <c r="DQ136" s="263"/>
      <c r="DR136" s="263"/>
      <c r="DS136" s="263"/>
      <c r="DT136" s="263"/>
      <c r="DU136" s="263"/>
      <c r="DV136" s="263"/>
      <c r="DW136" s="263"/>
      <c r="DX136" s="263"/>
      <c r="DY136" s="263"/>
      <c r="DZ136" s="263"/>
      <c r="EA136" s="263"/>
      <c r="EB136" s="263"/>
      <c r="EC136" s="263"/>
      <c r="ED136" s="263"/>
      <c r="EE136" s="263"/>
      <c r="EF136" s="263"/>
      <c r="EG136" s="263"/>
      <c r="EH136" s="263"/>
      <c r="EI136" s="263"/>
      <c r="EJ136" s="263"/>
      <c r="EK136" s="263"/>
      <c r="EL136" s="263"/>
      <c r="EM136" s="263"/>
      <c r="EN136" s="263"/>
      <c r="EO136" s="263"/>
      <c r="EP136" s="263"/>
      <c r="EQ136" s="263"/>
      <c r="ER136" s="263"/>
      <c r="ES136" s="263"/>
      <c r="ET136" s="263"/>
      <c r="EU136" s="263"/>
      <c r="EV136" s="263"/>
      <c r="EW136" s="263"/>
      <c r="EX136" s="263"/>
      <c r="EY136" s="263"/>
      <c r="EZ136" s="263"/>
      <c r="FA136" s="263"/>
      <c r="FB136" s="263"/>
      <c r="FC136" s="263"/>
      <c r="FD136" s="263"/>
      <c r="FE136" s="263"/>
      <c r="FF136" s="263"/>
      <c r="FG136" s="263"/>
      <c r="FH136" s="263"/>
      <c r="FI136" s="263"/>
      <c r="FJ136" s="263"/>
      <c r="FK136" s="263"/>
      <c r="FL136" s="263"/>
      <c r="FM136" s="263"/>
      <c r="FN136" s="263"/>
      <c r="FO136" s="263"/>
      <c r="FP136" s="263"/>
      <c r="FQ136" s="263"/>
      <c r="FR136" s="263"/>
      <c r="FS136" s="263"/>
      <c r="FT136" s="263"/>
      <c r="FU136" s="263"/>
      <c r="FV136" s="263"/>
      <c r="FW136" s="263"/>
      <c r="FX136" s="263"/>
      <c r="FY136" s="263"/>
      <c r="FZ136" s="263"/>
      <c r="GA136" s="263"/>
      <c r="GB136" s="263"/>
      <c r="GC136" s="263"/>
      <c r="GD136" s="263"/>
      <c r="GE136" s="263"/>
      <c r="GF136" s="263"/>
      <c r="GG136" s="263"/>
      <c r="GH136" s="263"/>
      <c r="GI136" s="263"/>
      <c r="GJ136" s="263"/>
      <c r="GK136" s="263"/>
      <c r="GL136" s="263"/>
      <c r="GM136" s="263"/>
      <c r="GN136" s="263"/>
      <c r="GO136" s="263"/>
      <c r="GP136" s="263"/>
      <c r="GQ136" s="263"/>
      <c r="GR136" s="263"/>
      <c r="GS136" s="263"/>
      <c r="GT136" s="263"/>
      <c r="GU136" s="263"/>
      <c r="GV136" s="263"/>
      <c r="GW136" s="263"/>
      <c r="GX136" s="263"/>
      <c r="GY136" s="263"/>
      <c r="GZ136" s="263"/>
      <c r="HA136" s="263"/>
      <c r="HB136" s="263"/>
      <c r="HC136" s="263"/>
      <c r="HD136" s="263"/>
      <c r="HE136" s="263"/>
      <c r="HF136" s="263"/>
      <c r="HG136" s="263"/>
      <c r="HH136" s="263"/>
      <c r="HI136" s="263"/>
      <c r="HJ136" s="263"/>
      <c r="HK136" s="263"/>
      <c r="HL136" s="263"/>
      <c r="HM136" s="263"/>
      <c r="HN136" s="263"/>
      <c r="HO136" s="263"/>
      <c r="HP136" s="263"/>
      <c r="HQ136" s="263"/>
      <c r="HR136" s="263"/>
      <c r="HS136" s="263"/>
      <c r="HT136" s="263"/>
      <c r="HU136" s="263"/>
      <c r="HV136" s="263"/>
      <c r="HW136" s="263"/>
      <c r="HX136" s="263"/>
      <c r="HY136" s="263"/>
      <c r="HZ136" s="263"/>
      <c r="IA136" s="263"/>
      <c r="IB136" s="263"/>
      <c r="IC136" s="263"/>
      <c r="ID136" s="263"/>
      <c r="IE136" s="263"/>
      <c r="IF136" s="263"/>
      <c r="IG136" s="263"/>
      <c r="IH136" s="263"/>
      <c r="II136" s="263"/>
      <c r="IJ136" s="263"/>
      <c r="IK136" s="263"/>
      <c r="IL136" s="263"/>
      <c r="IM136" s="263"/>
      <c r="IN136" s="263"/>
      <c r="IO136" s="263"/>
      <c r="IP136" s="263"/>
      <c r="IQ136" s="263"/>
      <c r="IR136" s="263"/>
      <c r="IS136" s="263"/>
      <c r="IT136" s="263"/>
      <c r="IU136" s="263"/>
    </row>
    <row r="137" spans="1:255" ht="15.6">
      <c r="A137" s="263"/>
      <c r="B137" s="263"/>
      <c r="C137" s="263"/>
      <c r="D137" s="263"/>
      <c r="E137" s="263"/>
      <c r="F137" s="263"/>
      <c r="G137" s="263"/>
      <c r="H137" s="263"/>
      <c r="I137" s="263"/>
      <c r="J137" s="263"/>
      <c r="K137" s="263"/>
      <c r="L137" s="263"/>
      <c r="M137" s="263"/>
      <c r="N137" s="263"/>
      <c r="O137" s="263"/>
      <c r="P137" s="263"/>
      <c r="Q137" s="263"/>
      <c r="R137" s="263"/>
      <c r="S137" s="263"/>
      <c r="T137" s="263"/>
      <c r="U137" s="263"/>
      <c r="V137" s="263"/>
      <c r="W137" s="263"/>
      <c r="X137" s="263"/>
      <c r="Y137" s="263"/>
      <c r="Z137" s="263"/>
      <c r="AA137" s="263"/>
      <c r="AB137" s="263"/>
      <c r="AC137" s="263"/>
      <c r="AD137" s="263"/>
      <c r="AE137" s="263"/>
      <c r="AF137" s="263"/>
      <c r="AG137" s="263"/>
      <c r="AH137" s="263"/>
      <c r="AI137" s="263"/>
      <c r="AJ137" s="263"/>
      <c r="AK137" s="263"/>
      <c r="AL137" s="263"/>
      <c r="AM137" s="263"/>
      <c r="AN137" s="263"/>
      <c r="AO137" s="263"/>
      <c r="AP137" s="263"/>
      <c r="AQ137" s="263"/>
      <c r="AR137" s="263"/>
      <c r="AS137" s="263"/>
      <c r="AT137" s="263"/>
      <c r="AU137" s="263"/>
      <c r="AV137" s="263"/>
      <c r="AW137" s="263"/>
      <c r="AX137" s="263"/>
      <c r="AY137" s="263"/>
      <c r="AZ137" s="263"/>
      <c r="BA137" s="263"/>
      <c r="BB137" s="263"/>
      <c r="BC137" s="263"/>
      <c r="BD137" s="263"/>
      <c r="BE137" s="263"/>
      <c r="BF137" s="263"/>
      <c r="BG137" s="263"/>
      <c r="BH137" s="263"/>
      <c r="BI137" s="263"/>
      <c r="BJ137" s="263"/>
      <c r="BK137" s="263"/>
      <c r="BL137" s="263"/>
      <c r="BM137" s="263"/>
      <c r="BN137" s="263"/>
      <c r="BO137" s="263"/>
      <c r="BP137" s="263"/>
      <c r="BQ137" s="263"/>
      <c r="BR137" s="263"/>
      <c r="BS137" s="263"/>
      <c r="BT137" s="263"/>
      <c r="BU137" s="263"/>
      <c r="BV137" s="263"/>
      <c r="BW137" s="263"/>
      <c r="BX137" s="263"/>
      <c r="BY137" s="263"/>
      <c r="BZ137" s="263"/>
      <c r="CA137" s="263"/>
      <c r="CB137" s="263"/>
      <c r="CC137" s="263"/>
      <c r="CD137" s="263"/>
      <c r="CE137" s="263"/>
      <c r="CF137" s="263"/>
      <c r="CG137" s="263"/>
      <c r="CH137" s="263"/>
      <c r="CI137" s="263"/>
      <c r="CJ137" s="263"/>
      <c r="CK137" s="263"/>
      <c r="CL137" s="263"/>
      <c r="CM137" s="263"/>
      <c r="CN137" s="263"/>
      <c r="CO137" s="263"/>
      <c r="CP137" s="263"/>
      <c r="CQ137" s="263"/>
      <c r="CR137" s="263"/>
      <c r="CS137" s="263"/>
      <c r="CT137" s="263"/>
      <c r="CU137" s="263"/>
      <c r="CV137" s="263"/>
      <c r="CW137" s="263"/>
      <c r="CX137" s="263"/>
      <c r="CY137" s="263"/>
      <c r="CZ137" s="263"/>
      <c r="DA137" s="263"/>
      <c r="DB137" s="263"/>
      <c r="DC137" s="263"/>
      <c r="DD137" s="263"/>
      <c r="DE137" s="263"/>
      <c r="DF137" s="263"/>
      <c r="DG137" s="263"/>
      <c r="DH137" s="263"/>
      <c r="DI137" s="263"/>
      <c r="DJ137" s="263"/>
      <c r="DK137" s="263"/>
      <c r="DL137" s="263"/>
      <c r="DM137" s="263"/>
      <c r="DN137" s="263"/>
      <c r="DO137" s="263"/>
      <c r="DP137" s="263"/>
      <c r="DQ137" s="263"/>
      <c r="DR137" s="263"/>
      <c r="DS137" s="263"/>
      <c r="DT137" s="263"/>
      <c r="DU137" s="263"/>
      <c r="DV137" s="263"/>
      <c r="DW137" s="263"/>
      <c r="DX137" s="263"/>
      <c r="DY137" s="263"/>
      <c r="DZ137" s="263"/>
      <c r="EA137" s="263"/>
      <c r="EB137" s="263"/>
      <c r="EC137" s="263"/>
      <c r="ED137" s="263"/>
      <c r="EE137" s="263"/>
      <c r="EF137" s="263"/>
      <c r="EG137" s="263"/>
      <c r="EH137" s="263"/>
      <c r="EI137" s="263"/>
      <c r="EJ137" s="263"/>
      <c r="EK137" s="263"/>
      <c r="EL137" s="263"/>
      <c r="EM137" s="263"/>
      <c r="EN137" s="263"/>
      <c r="EO137" s="263"/>
      <c r="EP137" s="263"/>
      <c r="EQ137" s="263"/>
      <c r="ER137" s="263"/>
      <c r="ES137" s="263"/>
      <c r="ET137" s="263"/>
      <c r="EU137" s="263"/>
      <c r="EV137" s="263"/>
      <c r="EW137" s="263"/>
      <c r="EX137" s="263"/>
      <c r="EY137" s="263"/>
      <c r="EZ137" s="263"/>
      <c r="FA137" s="263"/>
      <c r="FB137" s="263"/>
      <c r="FC137" s="263"/>
      <c r="FD137" s="263"/>
      <c r="FE137" s="263"/>
      <c r="FF137" s="263"/>
      <c r="FG137" s="263"/>
      <c r="FH137" s="263"/>
      <c r="FI137" s="263"/>
      <c r="FJ137" s="263"/>
      <c r="FK137" s="263"/>
      <c r="FL137" s="263"/>
      <c r="FM137" s="263"/>
      <c r="FN137" s="263"/>
      <c r="FO137" s="263"/>
      <c r="FP137" s="263"/>
      <c r="FQ137" s="263"/>
      <c r="FR137" s="263"/>
      <c r="FS137" s="263"/>
      <c r="FT137" s="263"/>
      <c r="FU137" s="263"/>
      <c r="FV137" s="263"/>
      <c r="FW137" s="263"/>
      <c r="FX137" s="263"/>
      <c r="FY137" s="263"/>
      <c r="FZ137" s="263"/>
      <c r="GA137" s="263"/>
      <c r="GB137" s="263"/>
      <c r="GC137" s="263"/>
      <c r="GD137" s="263"/>
      <c r="GE137" s="263"/>
      <c r="GF137" s="263"/>
      <c r="GG137" s="263"/>
      <c r="GH137" s="263"/>
      <c r="GI137" s="263"/>
      <c r="GJ137" s="263"/>
      <c r="GK137" s="263"/>
      <c r="GL137" s="263"/>
      <c r="GM137" s="263"/>
      <c r="GN137" s="263"/>
      <c r="GO137" s="263"/>
      <c r="GP137" s="263"/>
      <c r="GQ137" s="263"/>
      <c r="GR137" s="263"/>
      <c r="GS137" s="263"/>
      <c r="GT137" s="263"/>
      <c r="GU137" s="263"/>
      <c r="GV137" s="263"/>
      <c r="GW137" s="263"/>
      <c r="GX137" s="263"/>
      <c r="GY137" s="263"/>
      <c r="GZ137" s="263"/>
      <c r="HA137" s="263"/>
      <c r="HB137" s="263"/>
      <c r="HC137" s="263"/>
      <c r="HD137" s="263"/>
      <c r="HE137" s="263"/>
      <c r="HF137" s="263"/>
      <c r="HG137" s="263"/>
      <c r="HH137" s="263"/>
      <c r="HI137" s="263"/>
      <c r="HJ137" s="263"/>
      <c r="HK137" s="263"/>
      <c r="HL137" s="263"/>
      <c r="HM137" s="263"/>
      <c r="HN137" s="263"/>
      <c r="HO137" s="263"/>
      <c r="HP137" s="263"/>
      <c r="HQ137" s="263"/>
      <c r="HR137" s="263"/>
      <c r="HS137" s="263"/>
      <c r="HT137" s="263"/>
      <c r="HU137" s="263"/>
      <c r="HV137" s="263"/>
      <c r="HW137" s="263"/>
      <c r="HX137" s="263"/>
      <c r="HY137" s="263"/>
      <c r="HZ137" s="263"/>
      <c r="IA137" s="263"/>
      <c r="IB137" s="263"/>
      <c r="IC137" s="263"/>
      <c r="ID137" s="263"/>
      <c r="IE137" s="263"/>
      <c r="IF137" s="263"/>
      <c r="IG137" s="263"/>
      <c r="IH137" s="263"/>
      <c r="II137" s="263"/>
      <c r="IJ137" s="263"/>
      <c r="IK137" s="263"/>
      <c r="IL137" s="263"/>
      <c r="IM137" s="263"/>
      <c r="IN137" s="263"/>
      <c r="IO137" s="263"/>
      <c r="IP137" s="263"/>
      <c r="IQ137" s="263"/>
      <c r="IR137" s="263"/>
      <c r="IS137" s="263"/>
      <c r="IT137" s="263"/>
      <c r="IU137" s="263"/>
    </row>
    <row r="138" spans="1:255" ht="15.6">
      <c r="A138" s="263"/>
      <c r="B138" s="263"/>
      <c r="C138" s="263"/>
      <c r="D138" s="263"/>
      <c r="E138" s="263"/>
      <c r="F138" s="263"/>
      <c r="G138" s="263"/>
      <c r="H138" s="263"/>
      <c r="I138" s="263"/>
      <c r="J138" s="263"/>
      <c r="K138" s="263"/>
      <c r="L138" s="263"/>
      <c r="M138" s="263"/>
      <c r="N138" s="263"/>
      <c r="O138" s="263"/>
      <c r="P138" s="263"/>
      <c r="Q138" s="263"/>
      <c r="R138" s="263"/>
      <c r="S138" s="263"/>
      <c r="T138" s="263"/>
      <c r="U138" s="263"/>
      <c r="V138" s="263"/>
      <c r="W138" s="263"/>
      <c r="X138" s="263"/>
      <c r="Y138" s="263"/>
      <c r="Z138" s="263"/>
      <c r="AA138" s="263"/>
      <c r="AB138" s="263"/>
      <c r="AC138" s="263"/>
      <c r="AD138" s="263"/>
      <c r="AE138" s="263"/>
      <c r="AF138" s="263"/>
      <c r="AG138" s="263"/>
      <c r="AH138" s="263"/>
      <c r="AI138" s="263"/>
      <c r="AJ138" s="263"/>
      <c r="AK138" s="263"/>
      <c r="AL138" s="263"/>
      <c r="AM138" s="263"/>
      <c r="AN138" s="263"/>
      <c r="AO138" s="263"/>
      <c r="AP138" s="263"/>
      <c r="AQ138" s="263"/>
      <c r="AR138" s="263"/>
      <c r="AS138" s="263"/>
      <c r="AT138" s="263"/>
      <c r="AU138" s="263"/>
      <c r="AV138" s="263"/>
      <c r="AW138" s="263"/>
      <c r="AX138" s="263"/>
      <c r="AY138" s="263"/>
      <c r="AZ138" s="263"/>
      <c r="BA138" s="263"/>
      <c r="BB138" s="263"/>
      <c r="BC138" s="263"/>
      <c r="BD138" s="263"/>
      <c r="BE138" s="263"/>
      <c r="BF138" s="263"/>
      <c r="BG138" s="263"/>
      <c r="BH138" s="263"/>
      <c r="BI138" s="263"/>
      <c r="BJ138" s="263"/>
      <c r="BK138" s="263"/>
      <c r="BL138" s="263"/>
      <c r="BM138" s="263"/>
      <c r="BN138" s="263"/>
      <c r="BO138" s="263"/>
      <c r="BP138" s="263"/>
      <c r="BQ138" s="263"/>
      <c r="BR138" s="263"/>
      <c r="BS138" s="263"/>
      <c r="BT138" s="263"/>
      <c r="BU138" s="263"/>
      <c r="BV138" s="263"/>
      <c r="BW138" s="263"/>
      <c r="BX138" s="263"/>
      <c r="BY138" s="263"/>
      <c r="BZ138" s="263"/>
      <c r="CA138" s="263"/>
      <c r="CB138" s="263"/>
      <c r="CC138" s="263"/>
      <c r="CD138" s="263"/>
      <c r="CE138" s="263"/>
      <c r="CF138" s="263"/>
      <c r="CG138" s="263"/>
      <c r="CH138" s="263"/>
      <c r="CI138" s="263"/>
      <c r="CJ138" s="263"/>
      <c r="CK138" s="263"/>
      <c r="CL138" s="263"/>
      <c r="CM138" s="263"/>
      <c r="CN138" s="263"/>
      <c r="CO138" s="263"/>
      <c r="CP138" s="263"/>
      <c r="CQ138" s="263"/>
      <c r="CR138" s="263"/>
      <c r="CS138" s="263"/>
      <c r="CT138" s="263"/>
      <c r="CU138" s="263"/>
      <c r="CV138" s="263"/>
      <c r="CW138" s="263"/>
      <c r="CX138" s="263"/>
      <c r="CY138" s="263"/>
      <c r="CZ138" s="263"/>
      <c r="DA138" s="263"/>
      <c r="DB138" s="263"/>
      <c r="DC138" s="263"/>
      <c r="DD138" s="263"/>
      <c r="DE138" s="263"/>
      <c r="DF138" s="263"/>
      <c r="DG138" s="263"/>
      <c r="DH138" s="263"/>
      <c r="DI138" s="263"/>
      <c r="DJ138" s="263"/>
      <c r="DK138" s="263"/>
      <c r="DL138" s="263"/>
      <c r="DM138" s="263"/>
      <c r="DN138" s="263"/>
      <c r="DO138" s="263"/>
      <c r="DP138" s="263"/>
      <c r="DQ138" s="263"/>
      <c r="DR138" s="263"/>
      <c r="DS138" s="263"/>
      <c r="DT138" s="263"/>
      <c r="DU138" s="263"/>
      <c r="DV138" s="263"/>
      <c r="DW138" s="263"/>
      <c r="DX138" s="263"/>
      <c r="DY138" s="263"/>
      <c r="DZ138" s="263"/>
      <c r="EA138" s="263"/>
      <c r="EB138" s="263"/>
      <c r="EC138" s="263"/>
      <c r="ED138" s="263"/>
      <c r="EE138" s="263"/>
      <c r="EF138" s="263"/>
      <c r="EG138" s="263"/>
      <c r="EH138" s="263"/>
      <c r="EI138" s="263"/>
      <c r="EJ138" s="263"/>
      <c r="EK138" s="263"/>
      <c r="EL138" s="263"/>
      <c r="EM138" s="263"/>
      <c r="EN138" s="263"/>
      <c r="EO138" s="263"/>
      <c r="EP138" s="263"/>
      <c r="EQ138" s="263"/>
      <c r="ER138" s="263"/>
      <c r="ES138" s="263"/>
      <c r="ET138" s="263"/>
      <c r="EU138" s="263"/>
      <c r="EV138" s="263"/>
      <c r="EW138" s="263"/>
      <c r="EX138" s="263"/>
      <c r="EY138" s="263"/>
      <c r="EZ138" s="263"/>
      <c r="FA138" s="263"/>
      <c r="FB138" s="263"/>
      <c r="FC138" s="263"/>
      <c r="FD138" s="263"/>
      <c r="FE138" s="263"/>
      <c r="FF138" s="263"/>
      <c r="FG138" s="263"/>
      <c r="FH138" s="263"/>
      <c r="FI138" s="263"/>
      <c r="FJ138" s="263"/>
      <c r="FK138" s="263"/>
      <c r="FL138" s="263"/>
      <c r="FM138" s="263"/>
      <c r="FN138" s="263"/>
      <c r="FO138" s="263"/>
      <c r="FP138" s="263"/>
      <c r="FQ138" s="263"/>
      <c r="FR138" s="263"/>
      <c r="FS138" s="263"/>
      <c r="FT138" s="263"/>
      <c r="FU138" s="263"/>
      <c r="FV138" s="263"/>
      <c r="FW138" s="263"/>
      <c r="FX138" s="263"/>
      <c r="FY138" s="263"/>
      <c r="FZ138" s="263"/>
      <c r="GA138" s="263"/>
      <c r="GB138" s="263"/>
      <c r="GC138" s="263"/>
      <c r="GD138" s="263"/>
      <c r="GE138" s="263"/>
      <c r="GF138" s="263"/>
      <c r="GG138" s="263"/>
      <c r="GH138" s="263"/>
      <c r="GI138" s="263"/>
      <c r="GJ138" s="263"/>
      <c r="GK138" s="263"/>
      <c r="GL138" s="263"/>
      <c r="GM138" s="263"/>
      <c r="GN138" s="263"/>
      <c r="GO138" s="263"/>
      <c r="GP138" s="263"/>
      <c r="GQ138" s="263"/>
      <c r="GR138" s="263"/>
      <c r="GS138" s="263"/>
      <c r="GT138" s="263"/>
      <c r="GU138" s="263"/>
      <c r="GV138" s="263"/>
      <c r="GW138" s="263"/>
      <c r="GX138" s="263"/>
      <c r="GY138" s="263"/>
      <c r="GZ138" s="263"/>
      <c r="HA138" s="263"/>
      <c r="HB138" s="263"/>
      <c r="HC138" s="263"/>
      <c r="HD138" s="263"/>
      <c r="HE138" s="263"/>
      <c r="HF138" s="263"/>
      <c r="HG138" s="263"/>
      <c r="HH138" s="263"/>
      <c r="HI138" s="263"/>
      <c r="HJ138" s="263"/>
      <c r="HK138" s="263"/>
      <c r="HL138" s="263"/>
      <c r="HM138" s="263"/>
      <c r="HN138" s="263"/>
      <c r="HO138" s="263"/>
      <c r="HP138" s="263"/>
      <c r="HQ138" s="263"/>
      <c r="HR138" s="263"/>
      <c r="HS138" s="263"/>
      <c r="HT138" s="263"/>
      <c r="HU138" s="263"/>
      <c r="HV138" s="263"/>
      <c r="HW138" s="263"/>
      <c r="HX138" s="263"/>
      <c r="HY138" s="263"/>
      <c r="HZ138" s="263"/>
      <c r="IA138" s="263"/>
      <c r="IB138" s="263"/>
      <c r="IC138" s="263"/>
      <c r="ID138" s="263"/>
      <c r="IE138" s="263"/>
      <c r="IF138" s="263"/>
      <c r="IG138" s="263"/>
      <c r="IH138" s="263"/>
      <c r="II138" s="263"/>
      <c r="IJ138" s="263"/>
      <c r="IK138" s="263"/>
      <c r="IL138" s="263"/>
      <c r="IM138" s="263"/>
      <c r="IN138" s="263"/>
      <c r="IO138" s="263"/>
      <c r="IP138" s="263"/>
      <c r="IQ138" s="263"/>
      <c r="IR138" s="263"/>
      <c r="IS138" s="263"/>
      <c r="IT138" s="263"/>
      <c r="IU138" s="263"/>
    </row>
    <row r="139" spans="1:255" ht="15.6">
      <c r="A139" s="263"/>
      <c r="B139" s="263"/>
      <c r="C139" s="263"/>
      <c r="D139" s="263"/>
      <c r="E139" s="263"/>
      <c r="F139" s="263"/>
      <c r="G139" s="263"/>
      <c r="H139" s="263"/>
      <c r="I139" s="263"/>
      <c r="J139" s="263"/>
      <c r="K139" s="263"/>
      <c r="L139" s="263"/>
      <c r="M139" s="263"/>
      <c r="N139" s="263"/>
      <c r="O139" s="263"/>
      <c r="P139" s="263"/>
      <c r="Q139" s="263"/>
      <c r="R139" s="263"/>
      <c r="S139" s="263"/>
      <c r="T139" s="263"/>
      <c r="U139" s="263"/>
      <c r="V139" s="263"/>
      <c r="W139" s="263"/>
      <c r="X139" s="263"/>
      <c r="Y139" s="263"/>
      <c r="Z139" s="263"/>
      <c r="AA139" s="263"/>
      <c r="AB139" s="263"/>
      <c r="AC139" s="263"/>
      <c r="AD139" s="263"/>
      <c r="AE139" s="263"/>
      <c r="AF139" s="263"/>
      <c r="AG139" s="263"/>
      <c r="AH139" s="263"/>
      <c r="AI139" s="263"/>
      <c r="AJ139" s="263"/>
      <c r="AK139" s="263"/>
      <c r="AL139" s="263"/>
      <c r="AM139" s="263"/>
      <c r="AN139" s="263"/>
      <c r="AO139" s="263"/>
      <c r="AP139" s="263"/>
      <c r="AQ139" s="263"/>
      <c r="AR139" s="263"/>
      <c r="AS139" s="263"/>
      <c r="AT139" s="263"/>
      <c r="AU139" s="263"/>
      <c r="AV139" s="263"/>
      <c r="AW139" s="263"/>
      <c r="AX139" s="263"/>
      <c r="AY139" s="263"/>
      <c r="AZ139" s="263"/>
      <c r="BA139" s="263"/>
      <c r="BB139" s="263"/>
      <c r="BC139" s="263"/>
      <c r="BD139" s="263"/>
      <c r="BE139" s="263"/>
      <c r="BF139" s="263"/>
      <c r="BG139" s="263"/>
      <c r="BH139" s="263"/>
      <c r="BI139" s="263"/>
      <c r="BJ139" s="263"/>
      <c r="BK139" s="263"/>
      <c r="BL139" s="263"/>
      <c r="BM139" s="263"/>
      <c r="BN139" s="263"/>
      <c r="BO139" s="263"/>
      <c r="BP139" s="263"/>
      <c r="BQ139" s="263"/>
      <c r="BR139" s="263"/>
      <c r="BS139" s="263"/>
      <c r="BT139" s="263"/>
      <c r="BU139" s="263"/>
      <c r="BV139" s="263"/>
      <c r="BW139" s="263"/>
      <c r="BX139" s="263"/>
      <c r="BY139" s="263"/>
      <c r="BZ139" s="263"/>
      <c r="CA139" s="263"/>
      <c r="CB139" s="263"/>
      <c r="CC139" s="263"/>
      <c r="CD139" s="263"/>
      <c r="CE139" s="263"/>
      <c r="CF139" s="263"/>
      <c r="CG139" s="263"/>
      <c r="CH139" s="263"/>
      <c r="CI139" s="263"/>
      <c r="CJ139" s="263"/>
      <c r="CK139" s="263"/>
      <c r="CL139" s="263"/>
      <c r="CM139" s="263"/>
      <c r="CN139" s="263"/>
      <c r="CO139" s="263"/>
      <c r="CP139" s="263"/>
      <c r="CQ139" s="263"/>
      <c r="CR139" s="263"/>
      <c r="CS139" s="263"/>
      <c r="CT139" s="263"/>
      <c r="CU139" s="263"/>
      <c r="CV139" s="263"/>
      <c r="CW139" s="263"/>
      <c r="CX139" s="263"/>
      <c r="CY139" s="263"/>
      <c r="CZ139" s="263"/>
      <c r="DA139" s="263"/>
      <c r="DB139" s="263"/>
      <c r="DC139" s="263"/>
      <c r="DD139" s="263"/>
      <c r="DE139" s="263"/>
      <c r="DF139" s="263"/>
      <c r="DG139" s="263"/>
      <c r="DH139" s="263"/>
      <c r="DI139" s="263"/>
      <c r="DJ139" s="263"/>
      <c r="DK139" s="263"/>
      <c r="DL139" s="263"/>
      <c r="DM139" s="263"/>
      <c r="DN139" s="263"/>
      <c r="DO139" s="263"/>
      <c r="DP139" s="263"/>
      <c r="DQ139" s="263"/>
      <c r="DR139" s="263"/>
      <c r="DS139" s="263"/>
      <c r="DT139" s="263"/>
      <c r="DU139" s="263"/>
      <c r="DV139" s="263"/>
      <c r="DW139" s="263"/>
      <c r="DX139" s="263"/>
      <c r="DY139" s="263"/>
      <c r="DZ139" s="263"/>
      <c r="EA139" s="263"/>
      <c r="EB139" s="263"/>
      <c r="EC139" s="263"/>
      <c r="ED139" s="263"/>
      <c r="EE139" s="263"/>
      <c r="EF139" s="263"/>
      <c r="EG139" s="263"/>
      <c r="EH139" s="263"/>
      <c r="EI139" s="263"/>
      <c r="EJ139" s="263"/>
      <c r="EK139" s="263"/>
      <c r="EL139" s="263"/>
      <c r="EM139" s="263"/>
      <c r="EN139" s="263"/>
      <c r="EO139" s="263"/>
      <c r="EP139" s="263"/>
      <c r="EQ139" s="263"/>
      <c r="ER139" s="263"/>
      <c r="ES139" s="263"/>
      <c r="ET139" s="263"/>
      <c r="EU139" s="263"/>
      <c r="EV139" s="263"/>
      <c r="EW139" s="263"/>
      <c r="EX139" s="263"/>
      <c r="EY139" s="263"/>
      <c r="EZ139" s="263"/>
      <c r="FA139" s="263"/>
      <c r="FB139" s="263"/>
      <c r="FC139" s="263"/>
      <c r="FD139" s="263"/>
      <c r="FE139" s="263"/>
      <c r="FF139" s="263"/>
      <c r="FG139" s="263"/>
      <c r="FH139" s="263"/>
      <c r="FI139" s="263"/>
      <c r="FJ139" s="263"/>
      <c r="FK139" s="263"/>
      <c r="FL139" s="263"/>
      <c r="FM139" s="263"/>
      <c r="FN139" s="263"/>
      <c r="FO139" s="263"/>
      <c r="FP139" s="263"/>
      <c r="FQ139" s="263"/>
      <c r="FR139" s="263"/>
      <c r="FS139" s="263"/>
      <c r="FT139" s="263"/>
      <c r="FU139" s="263"/>
      <c r="FV139" s="263"/>
      <c r="FW139" s="263"/>
      <c r="FX139" s="263"/>
      <c r="FY139" s="263"/>
      <c r="FZ139" s="263"/>
      <c r="GA139" s="263"/>
      <c r="GB139" s="263"/>
      <c r="GC139" s="263"/>
      <c r="GD139" s="263"/>
      <c r="GE139" s="263"/>
      <c r="GF139" s="263"/>
      <c r="GG139" s="263"/>
      <c r="GH139" s="263"/>
      <c r="GI139" s="263"/>
      <c r="GJ139" s="263"/>
      <c r="GK139" s="263"/>
      <c r="GL139" s="263"/>
      <c r="GM139" s="263"/>
      <c r="GN139" s="263"/>
      <c r="GO139" s="263"/>
      <c r="GP139" s="263"/>
      <c r="GQ139" s="263"/>
      <c r="GR139" s="263"/>
      <c r="GS139" s="263"/>
      <c r="GT139" s="263"/>
      <c r="GU139" s="263"/>
      <c r="GV139" s="263"/>
      <c r="GW139" s="263"/>
      <c r="GX139" s="263"/>
      <c r="GY139" s="263"/>
      <c r="GZ139" s="263"/>
      <c r="HA139" s="263"/>
      <c r="HB139" s="263"/>
      <c r="HC139" s="263"/>
      <c r="HD139" s="263"/>
      <c r="HE139" s="263"/>
      <c r="HF139" s="263"/>
      <c r="HG139" s="263"/>
      <c r="HH139" s="263"/>
      <c r="HI139" s="263"/>
      <c r="HJ139" s="263"/>
      <c r="HK139" s="263"/>
      <c r="HL139" s="263"/>
      <c r="HM139" s="263"/>
      <c r="HN139" s="263"/>
      <c r="HO139" s="263"/>
      <c r="HP139" s="263"/>
      <c r="HQ139" s="263"/>
      <c r="HR139" s="263"/>
      <c r="HS139" s="263"/>
      <c r="HT139" s="263"/>
      <c r="HU139" s="263"/>
      <c r="HV139" s="263"/>
      <c r="HW139" s="263"/>
      <c r="HX139" s="263"/>
      <c r="HY139" s="263"/>
      <c r="HZ139" s="263"/>
      <c r="IA139" s="263"/>
      <c r="IB139" s="263"/>
      <c r="IC139" s="263"/>
      <c r="ID139" s="263"/>
      <c r="IE139" s="263"/>
      <c r="IF139" s="263"/>
      <c r="IG139" s="263"/>
      <c r="IH139" s="263"/>
      <c r="II139" s="263"/>
      <c r="IJ139" s="263"/>
      <c r="IK139" s="263"/>
      <c r="IL139" s="263"/>
      <c r="IM139" s="263"/>
      <c r="IN139" s="263"/>
      <c r="IO139" s="263"/>
      <c r="IP139" s="263"/>
      <c r="IQ139" s="263"/>
      <c r="IR139" s="263"/>
      <c r="IS139" s="263"/>
      <c r="IT139" s="263"/>
      <c r="IU139" s="263"/>
    </row>
    <row r="140" spans="1:255" ht="15.6">
      <c r="A140" s="263"/>
      <c r="B140" s="263"/>
      <c r="C140" s="263"/>
      <c r="D140" s="263"/>
      <c r="E140" s="263"/>
      <c r="F140" s="263"/>
      <c r="G140" s="263"/>
      <c r="H140" s="263"/>
      <c r="I140" s="263"/>
      <c r="J140" s="263"/>
      <c r="K140" s="263"/>
      <c r="L140" s="263"/>
      <c r="M140" s="263"/>
      <c r="N140" s="263"/>
      <c r="O140" s="263"/>
      <c r="P140" s="263"/>
      <c r="Q140" s="263"/>
      <c r="R140" s="263"/>
      <c r="S140" s="263"/>
      <c r="T140" s="263"/>
      <c r="U140" s="263"/>
      <c r="V140" s="263"/>
      <c r="W140" s="263"/>
      <c r="X140" s="263"/>
      <c r="Y140" s="263"/>
      <c r="Z140" s="263"/>
      <c r="AA140" s="263"/>
      <c r="AB140" s="263"/>
      <c r="AC140" s="263"/>
      <c r="AD140" s="263"/>
      <c r="AE140" s="263"/>
      <c r="AF140" s="263"/>
      <c r="AG140" s="263"/>
      <c r="AH140" s="263"/>
      <c r="AI140" s="263"/>
      <c r="AJ140" s="263"/>
      <c r="AK140" s="263"/>
      <c r="AL140" s="263"/>
      <c r="AM140" s="263"/>
      <c r="AN140" s="263"/>
      <c r="AO140" s="263"/>
      <c r="AP140" s="263"/>
      <c r="AQ140" s="263"/>
      <c r="AR140" s="263"/>
      <c r="AS140" s="263"/>
      <c r="AT140" s="263"/>
      <c r="AU140" s="263"/>
      <c r="AV140" s="263"/>
      <c r="AW140" s="263"/>
      <c r="AX140" s="263"/>
      <c r="AY140" s="263"/>
      <c r="AZ140" s="263"/>
      <c r="BA140" s="263"/>
      <c r="BB140" s="263"/>
      <c r="BC140" s="263"/>
      <c r="BD140" s="263"/>
      <c r="BE140" s="263"/>
      <c r="BF140" s="263"/>
      <c r="BG140" s="263"/>
      <c r="BH140" s="263"/>
      <c r="BI140" s="263"/>
      <c r="BJ140" s="263"/>
      <c r="BK140" s="263"/>
      <c r="BL140" s="263"/>
      <c r="BM140" s="263"/>
      <c r="BN140" s="263"/>
      <c r="BO140" s="263"/>
      <c r="BP140" s="263"/>
      <c r="BQ140" s="263"/>
      <c r="BR140" s="263"/>
      <c r="BS140" s="263"/>
      <c r="BT140" s="263"/>
      <c r="BU140" s="263"/>
      <c r="BV140" s="263"/>
      <c r="BW140" s="263"/>
      <c r="BX140" s="263"/>
      <c r="BY140" s="263"/>
      <c r="BZ140" s="263"/>
      <c r="CA140" s="263"/>
      <c r="CB140" s="263"/>
      <c r="CC140" s="263"/>
      <c r="CD140" s="263"/>
      <c r="CE140" s="263"/>
      <c r="CF140" s="263"/>
      <c r="CG140" s="263"/>
      <c r="CH140" s="263"/>
      <c r="CI140" s="263"/>
      <c r="CJ140" s="263"/>
      <c r="CK140" s="263"/>
      <c r="CL140" s="263"/>
      <c r="CM140" s="263"/>
      <c r="CN140" s="263"/>
      <c r="CO140" s="263"/>
      <c r="CP140" s="263"/>
      <c r="CQ140" s="263"/>
      <c r="CR140" s="263"/>
      <c r="CS140" s="263"/>
      <c r="CT140" s="263"/>
      <c r="CU140" s="263"/>
      <c r="CV140" s="263"/>
      <c r="CW140" s="263"/>
      <c r="CX140" s="263"/>
      <c r="CY140" s="263"/>
      <c r="CZ140" s="263"/>
      <c r="DA140" s="263"/>
      <c r="DB140" s="263"/>
      <c r="DC140" s="263"/>
      <c r="DD140" s="263"/>
      <c r="DE140" s="263"/>
      <c r="DF140" s="263"/>
      <c r="DG140" s="263"/>
      <c r="DH140" s="263"/>
      <c r="DI140" s="263"/>
      <c r="DJ140" s="263"/>
      <c r="DK140" s="263"/>
      <c r="DL140" s="263"/>
      <c r="DM140" s="263"/>
      <c r="DN140" s="263"/>
      <c r="DO140" s="263"/>
      <c r="DP140" s="263"/>
      <c r="DQ140" s="263"/>
      <c r="DR140" s="263"/>
      <c r="DS140" s="263"/>
      <c r="DT140" s="263"/>
      <c r="DU140" s="263"/>
      <c r="DV140" s="263"/>
      <c r="DW140" s="263"/>
      <c r="DX140" s="263"/>
      <c r="DY140" s="263"/>
      <c r="DZ140" s="263"/>
      <c r="EA140" s="263"/>
      <c r="EB140" s="263"/>
      <c r="EC140" s="263"/>
      <c r="ED140" s="263"/>
      <c r="EE140" s="263"/>
      <c r="EF140" s="263"/>
      <c r="EG140" s="263"/>
      <c r="EH140" s="263"/>
      <c r="EI140" s="263"/>
      <c r="EJ140" s="263"/>
      <c r="EK140" s="263"/>
      <c r="EL140" s="263"/>
      <c r="EM140" s="263"/>
      <c r="EN140" s="263"/>
      <c r="EO140" s="263"/>
      <c r="EP140" s="263"/>
      <c r="EQ140" s="263"/>
      <c r="ER140" s="263"/>
      <c r="ES140" s="263"/>
      <c r="ET140" s="263"/>
      <c r="EU140" s="263"/>
      <c r="EV140" s="263"/>
      <c r="EW140" s="263"/>
      <c r="EX140" s="263"/>
      <c r="EY140" s="263"/>
      <c r="EZ140" s="263"/>
      <c r="FA140" s="263"/>
      <c r="FB140" s="263"/>
      <c r="FC140" s="263"/>
      <c r="FD140" s="263"/>
      <c r="FE140" s="263"/>
      <c r="FF140" s="263"/>
      <c r="FG140" s="263"/>
      <c r="FH140" s="263"/>
      <c r="FI140" s="263"/>
      <c r="FJ140" s="263"/>
      <c r="FK140" s="263"/>
      <c r="FL140" s="263"/>
      <c r="FM140" s="263"/>
      <c r="FN140" s="263"/>
      <c r="FO140" s="263"/>
      <c r="FP140" s="263"/>
      <c r="FQ140" s="263"/>
      <c r="FR140" s="263"/>
      <c r="FS140" s="263"/>
      <c r="FT140" s="263"/>
      <c r="FU140" s="263"/>
      <c r="FV140" s="263"/>
      <c r="FW140" s="263"/>
      <c r="FX140" s="263"/>
      <c r="FY140" s="263"/>
      <c r="FZ140" s="263"/>
      <c r="GA140" s="263"/>
      <c r="GB140" s="263"/>
      <c r="GC140" s="263"/>
      <c r="GD140" s="263"/>
      <c r="GE140" s="263"/>
      <c r="GF140" s="263"/>
      <c r="GG140" s="263"/>
      <c r="GH140" s="263"/>
      <c r="GI140" s="263"/>
      <c r="GJ140" s="263"/>
      <c r="GK140" s="263"/>
      <c r="GL140" s="263"/>
      <c r="GM140" s="263"/>
      <c r="GN140" s="263"/>
      <c r="GO140" s="263"/>
      <c r="GP140" s="263"/>
      <c r="GQ140" s="263"/>
      <c r="GR140" s="263"/>
      <c r="GS140" s="263"/>
      <c r="GT140" s="263"/>
      <c r="GU140" s="263"/>
      <c r="GV140" s="263"/>
      <c r="GW140" s="263"/>
      <c r="GX140" s="263"/>
      <c r="GY140" s="263"/>
      <c r="GZ140" s="263"/>
      <c r="HA140" s="263"/>
      <c r="HB140" s="263"/>
      <c r="HC140" s="263"/>
      <c r="HD140" s="263"/>
      <c r="HE140" s="263"/>
      <c r="HF140" s="263"/>
      <c r="HG140" s="263"/>
      <c r="HH140" s="263"/>
      <c r="HI140" s="263"/>
      <c r="HJ140" s="263"/>
      <c r="HK140" s="263"/>
      <c r="HL140" s="263"/>
      <c r="HM140" s="263"/>
      <c r="HN140" s="263"/>
      <c r="HO140" s="263"/>
      <c r="HP140" s="263"/>
      <c r="HQ140" s="263"/>
      <c r="HR140" s="263"/>
      <c r="HS140" s="263"/>
      <c r="HT140" s="263"/>
      <c r="HU140" s="263"/>
      <c r="HV140" s="263"/>
      <c r="HW140" s="263"/>
      <c r="HX140" s="263"/>
      <c r="HY140" s="263"/>
      <c r="HZ140" s="263"/>
      <c r="IA140" s="263"/>
      <c r="IB140" s="263"/>
      <c r="IC140" s="263"/>
      <c r="ID140" s="263"/>
      <c r="IE140" s="263"/>
      <c r="IF140" s="263"/>
      <c r="IG140" s="263"/>
      <c r="IH140" s="263"/>
      <c r="II140" s="263"/>
      <c r="IJ140" s="263"/>
      <c r="IK140" s="263"/>
      <c r="IL140" s="263"/>
      <c r="IM140" s="263"/>
      <c r="IN140" s="263"/>
      <c r="IO140" s="263"/>
      <c r="IP140" s="263"/>
      <c r="IQ140" s="263"/>
      <c r="IR140" s="263"/>
      <c r="IS140" s="263"/>
      <c r="IT140" s="263"/>
      <c r="IU140" s="263"/>
    </row>
    <row r="141" spans="1:255" ht="15.6">
      <c r="A141" s="263"/>
      <c r="B141" s="263"/>
      <c r="C141" s="263"/>
      <c r="D141" s="263"/>
      <c r="E141" s="263"/>
      <c r="F141" s="263"/>
      <c r="G141" s="263"/>
      <c r="H141" s="263"/>
      <c r="I141" s="263"/>
      <c r="J141" s="263"/>
      <c r="K141" s="263"/>
      <c r="L141" s="263"/>
      <c r="M141" s="263"/>
      <c r="N141" s="263"/>
      <c r="O141" s="263"/>
      <c r="P141" s="263"/>
      <c r="Q141" s="263"/>
      <c r="R141" s="263"/>
      <c r="S141" s="263"/>
      <c r="T141" s="263"/>
      <c r="U141" s="263"/>
      <c r="V141" s="263"/>
      <c r="W141" s="263"/>
      <c r="X141" s="263"/>
      <c r="Y141" s="263"/>
      <c r="Z141" s="263"/>
      <c r="AA141" s="263"/>
      <c r="AB141" s="263"/>
      <c r="AC141" s="263"/>
      <c r="AD141" s="263"/>
      <c r="AE141" s="263"/>
      <c r="AF141" s="263"/>
      <c r="AG141" s="263"/>
      <c r="AH141" s="263"/>
      <c r="AI141" s="263"/>
      <c r="AJ141" s="263"/>
      <c r="AK141" s="263"/>
      <c r="AL141" s="263"/>
      <c r="AM141" s="263"/>
      <c r="AN141" s="263"/>
      <c r="AO141" s="263"/>
      <c r="AP141" s="263"/>
      <c r="AQ141" s="263"/>
      <c r="AR141" s="263"/>
      <c r="AS141" s="263"/>
      <c r="AT141" s="263"/>
      <c r="AU141" s="263"/>
      <c r="AV141" s="263"/>
      <c r="AW141" s="263"/>
      <c r="AX141" s="263"/>
      <c r="AY141" s="263"/>
      <c r="AZ141" s="263"/>
      <c r="BA141" s="263"/>
      <c r="BB141" s="263"/>
      <c r="BC141" s="263"/>
      <c r="BD141" s="263"/>
      <c r="BE141" s="263"/>
      <c r="BF141" s="263"/>
      <c r="BG141" s="263"/>
      <c r="BH141" s="263"/>
      <c r="BI141" s="263"/>
      <c r="BJ141" s="263"/>
      <c r="BK141" s="263"/>
      <c r="BL141" s="263"/>
      <c r="BM141" s="263"/>
      <c r="BN141" s="263"/>
      <c r="BO141" s="263"/>
      <c r="BP141" s="263"/>
      <c r="BQ141" s="263"/>
      <c r="BR141" s="263"/>
      <c r="BS141" s="263"/>
      <c r="BT141" s="263"/>
      <c r="BU141" s="263"/>
      <c r="BV141" s="263"/>
      <c r="BW141" s="263"/>
      <c r="BX141" s="263"/>
      <c r="BY141" s="263"/>
      <c r="BZ141" s="263"/>
      <c r="CA141" s="263"/>
      <c r="CB141" s="263"/>
      <c r="CC141" s="263"/>
      <c r="CD141" s="263"/>
      <c r="CE141" s="263"/>
      <c r="CF141" s="263"/>
      <c r="CG141" s="263"/>
      <c r="CH141" s="263"/>
      <c r="CI141" s="263"/>
      <c r="CJ141" s="263"/>
      <c r="CK141" s="263"/>
      <c r="CL141" s="263"/>
      <c r="CM141" s="263"/>
      <c r="CN141" s="263"/>
      <c r="CO141" s="263"/>
      <c r="CP141" s="263"/>
      <c r="CQ141" s="263"/>
      <c r="CR141" s="263"/>
      <c r="CS141" s="263"/>
      <c r="CT141" s="263"/>
      <c r="CU141" s="263"/>
      <c r="CV141" s="263"/>
      <c r="CW141" s="263"/>
      <c r="CX141" s="263"/>
      <c r="CY141" s="263"/>
      <c r="CZ141" s="263"/>
      <c r="DA141" s="263"/>
      <c r="DB141" s="263"/>
      <c r="DC141" s="263"/>
      <c r="DD141" s="263"/>
      <c r="DE141" s="263"/>
      <c r="DF141" s="263"/>
      <c r="DG141" s="263"/>
      <c r="DH141" s="263"/>
      <c r="DI141" s="263"/>
      <c r="DJ141" s="263"/>
      <c r="DK141" s="263"/>
      <c r="DL141" s="263"/>
      <c r="DM141" s="263"/>
      <c r="DN141" s="263"/>
      <c r="DO141" s="263"/>
      <c r="DP141" s="263"/>
      <c r="DQ141" s="263"/>
      <c r="DR141" s="263"/>
      <c r="DS141" s="263"/>
      <c r="DT141" s="263"/>
      <c r="DU141" s="263"/>
      <c r="DV141" s="263"/>
      <c r="DW141" s="263"/>
      <c r="DX141" s="263"/>
      <c r="DY141" s="263"/>
      <c r="DZ141" s="263"/>
      <c r="EA141" s="263"/>
      <c r="EB141" s="263"/>
      <c r="EC141" s="263"/>
      <c r="ED141" s="263"/>
      <c r="EE141" s="263"/>
      <c r="EF141" s="263"/>
      <c r="EG141" s="263"/>
      <c r="EH141" s="263"/>
      <c r="EI141" s="263"/>
      <c r="EJ141" s="263"/>
      <c r="EK141" s="263"/>
      <c r="EL141" s="263"/>
      <c r="EM141" s="263"/>
      <c r="EN141" s="263"/>
      <c r="EO141" s="263"/>
      <c r="EP141" s="263"/>
      <c r="EQ141" s="263"/>
      <c r="ER141" s="263"/>
      <c r="ES141" s="263"/>
      <c r="ET141" s="263"/>
      <c r="EU141" s="263"/>
      <c r="EV141" s="263"/>
      <c r="EW141" s="263"/>
      <c r="EX141" s="263"/>
      <c r="EY141" s="263"/>
      <c r="EZ141" s="263"/>
      <c r="FA141" s="263"/>
      <c r="FB141" s="263"/>
      <c r="FC141" s="263"/>
      <c r="FD141" s="263"/>
      <c r="FE141" s="263"/>
      <c r="FF141" s="263"/>
      <c r="FG141" s="263"/>
      <c r="FH141" s="263"/>
      <c r="FI141" s="263"/>
      <c r="FJ141" s="263"/>
      <c r="FK141" s="263"/>
      <c r="FL141" s="263"/>
      <c r="FM141" s="263"/>
      <c r="FN141" s="263"/>
      <c r="FO141" s="263"/>
      <c r="FP141" s="263"/>
      <c r="FQ141" s="263"/>
      <c r="FR141" s="263"/>
      <c r="FS141" s="263"/>
      <c r="FT141" s="263"/>
      <c r="FU141" s="263"/>
      <c r="FV141" s="263"/>
      <c r="FW141" s="263"/>
      <c r="FX141" s="263"/>
      <c r="FY141" s="263"/>
      <c r="FZ141" s="263"/>
      <c r="GA141" s="263"/>
      <c r="GB141" s="263"/>
      <c r="GC141" s="263"/>
      <c r="GD141" s="263"/>
      <c r="GE141" s="263"/>
      <c r="GF141" s="263"/>
      <c r="GG141" s="263"/>
      <c r="GH141" s="263"/>
      <c r="GI141" s="263"/>
      <c r="GJ141" s="263"/>
      <c r="GK141" s="263"/>
      <c r="GL141" s="263"/>
      <c r="GM141" s="263"/>
      <c r="GN141" s="263"/>
      <c r="GO141" s="263"/>
      <c r="GP141" s="263"/>
      <c r="GQ141" s="263"/>
      <c r="GR141" s="263"/>
      <c r="GS141" s="263"/>
      <c r="GT141" s="263"/>
      <c r="GU141" s="263"/>
      <c r="GV141" s="263"/>
      <c r="GW141" s="263"/>
      <c r="GX141" s="263"/>
      <c r="GY141" s="263"/>
      <c r="GZ141" s="263"/>
      <c r="HA141" s="263"/>
      <c r="HB141" s="263"/>
      <c r="HC141" s="263"/>
      <c r="HD141" s="263"/>
      <c r="HE141" s="263"/>
      <c r="HF141" s="263"/>
      <c r="HG141" s="263"/>
      <c r="HH141" s="263"/>
      <c r="HI141" s="263"/>
      <c r="HJ141" s="263"/>
      <c r="HK141" s="263"/>
      <c r="HL141" s="263"/>
      <c r="HM141" s="263"/>
      <c r="HN141" s="263"/>
      <c r="HO141" s="263"/>
      <c r="HP141" s="263"/>
      <c r="HQ141" s="263"/>
      <c r="HR141" s="263"/>
      <c r="HS141" s="263"/>
      <c r="HT141" s="263"/>
      <c r="HU141" s="263"/>
      <c r="HV141" s="263"/>
      <c r="HW141" s="263"/>
      <c r="HX141" s="263"/>
      <c r="HY141" s="263"/>
      <c r="HZ141" s="263"/>
      <c r="IA141" s="263"/>
      <c r="IB141" s="263"/>
      <c r="IC141" s="263"/>
      <c r="ID141" s="263"/>
      <c r="IE141" s="263"/>
      <c r="IF141" s="263"/>
      <c r="IG141" s="263"/>
      <c r="IH141" s="263"/>
      <c r="II141" s="263"/>
      <c r="IJ141" s="263"/>
      <c r="IK141" s="263"/>
      <c r="IL141" s="263"/>
      <c r="IM141" s="263"/>
      <c r="IN141" s="263"/>
      <c r="IO141" s="263"/>
      <c r="IP141" s="263"/>
      <c r="IQ141" s="263"/>
      <c r="IR141" s="263"/>
      <c r="IS141" s="263"/>
      <c r="IT141" s="263"/>
      <c r="IU141" s="263"/>
    </row>
    <row r="142" spans="1:255" ht="15.6">
      <c r="A142" s="263"/>
      <c r="B142" s="263"/>
      <c r="C142" s="263"/>
      <c r="D142" s="263"/>
      <c r="E142" s="263"/>
      <c r="F142" s="263"/>
      <c r="G142" s="263"/>
      <c r="H142" s="263"/>
      <c r="I142" s="263"/>
      <c r="J142" s="263"/>
      <c r="K142" s="263"/>
      <c r="L142" s="263"/>
      <c r="M142" s="263"/>
      <c r="N142" s="263"/>
      <c r="O142" s="263"/>
      <c r="P142" s="263"/>
      <c r="Q142" s="263"/>
      <c r="R142" s="263"/>
      <c r="S142" s="263"/>
      <c r="T142" s="263"/>
      <c r="U142" s="263"/>
      <c r="V142" s="263"/>
      <c r="W142" s="263"/>
      <c r="X142" s="263"/>
      <c r="Y142" s="263"/>
      <c r="Z142" s="263"/>
      <c r="AA142" s="263"/>
      <c r="AB142" s="263"/>
      <c r="AC142" s="263"/>
      <c r="AD142" s="263"/>
      <c r="AE142" s="263"/>
      <c r="AF142" s="263"/>
      <c r="AG142" s="263"/>
      <c r="AH142" s="263"/>
      <c r="AI142" s="263"/>
      <c r="AJ142" s="263"/>
      <c r="AK142" s="263"/>
      <c r="AL142" s="263"/>
      <c r="AM142" s="263"/>
      <c r="AN142" s="263"/>
      <c r="AO142" s="263"/>
      <c r="AP142" s="263"/>
      <c r="AQ142" s="263"/>
      <c r="AR142" s="263"/>
      <c r="AS142" s="263"/>
      <c r="AT142" s="263"/>
      <c r="AU142" s="263"/>
      <c r="AV142" s="263"/>
      <c r="AW142" s="263"/>
      <c r="AX142" s="263"/>
      <c r="AY142" s="263"/>
      <c r="AZ142" s="263"/>
      <c r="BA142" s="263"/>
      <c r="BB142" s="263"/>
      <c r="BC142" s="263"/>
      <c r="BD142" s="263"/>
      <c r="BE142" s="263"/>
      <c r="BF142" s="263"/>
      <c r="BG142" s="263"/>
      <c r="BH142" s="263"/>
      <c r="BI142" s="263"/>
      <c r="BJ142" s="263"/>
      <c r="BK142" s="263"/>
      <c r="BL142" s="263"/>
      <c r="BM142" s="263"/>
      <c r="BN142" s="263"/>
      <c r="BO142" s="263"/>
      <c r="BP142" s="263"/>
      <c r="BQ142" s="263"/>
      <c r="BR142" s="263"/>
      <c r="BS142" s="263"/>
      <c r="BT142" s="263"/>
      <c r="BU142" s="263"/>
      <c r="BV142" s="263"/>
      <c r="BW142" s="263"/>
      <c r="BX142" s="263"/>
      <c r="BY142" s="263"/>
      <c r="BZ142" s="263"/>
      <c r="CA142" s="263"/>
      <c r="CB142" s="263"/>
      <c r="CC142" s="263"/>
      <c r="CD142" s="263"/>
      <c r="CE142" s="263"/>
      <c r="CF142" s="263"/>
      <c r="CG142" s="263"/>
      <c r="CH142" s="263"/>
      <c r="CI142" s="263"/>
      <c r="CJ142" s="263"/>
      <c r="CK142" s="263"/>
      <c r="CL142" s="263"/>
      <c r="CM142" s="263"/>
      <c r="CN142" s="263"/>
      <c r="CO142" s="263"/>
      <c r="CP142" s="263"/>
      <c r="CQ142" s="263"/>
      <c r="CR142" s="263"/>
      <c r="CS142" s="263"/>
      <c r="CT142" s="263"/>
      <c r="CU142" s="263"/>
      <c r="CV142" s="263"/>
      <c r="CW142" s="263"/>
      <c r="CX142" s="263"/>
      <c r="CY142" s="263"/>
      <c r="CZ142" s="263"/>
      <c r="DA142" s="263"/>
      <c r="DB142" s="263"/>
      <c r="DC142" s="263"/>
      <c r="DD142" s="263"/>
      <c r="DE142" s="263"/>
      <c r="DF142" s="263"/>
      <c r="DG142" s="263"/>
      <c r="DH142" s="263"/>
      <c r="DI142" s="263"/>
      <c r="DJ142" s="263"/>
      <c r="DK142" s="263"/>
      <c r="DL142" s="263"/>
      <c r="DM142" s="263"/>
      <c r="DN142" s="263"/>
      <c r="DO142" s="263"/>
      <c r="DP142" s="263"/>
      <c r="DQ142" s="263"/>
      <c r="DR142" s="263"/>
      <c r="DS142" s="263"/>
      <c r="DT142" s="263"/>
      <c r="DU142" s="263"/>
      <c r="DV142" s="263"/>
      <c r="DW142" s="263"/>
      <c r="DX142" s="263"/>
      <c r="DY142" s="263"/>
      <c r="DZ142" s="263"/>
      <c r="EA142" s="263"/>
      <c r="EB142" s="263"/>
      <c r="EC142" s="263"/>
      <c r="ED142" s="263"/>
      <c r="EE142" s="263"/>
      <c r="EF142" s="263"/>
      <c r="EG142" s="263"/>
      <c r="EH142" s="263"/>
      <c r="EI142" s="263"/>
      <c r="EJ142" s="263"/>
      <c r="EK142" s="263"/>
      <c r="EL142" s="263"/>
      <c r="EM142" s="263"/>
      <c r="EN142" s="263"/>
      <c r="EO142" s="263"/>
      <c r="EP142" s="263"/>
      <c r="EQ142" s="263"/>
      <c r="ER142" s="263"/>
      <c r="ES142" s="263"/>
      <c r="ET142" s="263"/>
      <c r="EU142" s="263"/>
      <c r="EV142" s="263"/>
      <c r="EW142" s="263"/>
      <c r="EX142" s="263"/>
      <c r="EY142" s="263"/>
      <c r="EZ142" s="263"/>
      <c r="FA142" s="263"/>
      <c r="FB142" s="263"/>
      <c r="FC142" s="263"/>
      <c r="FD142" s="263"/>
      <c r="FE142" s="263"/>
      <c r="FF142" s="263"/>
      <c r="FG142" s="263"/>
      <c r="FH142" s="263"/>
      <c r="FI142" s="263"/>
      <c r="FJ142" s="263"/>
      <c r="FK142" s="263"/>
      <c r="FL142" s="263"/>
      <c r="FM142" s="263"/>
      <c r="FN142" s="263"/>
      <c r="FO142" s="263"/>
      <c r="FP142" s="263"/>
      <c r="FQ142" s="263"/>
      <c r="FR142" s="263"/>
      <c r="FS142" s="263"/>
      <c r="FT142" s="263"/>
      <c r="FU142" s="263"/>
      <c r="FV142" s="263"/>
      <c r="FW142" s="263"/>
      <c r="FX142" s="263"/>
      <c r="FY142" s="263"/>
      <c r="FZ142" s="263"/>
      <c r="GA142" s="263"/>
      <c r="GB142" s="263"/>
      <c r="GC142" s="263"/>
      <c r="GD142" s="263"/>
      <c r="GE142" s="263"/>
      <c r="GF142" s="263"/>
      <c r="GG142" s="263"/>
      <c r="GH142" s="263"/>
      <c r="GI142" s="263"/>
      <c r="GJ142" s="263"/>
      <c r="GK142" s="263"/>
      <c r="GL142" s="263"/>
      <c r="GM142" s="263"/>
      <c r="GN142" s="263"/>
      <c r="GO142" s="263"/>
      <c r="GP142" s="263"/>
      <c r="GQ142" s="263"/>
      <c r="GR142" s="263"/>
      <c r="GS142" s="263"/>
      <c r="GT142" s="263"/>
      <c r="GU142" s="263"/>
      <c r="GV142" s="263"/>
      <c r="GW142" s="263"/>
      <c r="GX142" s="263"/>
      <c r="GY142" s="263"/>
      <c r="GZ142" s="263"/>
      <c r="HA142" s="263"/>
      <c r="HB142" s="263"/>
      <c r="HC142" s="263"/>
      <c r="HD142" s="263"/>
      <c r="HE142" s="263"/>
      <c r="HF142" s="263"/>
      <c r="HG142" s="263"/>
      <c r="HH142" s="263"/>
      <c r="HI142" s="263"/>
      <c r="HJ142" s="263"/>
      <c r="HK142" s="263"/>
      <c r="HL142" s="263"/>
      <c r="HM142" s="263"/>
      <c r="HN142" s="263"/>
      <c r="HO142" s="263"/>
      <c r="HP142" s="263"/>
      <c r="HQ142" s="263"/>
      <c r="HR142" s="263"/>
      <c r="HS142" s="263"/>
      <c r="HT142" s="263"/>
      <c r="HU142" s="263"/>
      <c r="HV142" s="263"/>
      <c r="HW142" s="263"/>
      <c r="HX142" s="263"/>
      <c r="HY142" s="263"/>
      <c r="HZ142" s="263"/>
      <c r="IA142" s="263"/>
      <c r="IB142" s="263"/>
      <c r="IC142" s="263"/>
      <c r="ID142" s="263"/>
      <c r="IE142" s="263"/>
      <c r="IF142" s="263"/>
      <c r="IG142" s="263"/>
      <c r="IH142" s="263"/>
      <c r="II142" s="263"/>
      <c r="IJ142" s="263"/>
      <c r="IK142" s="263"/>
      <c r="IL142" s="263"/>
      <c r="IM142" s="263"/>
      <c r="IN142" s="263"/>
      <c r="IO142" s="263"/>
      <c r="IP142" s="263"/>
      <c r="IQ142" s="263"/>
      <c r="IR142" s="263"/>
      <c r="IS142" s="263"/>
      <c r="IT142" s="263"/>
      <c r="IU142" s="263"/>
    </row>
    <row r="143" spans="1:255" ht="15.6">
      <c r="A143" s="263"/>
      <c r="B143" s="263"/>
      <c r="C143" s="263"/>
      <c r="D143" s="263"/>
      <c r="E143" s="263"/>
      <c r="F143" s="263"/>
      <c r="G143" s="263"/>
      <c r="H143" s="263"/>
      <c r="I143" s="263"/>
      <c r="J143" s="263"/>
      <c r="K143" s="263"/>
      <c r="L143" s="263"/>
      <c r="M143" s="263"/>
      <c r="N143" s="263"/>
      <c r="O143" s="263"/>
      <c r="P143" s="263"/>
      <c r="Q143" s="263"/>
      <c r="R143" s="263"/>
      <c r="S143" s="263"/>
      <c r="T143" s="263"/>
      <c r="U143" s="263"/>
      <c r="V143" s="263"/>
      <c r="W143" s="263"/>
      <c r="X143" s="263"/>
      <c r="Y143" s="263"/>
      <c r="Z143" s="263"/>
      <c r="AA143" s="263"/>
      <c r="AB143" s="263"/>
      <c r="AC143" s="263"/>
      <c r="AD143" s="263"/>
      <c r="AE143" s="263"/>
      <c r="AF143" s="263"/>
      <c r="AG143" s="263"/>
      <c r="AH143" s="263"/>
      <c r="AI143" s="263"/>
      <c r="AJ143" s="263"/>
      <c r="AK143" s="263"/>
      <c r="AL143" s="263"/>
      <c r="AM143" s="263"/>
      <c r="AN143" s="263"/>
      <c r="AO143" s="263"/>
      <c r="AP143" s="263"/>
      <c r="AQ143" s="263"/>
      <c r="AR143" s="263"/>
      <c r="AS143" s="263"/>
      <c r="AT143" s="263"/>
      <c r="AU143" s="263"/>
      <c r="AV143" s="263"/>
      <c r="AW143" s="263"/>
      <c r="AX143" s="263"/>
      <c r="AY143" s="263"/>
      <c r="AZ143" s="263"/>
      <c r="BA143" s="263"/>
      <c r="BB143" s="263"/>
      <c r="BC143" s="263"/>
      <c r="BD143" s="263"/>
      <c r="BE143" s="263"/>
      <c r="BF143" s="263"/>
      <c r="BG143" s="263"/>
      <c r="BH143" s="263"/>
      <c r="BI143" s="263"/>
      <c r="BJ143" s="263"/>
      <c r="BK143" s="263"/>
      <c r="BL143" s="263"/>
      <c r="BM143" s="263"/>
      <c r="BN143" s="263"/>
      <c r="BO143" s="263"/>
      <c r="BP143" s="263"/>
      <c r="BQ143" s="263"/>
      <c r="BR143" s="263"/>
      <c r="BS143" s="263"/>
      <c r="BT143" s="263"/>
      <c r="BU143" s="263"/>
      <c r="BV143" s="263"/>
      <c r="BW143" s="263"/>
      <c r="BX143" s="263"/>
      <c r="BY143" s="263"/>
      <c r="BZ143" s="263"/>
      <c r="CA143" s="263"/>
      <c r="CB143" s="263"/>
      <c r="CC143" s="263"/>
      <c r="CD143" s="263"/>
      <c r="CE143" s="263"/>
      <c r="CF143" s="263"/>
      <c r="CG143" s="263"/>
      <c r="CH143" s="263"/>
      <c r="CI143" s="263"/>
      <c r="CJ143" s="263"/>
      <c r="CK143" s="263"/>
      <c r="CL143" s="263"/>
      <c r="CM143" s="263"/>
      <c r="CN143" s="263"/>
      <c r="CO143" s="263"/>
      <c r="CP143" s="263"/>
      <c r="CQ143" s="263"/>
      <c r="CR143" s="263"/>
      <c r="CS143" s="263"/>
      <c r="CT143" s="263"/>
      <c r="CU143" s="263"/>
      <c r="CV143" s="263"/>
      <c r="CW143" s="263"/>
      <c r="CX143" s="263"/>
      <c r="CY143" s="263"/>
      <c r="CZ143" s="263"/>
      <c r="DA143" s="263"/>
      <c r="DB143" s="263"/>
      <c r="DC143" s="263"/>
      <c r="DD143" s="263"/>
      <c r="DE143" s="263"/>
      <c r="DF143" s="263"/>
      <c r="DG143" s="263"/>
      <c r="DH143" s="263"/>
      <c r="DI143" s="263"/>
      <c r="DJ143" s="263"/>
      <c r="DK143" s="263"/>
      <c r="DL143" s="263"/>
      <c r="DM143" s="263"/>
      <c r="DN143" s="263"/>
      <c r="DO143" s="263"/>
      <c r="DP143" s="263"/>
      <c r="DQ143" s="263"/>
      <c r="DR143" s="263"/>
      <c r="DS143" s="263"/>
      <c r="DT143" s="263"/>
      <c r="DU143" s="263"/>
      <c r="DV143" s="263"/>
      <c r="DW143" s="263"/>
      <c r="DX143" s="263"/>
      <c r="DY143" s="263"/>
      <c r="DZ143" s="263"/>
      <c r="EA143" s="263"/>
      <c r="EB143" s="263"/>
      <c r="EC143" s="263"/>
      <c r="ED143" s="263"/>
      <c r="EE143" s="263"/>
      <c r="EF143" s="263"/>
      <c r="EG143" s="263"/>
      <c r="EH143" s="263"/>
      <c r="EI143" s="263"/>
      <c r="EJ143" s="263"/>
      <c r="EK143" s="263"/>
      <c r="EL143" s="263"/>
      <c r="EM143" s="263"/>
      <c r="EN143" s="263"/>
      <c r="EO143" s="263"/>
      <c r="EP143" s="263"/>
      <c r="EQ143" s="263"/>
      <c r="ER143" s="263"/>
      <c r="ES143" s="263"/>
      <c r="ET143" s="263"/>
      <c r="EU143" s="263"/>
      <c r="EV143" s="263"/>
      <c r="EW143" s="263"/>
      <c r="EX143" s="263"/>
      <c r="EY143" s="263"/>
      <c r="EZ143" s="263"/>
      <c r="FA143" s="263"/>
      <c r="FB143" s="263"/>
      <c r="FC143" s="263"/>
      <c r="FD143" s="263"/>
      <c r="FE143" s="263"/>
      <c r="FF143" s="263"/>
      <c r="FG143" s="263"/>
      <c r="FH143" s="263"/>
      <c r="FI143" s="263"/>
      <c r="FJ143" s="263"/>
      <c r="FK143" s="263"/>
      <c r="FL143" s="263"/>
      <c r="FM143" s="263"/>
      <c r="FN143" s="263"/>
      <c r="FO143" s="263"/>
      <c r="FP143" s="263"/>
      <c r="FQ143" s="263"/>
      <c r="FR143" s="263"/>
      <c r="FS143" s="263"/>
      <c r="FT143" s="263"/>
      <c r="FU143" s="263"/>
      <c r="FV143" s="263"/>
      <c r="FW143" s="263"/>
      <c r="FX143" s="263"/>
      <c r="FY143" s="263"/>
      <c r="FZ143" s="263"/>
      <c r="GA143" s="263"/>
      <c r="GB143" s="263"/>
      <c r="GC143" s="263"/>
      <c r="GD143" s="263"/>
      <c r="GE143" s="263"/>
      <c r="GF143" s="263"/>
      <c r="GG143" s="263"/>
      <c r="GH143" s="263"/>
      <c r="GI143" s="263"/>
      <c r="GJ143" s="263"/>
      <c r="GK143" s="263"/>
      <c r="GL143" s="263"/>
      <c r="GM143" s="263"/>
      <c r="GN143" s="263"/>
      <c r="GO143" s="263"/>
      <c r="GP143" s="263"/>
      <c r="GQ143" s="263"/>
      <c r="GR143" s="263"/>
      <c r="GS143" s="263"/>
      <c r="GT143" s="263"/>
      <c r="GU143" s="263"/>
      <c r="GV143" s="263"/>
      <c r="GW143" s="263"/>
      <c r="GX143" s="263"/>
      <c r="GY143" s="263"/>
      <c r="GZ143" s="263"/>
      <c r="HA143" s="263"/>
      <c r="HB143" s="263"/>
      <c r="HC143" s="263"/>
      <c r="HD143" s="263"/>
      <c r="HE143" s="263"/>
      <c r="HF143" s="263"/>
      <c r="HG143" s="263"/>
      <c r="HH143" s="263"/>
      <c r="HI143" s="263"/>
      <c r="HJ143" s="263"/>
      <c r="HK143" s="263"/>
      <c r="HL143" s="263"/>
      <c r="HM143" s="263"/>
      <c r="HN143" s="263"/>
      <c r="HO143" s="263"/>
      <c r="HP143" s="263"/>
      <c r="HQ143" s="263"/>
      <c r="HR143" s="263"/>
      <c r="HS143" s="263"/>
      <c r="HT143" s="263"/>
      <c r="HU143" s="263"/>
      <c r="HV143" s="263"/>
      <c r="HW143" s="263"/>
      <c r="HX143" s="263"/>
      <c r="HY143" s="263"/>
      <c r="HZ143" s="263"/>
      <c r="IA143" s="263"/>
      <c r="IB143" s="263"/>
      <c r="IC143" s="263"/>
      <c r="ID143" s="263"/>
      <c r="IE143" s="263"/>
      <c r="IF143" s="263"/>
      <c r="IG143" s="263"/>
      <c r="IH143" s="263"/>
      <c r="II143" s="263"/>
      <c r="IJ143" s="263"/>
      <c r="IK143" s="263"/>
      <c r="IL143" s="263"/>
      <c r="IM143" s="263"/>
      <c r="IN143" s="263"/>
      <c r="IO143" s="263"/>
      <c r="IP143" s="263"/>
      <c r="IQ143" s="263"/>
      <c r="IR143" s="263"/>
      <c r="IS143" s="263"/>
      <c r="IT143" s="263"/>
      <c r="IU143" s="263"/>
    </row>
    <row r="144" spans="1:255" ht="15.6">
      <c r="A144" s="263"/>
      <c r="B144" s="263"/>
      <c r="C144" s="263"/>
      <c r="D144" s="263"/>
      <c r="E144" s="263"/>
      <c r="F144" s="263"/>
      <c r="G144" s="263"/>
      <c r="H144" s="263"/>
      <c r="I144" s="263"/>
      <c r="J144" s="263"/>
      <c r="K144" s="263"/>
      <c r="L144" s="263"/>
      <c r="M144" s="263"/>
      <c r="N144" s="263"/>
      <c r="O144" s="263"/>
      <c r="P144" s="263"/>
      <c r="Q144" s="263"/>
      <c r="R144" s="263"/>
      <c r="S144" s="263"/>
      <c r="T144" s="263"/>
      <c r="U144" s="263"/>
      <c r="V144" s="263"/>
      <c r="W144" s="263"/>
      <c r="X144" s="263"/>
      <c r="Y144" s="263"/>
      <c r="Z144" s="263"/>
      <c r="AA144" s="263"/>
      <c r="AB144" s="263"/>
      <c r="AC144" s="263"/>
      <c r="AD144" s="263"/>
      <c r="AE144" s="263"/>
      <c r="AF144" s="263"/>
      <c r="AG144" s="263"/>
      <c r="AH144" s="263"/>
      <c r="AI144" s="263"/>
      <c r="AJ144" s="263"/>
      <c r="AK144" s="263"/>
      <c r="AL144" s="263"/>
      <c r="AM144" s="263"/>
      <c r="AN144" s="263"/>
      <c r="AO144" s="263"/>
      <c r="AP144" s="263"/>
      <c r="AQ144" s="263"/>
      <c r="AR144" s="263"/>
      <c r="AS144" s="263"/>
      <c r="AT144" s="263"/>
      <c r="AU144" s="263"/>
      <c r="AV144" s="263"/>
      <c r="AW144" s="263"/>
      <c r="AX144" s="263"/>
      <c r="AY144" s="263"/>
      <c r="AZ144" s="263"/>
      <c r="BA144" s="263"/>
      <c r="BB144" s="263"/>
      <c r="BC144" s="263"/>
      <c r="BD144" s="263"/>
      <c r="BE144" s="263"/>
      <c r="BF144" s="263"/>
      <c r="BG144" s="263"/>
      <c r="BH144" s="263"/>
      <c r="BI144" s="263"/>
      <c r="BJ144" s="263"/>
      <c r="BK144" s="263"/>
      <c r="BL144" s="263"/>
      <c r="BM144" s="263"/>
      <c r="BN144" s="263"/>
      <c r="BO144" s="263"/>
      <c r="BP144" s="263"/>
      <c r="BQ144" s="263"/>
      <c r="BR144" s="263"/>
      <c r="BS144" s="263"/>
      <c r="BT144" s="263"/>
      <c r="BU144" s="263"/>
      <c r="BV144" s="263"/>
      <c r="BW144" s="263"/>
      <c r="BX144" s="263"/>
      <c r="BY144" s="263"/>
      <c r="BZ144" s="263"/>
      <c r="CA144" s="263"/>
      <c r="CB144" s="263"/>
      <c r="CC144" s="263"/>
      <c r="CD144" s="263"/>
      <c r="CE144" s="263"/>
      <c r="CF144" s="263"/>
      <c r="CG144" s="263"/>
      <c r="CH144" s="263"/>
      <c r="CI144" s="263"/>
      <c r="CJ144" s="263"/>
      <c r="CK144" s="263"/>
      <c r="CL144" s="263"/>
      <c r="CM144" s="263"/>
      <c r="CN144" s="263"/>
      <c r="CO144" s="263"/>
      <c r="CP144" s="263"/>
      <c r="CQ144" s="263"/>
      <c r="CR144" s="263"/>
      <c r="CS144" s="263"/>
      <c r="CT144" s="263"/>
      <c r="CU144" s="263"/>
      <c r="CV144" s="263"/>
      <c r="CW144" s="263"/>
      <c r="CX144" s="263"/>
      <c r="CY144" s="263"/>
      <c r="CZ144" s="263"/>
      <c r="DA144" s="263"/>
      <c r="DB144" s="263"/>
      <c r="DC144" s="263"/>
      <c r="DD144" s="263"/>
      <c r="DE144" s="263"/>
      <c r="DF144" s="263"/>
      <c r="DG144" s="263"/>
      <c r="DH144" s="263"/>
      <c r="DI144" s="263"/>
      <c r="DJ144" s="263"/>
      <c r="DK144" s="263"/>
      <c r="DL144" s="263"/>
      <c r="DM144" s="263"/>
      <c r="DN144" s="263"/>
      <c r="DO144" s="263"/>
      <c r="DP144" s="263"/>
      <c r="DQ144" s="263"/>
      <c r="DR144" s="263"/>
      <c r="DS144" s="263"/>
      <c r="DT144" s="263"/>
      <c r="DU144" s="263"/>
      <c r="DV144" s="263"/>
      <c r="DW144" s="263"/>
      <c r="DX144" s="263"/>
      <c r="DY144" s="263"/>
      <c r="DZ144" s="263"/>
      <c r="EA144" s="263"/>
      <c r="EB144" s="263"/>
      <c r="EC144" s="263"/>
      <c r="ED144" s="263"/>
      <c r="EE144" s="263"/>
      <c r="EF144" s="263"/>
      <c r="EG144" s="263"/>
      <c r="EH144" s="263"/>
      <c r="EI144" s="263"/>
      <c r="EJ144" s="263"/>
      <c r="EK144" s="263"/>
      <c r="EL144" s="263"/>
      <c r="EM144" s="263"/>
      <c r="EN144" s="263"/>
      <c r="EO144" s="263"/>
      <c r="EP144" s="263"/>
      <c r="EQ144" s="263"/>
      <c r="ER144" s="263"/>
      <c r="ES144" s="263"/>
      <c r="ET144" s="263"/>
      <c r="EU144" s="263"/>
      <c r="EV144" s="263"/>
      <c r="EW144" s="263"/>
      <c r="EX144" s="263"/>
      <c r="EY144" s="263"/>
      <c r="EZ144" s="263"/>
      <c r="FA144" s="263"/>
      <c r="FB144" s="263"/>
      <c r="FC144" s="263"/>
      <c r="FD144" s="263"/>
      <c r="FE144" s="263"/>
      <c r="FF144" s="263"/>
      <c r="FG144" s="263"/>
      <c r="FH144" s="263"/>
      <c r="FI144" s="263"/>
      <c r="FJ144" s="263"/>
      <c r="FK144" s="263"/>
      <c r="FL144" s="263"/>
      <c r="FM144" s="263"/>
      <c r="FN144" s="263"/>
      <c r="FO144" s="263"/>
      <c r="FP144" s="263"/>
      <c r="FQ144" s="263"/>
      <c r="FR144" s="263"/>
      <c r="FS144" s="263"/>
      <c r="FT144" s="263"/>
      <c r="FU144" s="263"/>
      <c r="FV144" s="263"/>
      <c r="FW144" s="263"/>
      <c r="FX144" s="263"/>
      <c r="FY144" s="263"/>
      <c r="FZ144" s="263"/>
      <c r="GA144" s="263"/>
      <c r="GB144" s="263"/>
      <c r="GC144" s="263"/>
      <c r="GD144" s="263"/>
      <c r="GE144" s="263"/>
      <c r="GF144" s="263"/>
      <c r="GG144" s="263"/>
      <c r="GH144" s="263"/>
      <c r="GI144" s="263"/>
      <c r="GJ144" s="263"/>
      <c r="GK144" s="263"/>
      <c r="GL144" s="263"/>
      <c r="GM144" s="263"/>
      <c r="GN144" s="263"/>
      <c r="GO144" s="263"/>
      <c r="GP144" s="263"/>
      <c r="GQ144" s="263"/>
      <c r="GR144" s="263"/>
      <c r="GS144" s="263"/>
      <c r="GT144" s="263"/>
      <c r="GU144" s="263"/>
      <c r="GV144" s="263"/>
      <c r="GW144" s="263"/>
      <c r="GX144" s="263"/>
      <c r="GY144" s="263"/>
      <c r="GZ144" s="263"/>
      <c r="HA144" s="263"/>
      <c r="HB144" s="263"/>
      <c r="HC144" s="263"/>
      <c r="HD144" s="263"/>
      <c r="HE144" s="263"/>
      <c r="HF144" s="263"/>
      <c r="HG144" s="263"/>
      <c r="HH144" s="263"/>
      <c r="HI144" s="263"/>
      <c r="HJ144" s="263"/>
      <c r="HK144" s="263"/>
      <c r="HL144" s="263"/>
      <c r="HM144" s="263"/>
      <c r="HN144" s="263"/>
      <c r="HO144" s="263"/>
      <c r="HP144" s="263"/>
      <c r="HQ144" s="263"/>
      <c r="HR144" s="263"/>
      <c r="HS144" s="263"/>
      <c r="HT144" s="263"/>
      <c r="HU144" s="263"/>
      <c r="HV144" s="263"/>
      <c r="HW144" s="263"/>
      <c r="HX144" s="263"/>
      <c r="HY144" s="263"/>
      <c r="HZ144" s="263"/>
      <c r="IA144" s="263"/>
      <c r="IB144" s="263"/>
      <c r="IC144" s="263"/>
      <c r="ID144" s="263"/>
      <c r="IE144" s="263"/>
      <c r="IF144" s="263"/>
      <c r="IG144" s="263"/>
      <c r="IH144" s="263"/>
      <c r="II144" s="263"/>
      <c r="IJ144" s="263"/>
      <c r="IK144" s="263"/>
      <c r="IL144" s="263"/>
      <c r="IM144" s="263"/>
      <c r="IN144" s="263"/>
      <c r="IO144" s="263"/>
      <c r="IP144" s="263"/>
      <c r="IQ144" s="263"/>
      <c r="IR144" s="263"/>
      <c r="IS144" s="263"/>
      <c r="IT144" s="263"/>
      <c r="IU144" s="263"/>
    </row>
    <row r="145" spans="1:255" ht="15.6">
      <c r="A145" s="263"/>
      <c r="B145" s="263"/>
      <c r="C145" s="263"/>
      <c r="D145" s="263"/>
      <c r="E145" s="263"/>
      <c r="F145" s="263"/>
      <c r="G145" s="263"/>
      <c r="H145" s="263"/>
      <c r="I145" s="263"/>
      <c r="J145" s="263"/>
      <c r="K145" s="263"/>
      <c r="L145" s="263"/>
      <c r="M145" s="263"/>
      <c r="N145" s="263"/>
      <c r="O145" s="263"/>
      <c r="P145" s="263"/>
      <c r="Q145" s="263"/>
      <c r="R145" s="263"/>
      <c r="S145" s="263"/>
      <c r="T145" s="263"/>
      <c r="U145" s="263"/>
      <c r="V145" s="263"/>
      <c r="W145" s="263"/>
      <c r="X145" s="263"/>
      <c r="Y145" s="263"/>
      <c r="Z145" s="263"/>
      <c r="AA145" s="263"/>
      <c r="AB145" s="263"/>
      <c r="AC145" s="263"/>
      <c r="AD145" s="263"/>
      <c r="AE145" s="263"/>
      <c r="AF145" s="263"/>
      <c r="AG145" s="263"/>
      <c r="AH145" s="263"/>
      <c r="AI145" s="263"/>
      <c r="AJ145" s="263"/>
      <c r="AK145" s="263"/>
      <c r="AL145" s="263"/>
      <c r="AM145" s="263"/>
      <c r="AN145" s="263"/>
      <c r="AO145" s="263"/>
      <c r="AP145" s="263"/>
      <c r="AQ145" s="263"/>
      <c r="AR145" s="263"/>
      <c r="AS145" s="263"/>
      <c r="AT145" s="263"/>
      <c r="AU145" s="263"/>
      <c r="AV145" s="263"/>
      <c r="AW145" s="263"/>
      <c r="AX145" s="263"/>
      <c r="AY145" s="263"/>
      <c r="AZ145" s="263"/>
      <c r="BA145" s="263"/>
      <c r="BB145" s="263"/>
      <c r="BC145" s="263"/>
      <c r="BD145" s="263"/>
      <c r="BE145" s="263"/>
      <c r="BF145" s="263"/>
      <c r="BG145" s="263"/>
      <c r="BH145" s="263"/>
      <c r="BI145" s="263"/>
      <c r="BJ145" s="263"/>
      <c r="BK145" s="263"/>
      <c r="BL145" s="263"/>
      <c r="BM145" s="263"/>
      <c r="BN145" s="263"/>
      <c r="BO145" s="263"/>
      <c r="BP145" s="263"/>
      <c r="BQ145" s="263"/>
      <c r="BR145" s="263"/>
      <c r="BS145" s="263"/>
      <c r="BT145" s="263"/>
      <c r="BU145" s="263"/>
      <c r="BV145" s="263"/>
      <c r="BW145" s="263"/>
      <c r="BX145" s="263"/>
      <c r="BY145" s="263"/>
      <c r="BZ145" s="263"/>
      <c r="CA145" s="263"/>
      <c r="CB145" s="263"/>
      <c r="CC145" s="263"/>
      <c r="CD145" s="263"/>
      <c r="CE145" s="263"/>
      <c r="CF145" s="263"/>
      <c r="CG145" s="263"/>
      <c r="CH145" s="263"/>
      <c r="CI145" s="263"/>
      <c r="CJ145" s="263"/>
      <c r="CK145" s="263"/>
      <c r="CL145" s="263"/>
      <c r="CM145" s="263"/>
      <c r="CN145" s="263"/>
      <c r="CO145" s="263"/>
      <c r="CP145" s="263"/>
      <c r="CQ145" s="263"/>
      <c r="CR145" s="263"/>
      <c r="CS145" s="263"/>
      <c r="CT145" s="263"/>
      <c r="CU145" s="263"/>
      <c r="CV145" s="263"/>
      <c r="CW145" s="263"/>
      <c r="CX145" s="263"/>
      <c r="CY145" s="263"/>
      <c r="CZ145" s="263"/>
      <c r="DA145" s="263"/>
      <c r="DB145" s="263"/>
      <c r="DC145" s="263"/>
      <c r="DD145" s="263"/>
      <c r="DE145" s="263"/>
      <c r="DF145" s="263"/>
      <c r="DG145" s="263"/>
      <c r="DH145" s="263"/>
      <c r="DI145" s="263"/>
      <c r="DJ145" s="263"/>
      <c r="DK145" s="263"/>
      <c r="DL145" s="263"/>
      <c r="DM145" s="263"/>
      <c r="DN145" s="263"/>
      <c r="DO145" s="263"/>
      <c r="DP145" s="263"/>
      <c r="DQ145" s="263"/>
      <c r="DR145" s="263"/>
      <c r="DS145" s="263"/>
      <c r="DT145" s="263"/>
      <c r="DU145" s="263"/>
      <c r="DV145" s="263"/>
      <c r="DW145" s="263"/>
      <c r="DX145" s="263"/>
      <c r="DY145" s="263"/>
      <c r="DZ145" s="263"/>
      <c r="EA145" s="263"/>
      <c r="EB145" s="263"/>
      <c r="EC145" s="263"/>
      <c r="ED145" s="263"/>
      <c r="EE145" s="263"/>
      <c r="EF145" s="263"/>
      <c r="EG145" s="263"/>
      <c r="EH145" s="263"/>
      <c r="EI145" s="263"/>
      <c r="EJ145" s="263"/>
      <c r="EK145" s="263"/>
      <c r="EL145" s="263"/>
      <c r="EM145" s="263"/>
      <c r="EN145" s="263"/>
      <c r="EO145" s="263"/>
      <c r="EP145" s="263"/>
      <c r="EQ145" s="263"/>
      <c r="ER145" s="263"/>
      <c r="ES145" s="263"/>
      <c r="ET145" s="263"/>
      <c r="EU145" s="263"/>
      <c r="EV145" s="263"/>
      <c r="EW145" s="263"/>
      <c r="EX145" s="263"/>
      <c r="EY145" s="263"/>
      <c r="EZ145" s="263"/>
      <c r="FA145" s="263"/>
      <c r="FB145" s="263"/>
      <c r="FC145" s="263"/>
      <c r="FD145" s="263"/>
      <c r="FE145" s="263"/>
      <c r="FF145" s="263"/>
      <c r="FG145" s="263"/>
      <c r="FH145" s="263"/>
      <c r="FI145" s="263"/>
      <c r="FJ145" s="263"/>
      <c r="FK145" s="263"/>
      <c r="FL145" s="263"/>
      <c r="FM145" s="263"/>
      <c r="FN145" s="263"/>
      <c r="FO145" s="263"/>
      <c r="FP145" s="263"/>
      <c r="FQ145" s="263"/>
      <c r="FR145" s="263"/>
      <c r="FS145" s="263"/>
      <c r="FT145" s="263"/>
      <c r="FU145" s="263"/>
      <c r="FV145" s="263"/>
      <c r="FW145" s="263"/>
      <c r="FX145" s="263"/>
      <c r="FY145" s="263"/>
      <c r="FZ145" s="263"/>
      <c r="GA145" s="263"/>
      <c r="GB145" s="263"/>
      <c r="GC145" s="263"/>
      <c r="GD145" s="263"/>
      <c r="GE145" s="263"/>
      <c r="GF145" s="263"/>
      <c r="GG145" s="263"/>
      <c r="GH145" s="263"/>
      <c r="GI145" s="263"/>
      <c r="GJ145" s="263"/>
      <c r="GK145" s="263"/>
      <c r="GL145" s="263"/>
      <c r="GM145" s="263"/>
      <c r="GN145" s="263"/>
      <c r="GO145" s="263"/>
      <c r="GP145" s="263"/>
      <c r="GQ145" s="263"/>
      <c r="GR145" s="263"/>
      <c r="GS145" s="263"/>
      <c r="GT145" s="263"/>
      <c r="GU145" s="263"/>
      <c r="GV145" s="263"/>
      <c r="GW145" s="263"/>
      <c r="GX145" s="263"/>
      <c r="GY145" s="263"/>
      <c r="GZ145" s="263"/>
      <c r="HA145" s="263"/>
      <c r="HB145" s="263"/>
      <c r="HC145" s="263"/>
      <c r="HD145" s="263"/>
      <c r="HE145" s="263"/>
      <c r="HF145" s="263"/>
      <c r="HG145" s="263"/>
      <c r="HH145" s="263"/>
      <c r="HI145" s="263"/>
      <c r="HJ145" s="263"/>
      <c r="HK145" s="263"/>
      <c r="HL145" s="263"/>
      <c r="HM145" s="263"/>
      <c r="HN145" s="263"/>
      <c r="HO145" s="263"/>
      <c r="HP145" s="263"/>
      <c r="HQ145" s="263"/>
      <c r="HR145" s="263"/>
      <c r="HS145" s="263"/>
      <c r="HT145" s="263"/>
      <c r="HU145" s="263"/>
      <c r="HV145" s="263"/>
      <c r="HW145" s="263"/>
      <c r="HX145" s="263"/>
      <c r="HY145" s="263"/>
      <c r="HZ145" s="263"/>
      <c r="IA145" s="263"/>
      <c r="IB145" s="263"/>
      <c r="IC145" s="263"/>
      <c r="ID145" s="263"/>
      <c r="IE145" s="263"/>
      <c r="IF145" s="263"/>
      <c r="IG145" s="263"/>
      <c r="IH145" s="263"/>
      <c r="II145" s="263"/>
      <c r="IJ145" s="263"/>
      <c r="IK145" s="263"/>
      <c r="IL145" s="263"/>
      <c r="IM145" s="263"/>
      <c r="IN145" s="263"/>
      <c r="IO145" s="263"/>
      <c r="IP145" s="263"/>
      <c r="IQ145" s="263"/>
      <c r="IR145" s="263"/>
      <c r="IS145" s="263"/>
      <c r="IT145" s="263"/>
      <c r="IU145" s="263"/>
    </row>
    <row r="146" spans="1:255" ht="15.6">
      <c r="A146" s="263"/>
      <c r="B146" s="263"/>
      <c r="C146" s="263"/>
      <c r="D146" s="263"/>
      <c r="E146" s="263"/>
      <c r="F146" s="263"/>
      <c r="G146" s="263"/>
      <c r="H146" s="263"/>
      <c r="I146" s="263"/>
      <c r="J146" s="263"/>
      <c r="K146" s="263"/>
      <c r="L146" s="263"/>
      <c r="M146" s="263"/>
      <c r="N146" s="263"/>
      <c r="O146" s="263"/>
      <c r="P146" s="263"/>
      <c r="Q146" s="263"/>
      <c r="R146" s="263"/>
      <c r="S146" s="263"/>
      <c r="T146" s="263"/>
      <c r="U146" s="263"/>
      <c r="V146" s="263"/>
      <c r="W146" s="263"/>
      <c r="X146" s="263"/>
      <c r="Y146" s="263"/>
      <c r="Z146" s="263"/>
      <c r="AA146" s="263"/>
      <c r="AB146" s="263"/>
      <c r="AC146" s="263"/>
      <c r="AD146" s="263"/>
      <c r="AE146" s="263"/>
      <c r="AF146" s="263"/>
      <c r="AG146" s="263"/>
      <c r="AH146" s="263"/>
      <c r="AI146" s="263"/>
      <c r="AJ146" s="263"/>
      <c r="AK146" s="263"/>
      <c r="AL146" s="263"/>
      <c r="AM146" s="263"/>
      <c r="AN146" s="263"/>
      <c r="AO146" s="263"/>
      <c r="AP146" s="263"/>
      <c r="AQ146" s="263"/>
      <c r="AR146" s="263"/>
      <c r="AS146" s="263"/>
      <c r="AT146" s="263"/>
      <c r="AU146" s="263"/>
      <c r="AV146" s="263"/>
      <c r="AW146" s="263"/>
      <c r="AX146" s="263"/>
      <c r="AY146" s="263"/>
      <c r="AZ146" s="263"/>
      <c r="BA146" s="263"/>
      <c r="BB146" s="263"/>
      <c r="BC146" s="263"/>
      <c r="BD146" s="263"/>
      <c r="BE146" s="263"/>
      <c r="BF146" s="263"/>
      <c r="BG146" s="263"/>
      <c r="BH146" s="263"/>
      <c r="BI146" s="263"/>
      <c r="BJ146" s="263"/>
      <c r="BK146" s="263"/>
      <c r="BL146" s="263"/>
      <c r="BM146" s="263"/>
      <c r="BN146" s="263"/>
      <c r="BO146" s="263"/>
      <c r="BP146" s="263"/>
      <c r="BQ146" s="263"/>
      <c r="BR146" s="263"/>
      <c r="BS146" s="263"/>
      <c r="BT146" s="263"/>
      <c r="BU146" s="263"/>
      <c r="BV146" s="263"/>
      <c r="BW146" s="263"/>
      <c r="BX146" s="263"/>
      <c r="BY146" s="263"/>
      <c r="BZ146" s="263"/>
      <c r="CA146" s="263"/>
      <c r="CB146" s="263"/>
      <c r="CC146" s="263"/>
      <c r="CD146" s="263"/>
      <c r="CE146" s="263"/>
      <c r="CF146" s="263"/>
      <c r="CG146" s="263"/>
      <c r="CH146" s="263"/>
      <c r="CI146" s="263"/>
      <c r="CJ146" s="263"/>
      <c r="CK146" s="263"/>
      <c r="CL146" s="263"/>
      <c r="CM146" s="263"/>
      <c r="CN146" s="263"/>
      <c r="CO146" s="263"/>
      <c r="CP146" s="263"/>
      <c r="CQ146" s="263"/>
      <c r="CR146" s="263"/>
      <c r="CS146" s="263"/>
      <c r="CT146" s="263"/>
      <c r="CU146" s="263"/>
      <c r="CV146" s="263"/>
      <c r="CW146" s="263"/>
      <c r="CX146" s="263"/>
      <c r="CY146" s="263"/>
      <c r="CZ146" s="263"/>
      <c r="DA146" s="263"/>
      <c r="DB146" s="263"/>
      <c r="DC146" s="263"/>
      <c r="DD146" s="263"/>
      <c r="DE146" s="263"/>
      <c r="DF146" s="263"/>
      <c r="DG146" s="263"/>
      <c r="DH146" s="263"/>
      <c r="DI146" s="263"/>
      <c r="DJ146" s="263"/>
      <c r="DK146" s="263"/>
      <c r="DL146" s="263"/>
      <c r="DM146" s="263"/>
      <c r="DN146" s="263"/>
      <c r="DO146" s="263"/>
      <c r="DP146" s="263"/>
      <c r="DQ146" s="263"/>
      <c r="DR146" s="263"/>
      <c r="DS146" s="263"/>
      <c r="DT146" s="263"/>
      <c r="DU146" s="263"/>
      <c r="DV146" s="263"/>
      <c r="DW146" s="263"/>
      <c r="DX146" s="263"/>
      <c r="DY146" s="263"/>
      <c r="DZ146" s="263"/>
      <c r="EA146" s="263"/>
      <c r="EB146" s="263"/>
      <c r="EC146" s="263"/>
      <c r="ED146" s="263"/>
      <c r="EE146" s="263"/>
      <c r="EF146" s="263"/>
      <c r="EG146" s="263"/>
      <c r="EH146" s="263"/>
      <c r="EI146" s="263"/>
      <c r="EJ146" s="263"/>
      <c r="EK146" s="263"/>
      <c r="EL146" s="263"/>
      <c r="EM146" s="263"/>
      <c r="EN146" s="263"/>
      <c r="EO146" s="263"/>
      <c r="EP146" s="263"/>
      <c r="EQ146" s="263"/>
      <c r="ER146" s="263"/>
      <c r="ES146" s="263"/>
      <c r="ET146" s="263"/>
      <c r="EU146" s="263"/>
      <c r="EV146" s="263"/>
      <c r="EW146" s="263"/>
      <c r="EX146" s="263"/>
      <c r="EY146" s="263"/>
      <c r="EZ146" s="263"/>
      <c r="FA146" s="263"/>
      <c r="FB146" s="263"/>
      <c r="FC146" s="263"/>
      <c r="FD146" s="263"/>
      <c r="FE146" s="263"/>
      <c r="FF146" s="263"/>
      <c r="FG146" s="263"/>
      <c r="FH146" s="263"/>
      <c r="FI146" s="263"/>
      <c r="FJ146" s="263"/>
      <c r="FK146" s="263"/>
      <c r="FL146" s="263"/>
      <c r="FM146" s="263"/>
      <c r="FN146" s="263"/>
      <c r="FO146" s="263"/>
      <c r="FP146" s="263"/>
      <c r="FQ146" s="263"/>
      <c r="FR146" s="263"/>
      <c r="FS146" s="263"/>
      <c r="FT146" s="263"/>
      <c r="FU146" s="263"/>
      <c r="FV146" s="263"/>
      <c r="FW146" s="263"/>
      <c r="FX146" s="263"/>
      <c r="FY146" s="263"/>
      <c r="FZ146" s="263"/>
      <c r="GA146" s="263"/>
      <c r="GB146" s="263"/>
      <c r="GC146" s="263"/>
      <c r="GD146" s="263"/>
      <c r="GE146" s="263"/>
      <c r="GF146" s="263"/>
      <c r="GG146" s="263"/>
      <c r="GH146" s="263"/>
      <c r="GI146" s="263"/>
      <c r="GJ146" s="263"/>
      <c r="GK146" s="263"/>
      <c r="GL146" s="263"/>
      <c r="GM146" s="263"/>
      <c r="GN146" s="263"/>
      <c r="GO146" s="263"/>
      <c r="GP146" s="263"/>
      <c r="GQ146" s="263"/>
      <c r="GR146" s="263"/>
      <c r="GS146" s="263"/>
      <c r="GT146" s="263"/>
      <c r="GU146" s="263"/>
      <c r="GV146" s="263"/>
      <c r="GW146" s="263"/>
      <c r="GX146" s="263"/>
      <c r="GY146" s="263"/>
      <c r="GZ146" s="263"/>
      <c r="HA146" s="263"/>
      <c r="HB146" s="263"/>
      <c r="HC146" s="263"/>
      <c r="HD146" s="263"/>
      <c r="HE146" s="263"/>
      <c r="HF146" s="263"/>
      <c r="HG146" s="263"/>
      <c r="HH146" s="263"/>
      <c r="HI146" s="263"/>
      <c r="HJ146" s="263"/>
      <c r="HK146" s="263"/>
      <c r="HL146" s="263"/>
      <c r="HM146" s="263"/>
      <c r="HN146" s="263"/>
      <c r="HO146" s="263"/>
      <c r="HP146" s="263"/>
      <c r="HQ146" s="263"/>
      <c r="HR146" s="263"/>
      <c r="HS146" s="263"/>
      <c r="HT146" s="263"/>
      <c r="HU146" s="263"/>
      <c r="HV146" s="263"/>
      <c r="HW146" s="263"/>
      <c r="HX146" s="263"/>
      <c r="HY146" s="263"/>
      <c r="HZ146" s="263"/>
      <c r="IA146" s="263"/>
      <c r="IB146" s="263"/>
      <c r="IC146" s="263"/>
      <c r="ID146" s="263"/>
      <c r="IE146" s="263"/>
      <c r="IF146" s="263"/>
      <c r="IG146" s="263"/>
      <c r="IH146" s="263"/>
      <c r="II146" s="263"/>
      <c r="IJ146" s="263"/>
      <c r="IK146" s="263"/>
      <c r="IL146" s="263"/>
      <c r="IM146" s="263"/>
      <c r="IN146" s="263"/>
      <c r="IO146" s="263"/>
      <c r="IP146" s="263"/>
      <c r="IQ146" s="263"/>
      <c r="IR146" s="263"/>
      <c r="IS146" s="263"/>
      <c r="IT146" s="263"/>
      <c r="IU146" s="263"/>
    </row>
    <row r="147" spans="1:255" ht="15.6">
      <c r="A147" s="263"/>
      <c r="B147" s="263"/>
      <c r="C147" s="263"/>
      <c r="D147" s="263"/>
      <c r="E147" s="263"/>
      <c r="F147" s="263"/>
      <c r="G147" s="263"/>
      <c r="H147" s="263"/>
      <c r="I147" s="263"/>
      <c r="J147" s="263"/>
      <c r="K147" s="263"/>
      <c r="L147" s="263"/>
      <c r="M147" s="263"/>
      <c r="N147" s="263"/>
      <c r="O147" s="263"/>
      <c r="P147" s="263"/>
      <c r="Q147" s="263"/>
      <c r="R147" s="263"/>
      <c r="S147" s="263"/>
      <c r="T147" s="263"/>
      <c r="U147" s="263"/>
      <c r="V147" s="263"/>
      <c r="W147" s="263"/>
      <c r="X147" s="263"/>
      <c r="Y147" s="263"/>
      <c r="Z147" s="263"/>
      <c r="AA147" s="263"/>
      <c r="AB147" s="263"/>
      <c r="AC147" s="263"/>
      <c r="AD147" s="263"/>
      <c r="AE147" s="263"/>
      <c r="AF147" s="263"/>
      <c r="AG147" s="263"/>
      <c r="AH147" s="263"/>
      <c r="AI147" s="263"/>
      <c r="AJ147" s="263"/>
      <c r="AK147" s="263"/>
      <c r="AL147" s="263"/>
      <c r="AM147" s="263"/>
      <c r="AN147" s="263"/>
      <c r="AO147" s="263"/>
      <c r="AP147" s="263"/>
      <c r="AQ147" s="263"/>
      <c r="AR147" s="263"/>
      <c r="AS147" s="263"/>
      <c r="AT147" s="263"/>
      <c r="AU147" s="263"/>
      <c r="AV147" s="263"/>
      <c r="AW147" s="263"/>
      <c r="AX147" s="263"/>
      <c r="AY147" s="263"/>
      <c r="AZ147" s="263"/>
      <c r="BA147" s="263"/>
      <c r="BB147" s="263"/>
      <c r="BC147" s="263"/>
      <c r="BD147" s="263"/>
      <c r="BE147" s="263"/>
      <c r="BF147" s="263"/>
      <c r="BG147" s="263"/>
      <c r="BH147" s="263"/>
      <c r="BI147" s="263"/>
      <c r="BJ147" s="263"/>
      <c r="BK147" s="263"/>
      <c r="BL147" s="263"/>
      <c r="BM147" s="263"/>
      <c r="BN147" s="263"/>
      <c r="BO147" s="263"/>
      <c r="BP147" s="263"/>
      <c r="BQ147" s="263"/>
      <c r="BR147" s="263"/>
      <c r="BS147" s="263"/>
      <c r="BT147" s="263"/>
      <c r="BU147" s="263"/>
      <c r="BV147" s="263"/>
      <c r="BW147" s="263"/>
      <c r="BX147" s="263"/>
      <c r="BY147" s="263"/>
      <c r="BZ147" s="263"/>
      <c r="CA147" s="263"/>
      <c r="CB147" s="263"/>
      <c r="CC147" s="263"/>
      <c r="CD147" s="263"/>
      <c r="CE147" s="263"/>
      <c r="CF147" s="263"/>
      <c r="CG147" s="263"/>
      <c r="CH147" s="263"/>
      <c r="CI147" s="263"/>
      <c r="CJ147" s="263"/>
      <c r="CK147" s="263"/>
      <c r="CL147" s="263"/>
      <c r="CM147" s="263"/>
      <c r="CN147" s="263"/>
      <c r="CO147" s="263"/>
      <c r="CP147" s="263"/>
      <c r="CQ147" s="263"/>
      <c r="CR147" s="263"/>
      <c r="CS147" s="263"/>
      <c r="CT147" s="263"/>
      <c r="CU147" s="263"/>
      <c r="CV147" s="263"/>
      <c r="CW147" s="263"/>
      <c r="CX147" s="263"/>
      <c r="CY147" s="263"/>
      <c r="CZ147" s="263"/>
      <c r="DA147" s="263"/>
      <c r="DB147" s="263"/>
      <c r="DC147" s="263"/>
      <c r="DD147" s="263"/>
      <c r="DE147" s="263"/>
      <c r="DF147" s="263"/>
      <c r="DG147" s="263"/>
      <c r="DH147" s="263"/>
      <c r="DI147" s="263"/>
      <c r="DJ147" s="263"/>
      <c r="DK147" s="263"/>
      <c r="DL147" s="263"/>
      <c r="DM147" s="263"/>
      <c r="DN147" s="263"/>
      <c r="DO147" s="263"/>
      <c r="DP147" s="263"/>
      <c r="DQ147" s="263"/>
      <c r="DR147" s="263"/>
      <c r="DS147" s="263"/>
      <c r="DT147" s="263"/>
      <c r="DU147" s="263"/>
      <c r="DV147" s="263"/>
      <c r="DW147" s="263"/>
      <c r="DX147" s="263"/>
      <c r="DY147" s="263"/>
      <c r="DZ147" s="263"/>
      <c r="EA147" s="263"/>
      <c r="EB147" s="263"/>
      <c r="EC147" s="263"/>
      <c r="ED147" s="263"/>
      <c r="EE147" s="263"/>
      <c r="EF147" s="263"/>
      <c r="EG147" s="263"/>
      <c r="EH147" s="263"/>
      <c r="EI147" s="263"/>
      <c r="EJ147" s="263"/>
      <c r="EK147" s="263"/>
      <c r="EL147" s="263"/>
      <c r="EM147" s="263"/>
      <c r="EN147" s="263"/>
      <c r="EO147" s="263"/>
      <c r="EP147" s="263"/>
      <c r="EQ147" s="263"/>
      <c r="ER147" s="263"/>
      <c r="ES147" s="263"/>
      <c r="ET147" s="263"/>
      <c r="EU147" s="263"/>
      <c r="EV147" s="263"/>
      <c r="EW147" s="263"/>
      <c r="EX147" s="263"/>
      <c r="EY147" s="263"/>
      <c r="EZ147" s="263"/>
      <c r="FA147" s="263"/>
      <c r="FB147" s="263"/>
      <c r="FC147" s="263"/>
      <c r="FD147" s="263"/>
      <c r="FE147" s="263"/>
      <c r="FF147" s="263"/>
      <c r="FG147" s="263"/>
      <c r="FH147" s="263"/>
      <c r="FI147" s="263"/>
      <c r="FJ147" s="263"/>
      <c r="FK147" s="263"/>
      <c r="FL147" s="263"/>
      <c r="FM147" s="263"/>
      <c r="FN147" s="263"/>
      <c r="FO147" s="263"/>
      <c r="FP147" s="263"/>
      <c r="FQ147" s="263"/>
      <c r="FR147" s="263"/>
      <c r="FS147" s="263"/>
      <c r="FT147" s="263"/>
      <c r="FU147" s="263"/>
      <c r="FV147" s="263"/>
      <c r="FW147" s="263"/>
      <c r="FX147" s="263"/>
      <c r="FY147" s="263"/>
      <c r="FZ147" s="263"/>
      <c r="GA147" s="263"/>
      <c r="GB147" s="263"/>
      <c r="GC147" s="263"/>
      <c r="GD147" s="263"/>
      <c r="GE147" s="263"/>
      <c r="GF147" s="263"/>
      <c r="GG147" s="263"/>
      <c r="GH147" s="263"/>
      <c r="GI147" s="263"/>
      <c r="GJ147" s="263"/>
      <c r="GK147" s="263"/>
      <c r="GL147" s="263"/>
      <c r="GM147" s="263"/>
      <c r="GN147" s="263"/>
      <c r="GO147" s="263"/>
      <c r="GP147" s="263"/>
      <c r="GQ147" s="263"/>
      <c r="GR147" s="263"/>
      <c r="GS147" s="263"/>
      <c r="GT147" s="263"/>
      <c r="GU147" s="263"/>
      <c r="GV147" s="263"/>
      <c r="GW147" s="263"/>
      <c r="GX147" s="263"/>
      <c r="GY147" s="263"/>
      <c r="GZ147" s="263"/>
      <c r="HA147" s="263"/>
      <c r="HB147" s="263"/>
      <c r="HC147" s="263"/>
      <c r="HD147" s="263"/>
      <c r="HE147" s="263"/>
      <c r="HF147" s="263"/>
      <c r="HG147" s="263"/>
      <c r="HH147" s="263"/>
      <c r="HI147" s="263"/>
      <c r="HJ147" s="263"/>
      <c r="HK147" s="263"/>
      <c r="HL147" s="263"/>
      <c r="HM147" s="263"/>
      <c r="HN147" s="263"/>
      <c r="HO147" s="263"/>
      <c r="HP147" s="263"/>
      <c r="HQ147" s="263"/>
      <c r="HR147" s="263"/>
      <c r="HS147" s="263"/>
      <c r="HT147" s="263"/>
      <c r="HU147" s="263"/>
      <c r="HV147" s="263"/>
      <c r="HW147" s="263"/>
      <c r="HX147" s="263"/>
      <c r="HY147" s="263"/>
      <c r="HZ147" s="263"/>
      <c r="IA147" s="263"/>
      <c r="IB147" s="263"/>
      <c r="IC147" s="263"/>
      <c r="ID147" s="263"/>
      <c r="IE147" s="263"/>
      <c r="IF147" s="263"/>
      <c r="IG147" s="263"/>
      <c r="IH147" s="263"/>
      <c r="II147" s="263"/>
      <c r="IJ147" s="263"/>
      <c r="IK147" s="263"/>
      <c r="IL147" s="263"/>
      <c r="IM147" s="263"/>
      <c r="IN147" s="263"/>
      <c r="IO147" s="263"/>
      <c r="IP147" s="263"/>
      <c r="IQ147" s="263"/>
      <c r="IR147" s="263"/>
      <c r="IS147" s="263"/>
      <c r="IT147" s="263"/>
      <c r="IU147" s="263"/>
    </row>
    <row r="148" spans="1:255" ht="15.6">
      <c r="A148" s="263"/>
      <c r="B148" s="263"/>
      <c r="C148" s="263"/>
      <c r="D148" s="263"/>
      <c r="E148" s="263"/>
      <c r="F148" s="263"/>
      <c r="G148" s="263"/>
      <c r="H148" s="263"/>
      <c r="I148" s="263"/>
      <c r="J148" s="263"/>
      <c r="K148" s="263"/>
      <c r="L148" s="263"/>
      <c r="M148" s="263"/>
      <c r="N148" s="263"/>
      <c r="O148" s="263"/>
      <c r="P148" s="263"/>
      <c r="Q148" s="263"/>
      <c r="R148" s="263"/>
      <c r="S148" s="263"/>
      <c r="T148" s="263"/>
      <c r="U148" s="263"/>
      <c r="V148" s="263"/>
      <c r="W148" s="263"/>
      <c r="X148" s="263"/>
      <c r="Y148" s="263"/>
      <c r="Z148" s="263"/>
      <c r="AA148" s="263"/>
      <c r="AB148" s="263"/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  <c r="AO148" s="263"/>
      <c r="AP148" s="263"/>
      <c r="AQ148" s="263"/>
      <c r="AR148" s="263"/>
      <c r="AS148" s="263"/>
      <c r="AT148" s="263"/>
      <c r="AU148" s="263"/>
      <c r="AV148" s="263"/>
      <c r="AW148" s="263"/>
      <c r="AX148" s="263"/>
      <c r="AY148" s="263"/>
      <c r="AZ148" s="263"/>
      <c r="BA148" s="263"/>
      <c r="BB148" s="263"/>
      <c r="BC148" s="263"/>
      <c r="BD148" s="263"/>
      <c r="BE148" s="263"/>
      <c r="BF148" s="263"/>
      <c r="BG148" s="263"/>
      <c r="BH148" s="263"/>
      <c r="BI148" s="263"/>
      <c r="BJ148" s="263"/>
      <c r="BK148" s="263"/>
      <c r="BL148" s="263"/>
      <c r="BM148" s="263"/>
      <c r="BN148" s="263"/>
      <c r="BO148" s="263"/>
      <c r="BP148" s="263"/>
      <c r="BQ148" s="263"/>
      <c r="BR148" s="263"/>
      <c r="BS148" s="263"/>
      <c r="BT148" s="263"/>
      <c r="BU148" s="263"/>
      <c r="BV148" s="263"/>
      <c r="BW148" s="263"/>
      <c r="BX148" s="263"/>
      <c r="BY148" s="263"/>
      <c r="BZ148" s="263"/>
      <c r="CA148" s="263"/>
      <c r="CB148" s="263"/>
      <c r="CC148" s="263"/>
      <c r="CD148" s="263"/>
      <c r="CE148" s="263"/>
      <c r="CF148" s="263"/>
      <c r="CG148" s="263"/>
      <c r="CH148" s="263"/>
      <c r="CI148" s="263"/>
      <c r="CJ148" s="263"/>
      <c r="CK148" s="263"/>
      <c r="CL148" s="263"/>
      <c r="CM148" s="263"/>
      <c r="CN148" s="263"/>
      <c r="CO148" s="263"/>
      <c r="CP148" s="263"/>
      <c r="CQ148" s="263"/>
      <c r="CR148" s="263"/>
      <c r="CS148" s="263"/>
      <c r="CT148" s="263"/>
      <c r="CU148" s="263"/>
      <c r="CV148" s="263"/>
      <c r="CW148" s="263"/>
      <c r="CX148" s="263"/>
      <c r="CY148" s="263"/>
      <c r="CZ148" s="263"/>
      <c r="DA148" s="263"/>
      <c r="DB148" s="263"/>
      <c r="DC148" s="263"/>
      <c r="DD148" s="263"/>
      <c r="DE148" s="263"/>
      <c r="DF148" s="263"/>
      <c r="DG148" s="263"/>
      <c r="DH148" s="263"/>
      <c r="DI148" s="263"/>
      <c r="DJ148" s="263"/>
      <c r="DK148" s="263"/>
      <c r="DL148" s="263"/>
      <c r="DM148" s="263"/>
      <c r="DN148" s="263"/>
      <c r="DO148" s="263"/>
      <c r="DP148" s="263"/>
      <c r="DQ148" s="263"/>
      <c r="DR148" s="263"/>
      <c r="DS148" s="263"/>
      <c r="DT148" s="263"/>
      <c r="DU148" s="263"/>
      <c r="DV148" s="263"/>
      <c r="DW148" s="263"/>
      <c r="DX148" s="263"/>
      <c r="DY148" s="263"/>
      <c r="DZ148" s="263"/>
      <c r="EA148" s="263"/>
      <c r="EB148" s="263"/>
      <c r="EC148" s="263"/>
      <c r="ED148" s="263"/>
      <c r="EE148" s="263"/>
      <c r="EF148" s="263"/>
      <c r="EG148" s="263"/>
      <c r="EH148" s="263"/>
      <c r="EI148" s="263"/>
      <c r="EJ148" s="263"/>
      <c r="EK148" s="263"/>
      <c r="EL148" s="263"/>
      <c r="EM148" s="263"/>
      <c r="EN148" s="263"/>
      <c r="EO148" s="263"/>
      <c r="EP148" s="263"/>
      <c r="EQ148" s="263"/>
      <c r="ER148" s="263"/>
      <c r="ES148" s="263"/>
      <c r="ET148" s="263"/>
      <c r="EU148" s="263"/>
      <c r="EV148" s="263"/>
      <c r="EW148" s="263"/>
      <c r="EX148" s="263"/>
      <c r="EY148" s="263"/>
      <c r="EZ148" s="263"/>
      <c r="FA148" s="263"/>
      <c r="FB148" s="263"/>
      <c r="FC148" s="263"/>
      <c r="FD148" s="263"/>
      <c r="FE148" s="263"/>
      <c r="FF148" s="263"/>
      <c r="FG148" s="263"/>
      <c r="FH148" s="263"/>
      <c r="FI148" s="263"/>
      <c r="FJ148" s="263"/>
      <c r="FK148" s="263"/>
      <c r="FL148" s="263"/>
      <c r="FM148" s="263"/>
      <c r="FN148" s="263"/>
      <c r="FO148" s="263"/>
      <c r="FP148" s="263"/>
      <c r="FQ148" s="263"/>
      <c r="FR148" s="263"/>
      <c r="FS148" s="263"/>
      <c r="FT148" s="263"/>
      <c r="FU148" s="263"/>
      <c r="FV148" s="263"/>
      <c r="FW148" s="263"/>
      <c r="FX148" s="263"/>
      <c r="FY148" s="263"/>
      <c r="FZ148" s="263"/>
      <c r="GA148" s="263"/>
      <c r="GB148" s="263"/>
      <c r="GC148" s="263"/>
      <c r="GD148" s="263"/>
      <c r="GE148" s="263"/>
      <c r="GF148" s="263"/>
      <c r="GG148" s="263"/>
      <c r="GH148" s="263"/>
      <c r="GI148" s="263"/>
      <c r="GJ148" s="263"/>
      <c r="GK148" s="263"/>
      <c r="GL148" s="263"/>
      <c r="GM148" s="263"/>
      <c r="GN148" s="263"/>
      <c r="GO148" s="263"/>
      <c r="GP148" s="263"/>
      <c r="GQ148" s="263"/>
      <c r="GR148" s="263"/>
      <c r="GS148" s="263"/>
      <c r="GT148" s="263"/>
      <c r="GU148" s="263"/>
      <c r="GV148" s="263"/>
      <c r="GW148" s="263"/>
      <c r="GX148" s="263"/>
      <c r="GY148" s="263"/>
      <c r="GZ148" s="263"/>
      <c r="HA148" s="263"/>
      <c r="HB148" s="263"/>
      <c r="HC148" s="263"/>
      <c r="HD148" s="263"/>
      <c r="HE148" s="263"/>
      <c r="HF148" s="263"/>
      <c r="HG148" s="263"/>
      <c r="HH148" s="263"/>
      <c r="HI148" s="263"/>
      <c r="HJ148" s="263"/>
      <c r="HK148" s="263"/>
      <c r="HL148" s="263"/>
      <c r="HM148" s="263"/>
      <c r="HN148" s="263"/>
      <c r="HO148" s="263"/>
      <c r="HP148" s="263"/>
      <c r="HQ148" s="263"/>
      <c r="HR148" s="263"/>
      <c r="HS148" s="263"/>
      <c r="HT148" s="263"/>
      <c r="HU148" s="263"/>
      <c r="HV148" s="263"/>
      <c r="HW148" s="263"/>
      <c r="HX148" s="263"/>
      <c r="HY148" s="263"/>
      <c r="HZ148" s="263"/>
      <c r="IA148" s="263"/>
      <c r="IB148" s="263"/>
      <c r="IC148" s="263"/>
      <c r="ID148" s="263"/>
      <c r="IE148" s="263"/>
      <c r="IF148" s="263"/>
      <c r="IG148" s="263"/>
      <c r="IH148" s="263"/>
      <c r="II148" s="263"/>
      <c r="IJ148" s="263"/>
      <c r="IK148" s="263"/>
      <c r="IL148" s="263"/>
      <c r="IM148" s="263"/>
      <c r="IN148" s="263"/>
      <c r="IO148" s="263"/>
      <c r="IP148" s="263"/>
      <c r="IQ148" s="263"/>
      <c r="IR148" s="263"/>
      <c r="IS148" s="263"/>
      <c r="IT148" s="263"/>
      <c r="IU148" s="263"/>
    </row>
    <row r="149" spans="1:255" ht="15.6">
      <c r="A149" s="263"/>
      <c r="B149" s="263"/>
      <c r="C149" s="263"/>
      <c r="D149" s="263"/>
      <c r="E149" s="263"/>
      <c r="F149" s="263"/>
      <c r="G149" s="263"/>
      <c r="H149" s="263"/>
      <c r="I149" s="263"/>
      <c r="J149" s="263"/>
      <c r="K149" s="263"/>
      <c r="L149" s="263"/>
      <c r="M149" s="263"/>
      <c r="N149" s="263"/>
      <c r="O149" s="263"/>
      <c r="P149" s="263"/>
      <c r="Q149" s="263"/>
      <c r="R149" s="263"/>
      <c r="S149" s="263"/>
      <c r="T149" s="263"/>
      <c r="U149" s="263"/>
      <c r="V149" s="263"/>
      <c r="W149" s="263"/>
      <c r="X149" s="263"/>
      <c r="Y149" s="263"/>
      <c r="Z149" s="263"/>
      <c r="AA149" s="263"/>
      <c r="AB149" s="263"/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  <c r="AO149" s="263"/>
      <c r="AP149" s="263"/>
      <c r="AQ149" s="263"/>
      <c r="AR149" s="263"/>
      <c r="AS149" s="263"/>
      <c r="AT149" s="263"/>
      <c r="AU149" s="263"/>
      <c r="AV149" s="263"/>
      <c r="AW149" s="263"/>
      <c r="AX149" s="263"/>
      <c r="AY149" s="263"/>
      <c r="AZ149" s="263"/>
      <c r="BA149" s="263"/>
      <c r="BB149" s="263"/>
      <c r="BC149" s="263"/>
      <c r="BD149" s="263"/>
      <c r="BE149" s="263"/>
      <c r="BF149" s="263"/>
      <c r="BG149" s="263"/>
      <c r="BH149" s="263"/>
      <c r="BI149" s="263"/>
      <c r="BJ149" s="263"/>
      <c r="BK149" s="263"/>
      <c r="BL149" s="263"/>
      <c r="BM149" s="263"/>
      <c r="BN149" s="263"/>
      <c r="BO149" s="263"/>
      <c r="BP149" s="263"/>
      <c r="BQ149" s="263"/>
      <c r="BR149" s="263"/>
      <c r="BS149" s="263"/>
      <c r="BT149" s="263"/>
      <c r="BU149" s="263"/>
      <c r="BV149" s="263"/>
      <c r="BW149" s="263"/>
      <c r="BX149" s="263"/>
      <c r="BY149" s="263"/>
      <c r="BZ149" s="263"/>
      <c r="CA149" s="263"/>
      <c r="CB149" s="263"/>
      <c r="CC149" s="263"/>
      <c r="CD149" s="263"/>
      <c r="CE149" s="263"/>
      <c r="CF149" s="263"/>
      <c r="CG149" s="263"/>
      <c r="CH149" s="263"/>
      <c r="CI149" s="263"/>
      <c r="CJ149" s="263"/>
      <c r="CK149" s="263"/>
      <c r="CL149" s="263"/>
      <c r="CM149" s="263"/>
      <c r="CN149" s="263"/>
      <c r="CO149" s="263"/>
      <c r="CP149" s="263"/>
      <c r="CQ149" s="263"/>
      <c r="CR149" s="263"/>
      <c r="CS149" s="263"/>
      <c r="CT149" s="263"/>
      <c r="CU149" s="263"/>
      <c r="CV149" s="263"/>
      <c r="CW149" s="263"/>
      <c r="CX149" s="263"/>
      <c r="CY149" s="263"/>
      <c r="CZ149" s="263"/>
      <c r="DA149" s="263"/>
      <c r="DB149" s="263"/>
      <c r="DC149" s="263"/>
      <c r="DD149" s="263"/>
      <c r="DE149" s="263"/>
      <c r="DF149" s="263"/>
      <c r="DG149" s="263"/>
      <c r="DH149" s="263"/>
      <c r="DI149" s="263"/>
      <c r="DJ149" s="263"/>
      <c r="DK149" s="263"/>
      <c r="DL149" s="263"/>
      <c r="DM149" s="263"/>
      <c r="DN149" s="263"/>
      <c r="DO149" s="263"/>
      <c r="DP149" s="263"/>
      <c r="DQ149" s="263"/>
      <c r="DR149" s="263"/>
      <c r="DS149" s="263"/>
      <c r="DT149" s="263"/>
      <c r="DU149" s="263"/>
      <c r="DV149" s="263"/>
      <c r="DW149" s="263"/>
      <c r="DX149" s="263"/>
      <c r="DY149" s="263"/>
      <c r="DZ149" s="263"/>
      <c r="EA149" s="263"/>
      <c r="EB149" s="263"/>
      <c r="EC149" s="263"/>
      <c r="ED149" s="263"/>
      <c r="EE149" s="263"/>
      <c r="EF149" s="263"/>
      <c r="EG149" s="263"/>
      <c r="EH149" s="263"/>
      <c r="EI149" s="263"/>
      <c r="EJ149" s="263"/>
      <c r="EK149" s="263"/>
      <c r="EL149" s="263"/>
      <c r="EM149" s="263"/>
      <c r="EN149" s="263"/>
      <c r="EO149" s="263"/>
      <c r="EP149" s="263"/>
      <c r="EQ149" s="263"/>
      <c r="ER149" s="263"/>
      <c r="ES149" s="263"/>
      <c r="ET149" s="263"/>
      <c r="EU149" s="263"/>
      <c r="EV149" s="263"/>
      <c r="EW149" s="263"/>
      <c r="EX149" s="263"/>
      <c r="EY149" s="263"/>
      <c r="EZ149" s="263"/>
      <c r="FA149" s="263"/>
      <c r="FB149" s="263"/>
      <c r="FC149" s="263"/>
      <c r="FD149" s="263"/>
      <c r="FE149" s="263"/>
      <c r="FF149" s="263"/>
      <c r="FG149" s="263"/>
      <c r="FH149" s="263"/>
      <c r="FI149" s="263"/>
      <c r="FJ149" s="263"/>
      <c r="FK149" s="263"/>
      <c r="FL149" s="263"/>
      <c r="FM149" s="263"/>
      <c r="FN149" s="263"/>
      <c r="FO149" s="263"/>
      <c r="FP149" s="263"/>
      <c r="FQ149" s="263"/>
      <c r="FR149" s="263"/>
      <c r="FS149" s="263"/>
      <c r="FT149" s="263"/>
      <c r="FU149" s="263"/>
      <c r="FV149" s="263"/>
      <c r="FW149" s="263"/>
      <c r="FX149" s="263"/>
      <c r="FY149" s="263"/>
      <c r="FZ149" s="263"/>
      <c r="GA149" s="263"/>
      <c r="GB149" s="263"/>
      <c r="GC149" s="263"/>
      <c r="GD149" s="263"/>
      <c r="GE149" s="263"/>
      <c r="GF149" s="263"/>
      <c r="GG149" s="263"/>
      <c r="GH149" s="263"/>
      <c r="GI149" s="263"/>
      <c r="GJ149" s="263"/>
      <c r="GK149" s="263"/>
      <c r="GL149" s="263"/>
      <c r="GM149" s="263"/>
      <c r="GN149" s="263"/>
      <c r="GO149" s="263"/>
      <c r="GP149" s="263"/>
      <c r="GQ149" s="263"/>
      <c r="GR149" s="263"/>
      <c r="GS149" s="263"/>
      <c r="GT149" s="263"/>
      <c r="GU149" s="263"/>
      <c r="GV149" s="263"/>
      <c r="GW149" s="263"/>
      <c r="GX149" s="263"/>
      <c r="GY149" s="263"/>
      <c r="GZ149" s="263"/>
      <c r="HA149" s="263"/>
      <c r="HB149" s="263"/>
      <c r="HC149" s="263"/>
      <c r="HD149" s="263"/>
      <c r="HE149" s="263"/>
      <c r="HF149" s="263"/>
      <c r="HG149" s="263"/>
      <c r="HH149" s="263"/>
      <c r="HI149" s="263"/>
      <c r="HJ149" s="263"/>
      <c r="HK149" s="263"/>
      <c r="HL149" s="263"/>
      <c r="HM149" s="263"/>
      <c r="HN149" s="263"/>
      <c r="HO149" s="263"/>
      <c r="HP149" s="263"/>
      <c r="HQ149" s="263"/>
      <c r="HR149" s="263"/>
      <c r="HS149" s="263"/>
      <c r="HT149" s="263"/>
      <c r="HU149" s="263"/>
      <c r="HV149" s="263"/>
      <c r="HW149" s="263"/>
      <c r="HX149" s="263"/>
      <c r="HY149" s="263"/>
      <c r="HZ149" s="263"/>
      <c r="IA149" s="263"/>
      <c r="IB149" s="263"/>
      <c r="IC149" s="263"/>
      <c r="ID149" s="263"/>
      <c r="IE149" s="263"/>
      <c r="IF149" s="263"/>
      <c r="IG149" s="263"/>
      <c r="IH149" s="263"/>
      <c r="II149" s="263"/>
      <c r="IJ149" s="263"/>
      <c r="IK149" s="263"/>
      <c r="IL149" s="263"/>
      <c r="IM149" s="263"/>
      <c r="IN149" s="263"/>
      <c r="IO149" s="263"/>
      <c r="IP149" s="263"/>
      <c r="IQ149" s="263"/>
      <c r="IR149" s="263"/>
      <c r="IS149" s="263"/>
      <c r="IT149" s="263"/>
      <c r="IU149" s="263"/>
    </row>
    <row r="150" spans="1:255" ht="15.6">
      <c r="A150" s="263"/>
      <c r="B150" s="263"/>
      <c r="C150" s="263"/>
      <c r="D150" s="263"/>
      <c r="E150" s="263"/>
      <c r="F150" s="263"/>
      <c r="G150" s="263"/>
      <c r="H150" s="263"/>
      <c r="I150" s="263"/>
      <c r="J150" s="263"/>
      <c r="K150" s="263"/>
      <c r="L150" s="263"/>
      <c r="M150" s="263"/>
      <c r="N150" s="263"/>
      <c r="O150" s="263"/>
      <c r="P150" s="263"/>
      <c r="Q150" s="263"/>
      <c r="R150" s="263"/>
      <c r="S150" s="263"/>
      <c r="T150" s="263"/>
      <c r="U150" s="263"/>
      <c r="V150" s="263"/>
      <c r="W150" s="263"/>
      <c r="X150" s="263"/>
      <c r="Y150" s="263"/>
      <c r="Z150" s="263"/>
      <c r="AA150" s="263"/>
      <c r="AB150" s="263"/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  <c r="AO150" s="263"/>
      <c r="AP150" s="263"/>
      <c r="AQ150" s="263"/>
      <c r="AR150" s="263"/>
      <c r="AS150" s="263"/>
      <c r="AT150" s="263"/>
      <c r="AU150" s="263"/>
      <c r="AV150" s="263"/>
      <c r="AW150" s="263"/>
      <c r="AX150" s="263"/>
      <c r="AY150" s="263"/>
      <c r="AZ150" s="263"/>
      <c r="BA150" s="263"/>
      <c r="BB150" s="263"/>
      <c r="BC150" s="263"/>
      <c r="BD150" s="263"/>
      <c r="BE150" s="263"/>
      <c r="BF150" s="263"/>
      <c r="BG150" s="263"/>
      <c r="BH150" s="263"/>
      <c r="BI150" s="263"/>
      <c r="BJ150" s="263"/>
      <c r="BK150" s="263"/>
      <c r="BL150" s="263"/>
      <c r="BM150" s="263"/>
      <c r="BN150" s="263"/>
      <c r="BO150" s="263"/>
      <c r="BP150" s="263"/>
      <c r="BQ150" s="263"/>
      <c r="BR150" s="263"/>
      <c r="BS150" s="263"/>
      <c r="BT150" s="263"/>
      <c r="BU150" s="263"/>
      <c r="BV150" s="263"/>
      <c r="BW150" s="263"/>
      <c r="BX150" s="263"/>
      <c r="BY150" s="263"/>
      <c r="BZ150" s="263"/>
      <c r="CA150" s="263"/>
      <c r="CB150" s="263"/>
      <c r="CC150" s="263"/>
      <c r="CD150" s="263"/>
      <c r="CE150" s="263"/>
      <c r="CF150" s="263"/>
      <c r="CG150" s="263"/>
      <c r="CH150" s="263"/>
      <c r="CI150" s="263"/>
      <c r="CJ150" s="263"/>
      <c r="CK150" s="263"/>
      <c r="CL150" s="263"/>
      <c r="CM150" s="263"/>
      <c r="CN150" s="263"/>
      <c r="CO150" s="263"/>
      <c r="CP150" s="263"/>
      <c r="CQ150" s="263"/>
      <c r="CR150" s="263"/>
      <c r="CS150" s="263"/>
      <c r="CT150" s="263"/>
      <c r="CU150" s="263"/>
      <c r="CV150" s="263"/>
      <c r="CW150" s="263"/>
      <c r="CX150" s="263"/>
      <c r="CY150" s="263"/>
      <c r="CZ150" s="263"/>
      <c r="DA150" s="263"/>
      <c r="DB150" s="263"/>
      <c r="DC150" s="263"/>
      <c r="DD150" s="263"/>
      <c r="DE150" s="263"/>
      <c r="DF150" s="263"/>
      <c r="DG150" s="263"/>
      <c r="DH150" s="263"/>
      <c r="DI150" s="263"/>
      <c r="DJ150" s="263"/>
      <c r="DK150" s="263"/>
      <c r="DL150" s="263"/>
      <c r="DM150" s="263"/>
      <c r="DN150" s="263"/>
      <c r="DO150" s="263"/>
      <c r="DP150" s="263"/>
      <c r="DQ150" s="263"/>
      <c r="DR150" s="263"/>
      <c r="DS150" s="263"/>
      <c r="DT150" s="263"/>
      <c r="DU150" s="263"/>
      <c r="DV150" s="263"/>
      <c r="DW150" s="263"/>
      <c r="DX150" s="263"/>
      <c r="DY150" s="263"/>
      <c r="DZ150" s="263"/>
      <c r="EA150" s="263"/>
      <c r="EB150" s="263"/>
      <c r="EC150" s="263"/>
      <c r="ED150" s="263"/>
      <c r="EE150" s="263"/>
      <c r="EF150" s="263"/>
      <c r="EG150" s="263"/>
      <c r="EH150" s="263"/>
      <c r="EI150" s="263"/>
      <c r="EJ150" s="263"/>
      <c r="EK150" s="263"/>
      <c r="EL150" s="263"/>
      <c r="EM150" s="263"/>
      <c r="EN150" s="263"/>
      <c r="EO150" s="263"/>
      <c r="EP150" s="263"/>
      <c r="EQ150" s="263"/>
      <c r="ER150" s="263"/>
      <c r="ES150" s="263"/>
      <c r="ET150" s="263"/>
      <c r="EU150" s="263"/>
      <c r="EV150" s="263"/>
      <c r="EW150" s="263"/>
      <c r="EX150" s="263"/>
      <c r="EY150" s="263"/>
      <c r="EZ150" s="263"/>
      <c r="FA150" s="263"/>
      <c r="FB150" s="263"/>
      <c r="FC150" s="263"/>
      <c r="FD150" s="263"/>
      <c r="FE150" s="263"/>
      <c r="FF150" s="263"/>
      <c r="FG150" s="263"/>
      <c r="FH150" s="263"/>
      <c r="FI150" s="263"/>
      <c r="FJ150" s="263"/>
      <c r="FK150" s="263"/>
      <c r="FL150" s="263"/>
      <c r="FM150" s="263"/>
      <c r="FN150" s="263"/>
      <c r="FO150" s="263"/>
      <c r="FP150" s="263"/>
      <c r="FQ150" s="263"/>
      <c r="FR150" s="263"/>
      <c r="FS150" s="263"/>
      <c r="FT150" s="263"/>
      <c r="FU150" s="263"/>
      <c r="FV150" s="263"/>
      <c r="FW150" s="263"/>
      <c r="FX150" s="263"/>
      <c r="FY150" s="263"/>
      <c r="FZ150" s="263"/>
      <c r="GA150" s="263"/>
      <c r="GB150" s="263"/>
      <c r="GC150" s="263"/>
      <c r="GD150" s="263"/>
      <c r="GE150" s="263"/>
      <c r="GF150" s="263"/>
      <c r="GG150" s="263"/>
      <c r="GH150" s="263"/>
      <c r="GI150" s="263"/>
      <c r="GJ150" s="263"/>
      <c r="GK150" s="263"/>
      <c r="GL150" s="263"/>
      <c r="GM150" s="263"/>
      <c r="GN150" s="263"/>
      <c r="GO150" s="263"/>
      <c r="GP150" s="263"/>
      <c r="GQ150" s="263"/>
      <c r="GR150" s="263"/>
      <c r="GS150" s="263"/>
      <c r="GT150" s="263"/>
      <c r="GU150" s="263"/>
      <c r="GV150" s="263"/>
      <c r="GW150" s="263"/>
      <c r="GX150" s="263"/>
      <c r="GY150" s="263"/>
      <c r="GZ150" s="263"/>
      <c r="HA150" s="263"/>
      <c r="HB150" s="263"/>
      <c r="HC150" s="263"/>
      <c r="HD150" s="263"/>
      <c r="HE150" s="263"/>
      <c r="HF150" s="263"/>
      <c r="HG150" s="263"/>
      <c r="HH150" s="263"/>
      <c r="HI150" s="263"/>
      <c r="HJ150" s="263"/>
      <c r="HK150" s="263"/>
      <c r="HL150" s="263"/>
      <c r="HM150" s="263"/>
      <c r="HN150" s="263"/>
      <c r="HO150" s="263"/>
      <c r="HP150" s="263"/>
      <c r="HQ150" s="263"/>
      <c r="HR150" s="263"/>
      <c r="HS150" s="263"/>
      <c r="HT150" s="263"/>
      <c r="HU150" s="263"/>
      <c r="HV150" s="263"/>
      <c r="HW150" s="263"/>
      <c r="HX150" s="263"/>
      <c r="HY150" s="263"/>
      <c r="HZ150" s="263"/>
      <c r="IA150" s="263"/>
      <c r="IB150" s="263"/>
      <c r="IC150" s="263"/>
      <c r="ID150" s="263"/>
      <c r="IE150" s="263"/>
      <c r="IF150" s="263"/>
      <c r="IG150" s="263"/>
      <c r="IH150" s="263"/>
      <c r="II150" s="263"/>
      <c r="IJ150" s="263"/>
      <c r="IK150" s="263"/>
      <c r="IL150" s="263"/>
      <c r="IM150" s="263"/>
      <c r="IN150" s="263"/>
      <c r="IO150" s="263"/>
      <c r="IP150" s="263"/>
      <c r="IQ150" s="263"/>
      <c r="IR150" s="263"/>
      <c r="IS150" s="263"/>
      <c r="IT150" s="263"/>
      <c r="IU150" s="263"/>
    </row>
    <row r="151" spans="1:255" ht="15.6">
      <c r="A151" s="263"/>
      <c r="B151" s="263"/>
      <c r="C151" s="263"/>
      <c r="D151" s="263"/>
      <c r="E151" s="263"/>
      <c r="F151" s="263"/>
      <c r="G151" s="263"/>
      <c r="H151" s="263"/>
      <c r="I151" s="263"/>
      <c r="J151" s="263"/>
      <c r="K151" s="263"/>
      <c r="L151" s="263"/>
      <c r="M151" s="263"/>
      <c r="N151" s="263"/>
      <c r="O151" s="263"/>
      <c r="P151" s="263"/>
      <c r="Q151" s="263"/>
      <c r="R151" s="263"/>
      <c r="S151" s="263"/>
      <c r="T151" s="263"/>
      <c r="U151" s="263"/>
      <c r="V151" s="263"/>
      <c r="W151" s="263"/>
      <c r="X151" s="263"/>
      <c r="Y151" s="263"/>
      <c r="Z151" s="263"/>
      <c r="AA151" s="263"/>
      <c r="AB151" s="263"/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  <c r="AO151" s="263"/>
      <c r="AP151" s="263"/>
      <c r="AQ151" s="263"/>
      <c r="AR151" s="263"/>
      <c r="AS151" s="263"/>
      <c r="AT151" s="263"/>
      <c r="AU151" s="263"/>
      <c r="AV151" s="263"/>
      <c r="AW151" s="263"/>
      <c r="AX151" s="263"/>
      <c r="AY151" s="263"/>
      <c r="AZ151" s="263"/>
      <c r="BA151" s="263"/>
      <c r="BB151" s="263"/>
      <c r="BC151" s="263"/>
      <c r="BD151" s="263"/>
      <c r="BE151" s="263"/>
      <c r="BF151" s="263"/>
      <c r="BG151" s="263"/>
      <c r="BH151" s="263"/>
      <c r="BI151" s="263"/>
      <c r="BJ151" s="263"/>
      <c r="BK151" s="263"/>
      <c r="BL151" s="263"/>
      <c r="BM151" s="263"/>
      <c r="BN151" s="263"/>
      <c r="BO151" s="263"/>
      <c r="BP151" s="263"/>
      <c r="BQ151" s="263"/>
      <c r="BR151" s="263"/>
      <c r="BS151" s="263"/>
      <c r="BT151" s="263"/>
      <c r="BU151" s="263"/>
      <c r="BV151" s="263"/>
      <c r="BW151" s="263"/>
      <c r="BX151" s="263"/>
      <c r="BY151" s="263"/>
      <c r="BZ151" s="263"/>
      <c r="CA151" s="263"/>
      <c r="CB151" s="263"/>
      <c r="CC151" s="263"/>
      <c r="CD151" s="263"/>
      <c r="CE151" s="263"/>
      <c r="CF151" s="263"/>
      <c r="CG151" s="263"/>
      <c r="CH151" s="263"/>
      <c r="CI151" s="263"/>
      <c r="CJ151" s="263"/>
      <c r="CK151" s="263"/>
      <c r="CL151" s="263"/>
      <c r="CM151" s="263"/>
      <c r="CN151" s="263"/>
      <c r="CO151" s="263"/>
      <c r="CP151" s="263"/>
      <c r="CQ151" s="263"/>
      <c r="CR151" s="263"/>
      <c r="CS151" s="263"/>
      <c r="CT151" s="263"/>
      <c r="CU151" s="263"/>
      <c r="CV151" s="263"/>
      <c r="CW151" s="263"/>
      <c r="CX151" s="263"/>
      <c r="CY151" s="263"/>
      <c r="CZ151" s="263"/>
      <c r="DA151" s="263"/>
      <c r="DB151" s="263"/>
      <c r="DC151" s="263"/>
      <c r="DD151" s="263"/>
      <c r="DE151" s="263"/>
      <c r="DF151" s="263"/>
      <c r="DG151" s="263"/>
      <c r="DH151" s="263"/>
      <c r="DI151" s="263"/>
      <c r="DJ151" s="263"/>
      <c r="DK151" s="263"/>
      <c r="DL151" s="263"/>
      <c r="DM151" s="263"/>
      <c r="DN151" s="263"/>
      <c r="DO151" s="263"/>
      <c r="DP151" s="263"/>
      <c r="DQ151" s="263"/>
      <c r="DR151" s="263"/>
      <c r="DS151" s="263"/>
      <c r="DT151" s="263"/>
      <c r="DU151" s="263"/>
      <c r="DV151" s="263"/>
      <c r="DW151" s="263"/>
      <c r="DX151" s="263"/>
      <c r="DY151" s="263"/>
      <c r="DZ151" s="263"/>
      <c r="EA151" s="263"/>
      <c r="EB151" s="263"/>
      <c r="EC151" s="263"/>
      <c r="ED151" s="263"/>
      <c r="EE151" s="263"/>
      <c r="EF151" s="263"/>
      <c r="EG151" s="263"/>
      <c r="EH151" s="263"/>
      <c r="EI151" s="263"/>
      <c r="EJ151" s="263"/>
      <c r="EK151" s="263"/>
      <c r="EL151" s="263"/>
      <c r="EM151" s="263"/>
      <c r="EN151" s="263"/>
      <c r="EO151" s="263"/>
      <c r="EP151" s="263"/>
      <c r="EQ151" s="263"/>
      <c r="ER151" s="263"/>
      <c r="ES151" s="263"/>
      <c r="ET151" s="263"/>
      <c r="EU151" s="263"/>
      <c r="EV151" s="263"/>
      <c r="EW151" s="263"/>
      <c r="EX151" s="263"/>
      <c r="EY151" s="263"/>
      <c r="EZ151" s="263"/>
      <c r="FA151" s="263"/>
      <c r="FB151" s="263"/>
      <c r="FC151" s="263"/>
      <c r="FD151" s="263"/>
      <c r="FE151" s="263"/>
      <c r="FF151" s="263"/>
      <c r="FG151" s="263"/>
      <c r="FH151" s="263"/>
      <c r="FI151" s="263"/>
      <c r="FJ151" s="263"/>
      <c r="FK151" s="263"/>
      <c r="FL151" s="263"/>
      <c r="FM151" s="263"/>
      <c r="FN151" s="263"/>
      <c r="FO151" s="263"/>
      <c r="FP151" s="263"/>
      <c r="FQ151" s="263"/>
      <c r="FR151" s="263"/>
      <c r="FS151" s="263"/>
      <c r="FT151" s="263"/>
      <c r="FU151" s="263"/>
      <c r="FV151" s="263"/>
      <c r="FW151" s="263"/>
      <c r="FX151" s="263"/>
      <c r="FY151" s="263"/>
      <c r="FZ151" s="263"/>
      <c r="GA151" s="263"/>
      <c r="GB151" s="263"/>
      <c r="GC151" s="263"/>
      <c r="GD151" s="263"/>
      <c r="GE151" s="263"/>
      <c r="GF151" s="263"/>
      <c r="GG151" s="263"/>
      <c r="GH151" s="263"/>
      <c r="GI151" s="263"/>
      <c r="GJ151" s="263"/>
      <c r="GK151" s="263"/>
      <c r="GL151" s="263"/>
      <c r="GM151" s="263"/>
      <c r="GN151" s="263"/>
      <c r="GO151" s="263"/>
      <c r="GP151" s="263"/>
      <c r="GQ151" s="263"/>
      <c r="GR151" s="263"/>
      <c r="GS151" s="263"/>
      <c r="GT151" s="263"/>
      <c r="GU151" s="263"/>
      <c r="GV151" s="263"/>
      <c r="GW151" s="263"/>
      <c r="GX151" s="263"/>
      <c r="GY151" s="263"/>
      <c r="GZ151" s="263"/>
      <c r="HA151" s="263"/>
      <c r="HB151" s="263"/>
      <c r="HC151" s="263"/>
      <c r="HD151" s="263"/>
      <c r="HE151" s="263"/>
      <c r="HF151" s="263"/>
      <c r="HG151" s="263"/>
      <c r="HH151" s="263"/>
      <c r="HI151" s="263"/>
      <c r="HJ151" s="263"/>
      <c r="HK151" s="263"/>
      <c r="HL151" s="263"/>
      <c r="HM151" s="263"/>
      <c r="HN151" s="263"/>
      <c r="HO151" s="263"/>
      <c r="HP151" s="263"/>
      <c r="HQ151" s="263"/>
      <c r="HR151" s="263"/>
      <c r="HS151" s="263"/>
      <c r="HT151" s="263"/>
      <c r="HU151" s="263"/>
      <c r="HV151" s="263"/>
      <c r="HW151" s="263"/>
      <c r="HX151" s="263"/>
      <c r="HY151" s="263"/>
      <c r="HZ151" s="263"/>
      <c r="IA151" s="263"/>
      <c r="IB151" s="263"/>
      <c r="IC151" s="263"/>
      <c r="ID151" s="263"/>
      <c r="IE151" s="263"/>
      <c r="IF151" s="263"/>
      <c r="IG151" s="263"/>
      <c r="IH151" s="263"/>
      <c r="II151" s="263"/>
      <c r="IJ151" s="263"/>
      <c r="IK151" s="263"/>
      <c r="IL151" s="263"/>
      <c r="IM151" s="263"/>
      <c r="IN151" s="263"/>
      <c r="IO151" s="263"/>
      <c r="IP151" s="263"/>
      <c r="IQ151" s="263"/>
      <c r="IR151" s="263"/>
      <c r="IS151" s="263"/>
      <c r="IT151" s="263"/>
      <c r="IU151" s="263"/>
    </row>
    <row r="152" spans="1:255" ht="15.6">
      <c r="A152" s="263"/>
      <c r="B152" s="263"/>
      <c r="C152" s="263"/>
      <c r="D152" s="263"/>
      <c r="E152" s="263"/>
      <c r="F152" s="263"/>
      <c r="G152" s="263"/>
      <c r="H152" s="263"/>
      <c r="I152" s="263"/>
      <c r="J152" s="263"/>
      <c r="K152" s="263"/>
      <c r="L152" s="263"/>
      <c r="M152" s="263"/>
      <c r="N152" s="263"/>
      <c r="O152" s="263"/>
      <c r="P152" s="263"/>
      <c r="Q152" s="263"/>
      <c r="R152" s="263"/>
      <c r="S152" s="263"/>
      <c r="T152" s="263"/>
      <c r="U152" s="263"/>
      <c r="V152" s="263"/>
      <c r="W152" s="263"/>
      <c r="X152" s="263"/>
      <c r="Y152" s="263"/>
      <c r="Z152" s="263"/>
      <c r="AA152" s="263"/>
      <c r="AB152" s="263"/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  <c r="AO152" s="263"/>
      <c r="AP152" s="263"/>
      <c r="AQ152" s="263"/>
      <c r="AR152" s="263"/>
      <c r="AS152" s="263"/>
      <c r="AT152" s="263"/>
      <c r="AU152" s="263"/>
      <c r="AV152" s="263"/>
      <c r="AW152" s="263"/>
      <c r="AX152" s="263"/>
      <c r="AY152" s="263"/>
      <c r="AZ152" s="263"/>
      <c r="BA152" s="263"/>
      <c r="BB152" s="263"/>
      <c r="BC152" s="263"/>
      <c r="BD152" s="263"/>
      <c r="BE152" s="263"/>
      <c r="BF152" s="263"/>
      <c r="BG152" s="263"/>
      <c r="BH152" s="263"/>
      <c r="BI152" s="263"/>
      <c r="BJ152" s="263"/>
      <c r="BK152" s="263"/>
      <c r="BL152" s="263"/>
      <c r="BM152" s="263"/>
      <c r="BN152" s="263"/>
      <c r="BO152" s="263"/>
      <c r="BP152" s="263"/>
      <c r="BQ152" s="263"/>
      <c r="BR152" s="263"/>
      <c r="BS152" s="263"/>
      <c r="BT152" s="263"/>
      <c r="BU152" s="263"/>
      <c r="BV152" s="263"/>
      <c r="BW152" s="263"/>
      <c r="BX152" s="263"/>
      <c r="BY152" s="263"/>
      <c r="BZ152" s="263"/>
      <c r="CA152" s="263"/>
      <c r="CB152" s="263"/>
      <c r="CC152" s="263"/>
      <c r="CD152" s="263"/>
      <c r="CE152" s="263"/>
      <c r="CF152" s="263"/>
      <c r="CG152" s="263"/>
      <c r="CH152" s="263"/>
      <c r="CI152" s="263"/>
      <c r="CJ152" s="263"/>
      <c r="CK152" s="263"/>
      <c r="CL152" s="263"/>
      <c r="CM152" s="263"/>
      <c r="CN152" s="263"/>
      <c r="CO152" s="263"/>
      <c r="CP152" s="263"/>
      <c r="CQ152" s="263"/>
      <c r="CR152" s="263"/>
      <c r="CS152" s="263"/>
      <c r="CT152" s="263"/>
      <c r="CU152" s="263"/>
      <c r="CV152" s="263"/>
      <c r="CW152" s="263"/>
      <c r="CX152" s="263"/>
      <c r="CY152" s="263"/>
      <c r="CZ152" s="263"/>
      <c r="DA152" s="263"/>
      <c r="DB152" s="263"/>
      <c r="DC152" s="263"/>
      <c r="DD152" s="263"/>
      <c r="DE152" s="263"/>
      <c r="DF152" s="263"/>
      <c r="DG152" s="263"/>
      <c r="DH152" s="263"/>
      <c r="DI152" s="263"/>
      <c r="DJ152" s="263"/>
      <c r="DK152" s="263"/>
      <c r="DL152" s="263"/>
      <c r="DM152" s="263"/>
      <c r="DN152" s="263"/>
      <c r="DO152" s="263"/>
      <c r="DP152" s="263"/>
      <c r="DQ152" s="263"/>
      <c r="DR152" s="263"/>
      <c r="DS152" s="263"/>
      <c r="DT152" s="263"/>
      <c r="DU152" s="263"/>
      <c r="DV152" s="263"/>
      <c r="DW152" s="263"/>
      <c r="DX152" s="263"/>
      <c r="DY152" s="263"/>
      <c r="DZ152" s="263"/>
      <c r="EA152" s="263"/>
      <c r="EB152" s="263"/>
      <c r="EC152" s="263"/>
      <c r="ED152" s="263"/>
      <c r="EE152" s="263"/>
      <c r="EF152" s="263"/>
      <c r="EG152" s="263"/>
      <c r="EH152" s="263"/>
      <c r="EI152" s="263"/>
      <c r="EJ152" s="263"/>
      <c r="EK152" s="263"/>
      <c r="EL152" s="263"/>
      <c r="EM152" s="263"/>
      <c r="EN152" s="263"/>
      <c r="EO152" s="263"/>
      <c r="EP152" s="263"/>
      <c r="EQ152" s="263"/>
      <c r="ER152" s="263"/>
      <c r="ES152" s="263"/>
      <c r="ET152" s="263"/>
      <c r="EU152" s="263"/>
      <c r="EV152" s="263"/>
      <c r="EW152" s="263"/>
      <c r="EX152" s="263"/>
      <c r="EY152" s="263"/>
      <c r="EZ152" s="263"/>
      <c r="FA152" s="263"/>
      <c r="FB152" s="263"/>
      <c r="FC152" s="263"/>
      <c r="FD152" s="263"/>
      <c r="FE152" s="263"/>
      <c r="FF152" s="263"/>
      <c r="FG152" s="263"/>
      <c r="FH152" s="263"/>
      <c r="FI152" s="263"/>
      <c r="FJ152" s="263"/>
      <c r="FK152" s="263"/>
      <c r="FL152" s="263"/>
      <c r="FM152" s="263"/>
      <c r="FN152" s="263"/>
      <c r="FO152" s="263"/>
      <c r="FP152" s="263"/>
      <c r="FQ152" s="263"/>
      <c r="FR152" s="263"/>
      <c r="FS152" s="263"/>
      <c r="FT152" s="263"/>
      <c r="FU152" s="263"/>
      <c r="FV152" s="263"/>
      <c r="FW152" s="263"/>
      <c r="FX152" s="263"/>
      <c r="FY152" s="263"/>
      <c r="FZ152" s="263"/>
      <c r="GA152" s="263"/>
      <c r="GB152" s="263"/>
      <c r="GC152" s="263"/>
      <c r="GD152" s="263"/>
      <c r="GE152" s="263"/>
      <c r="GF152" s="263"/>
      <c r="GG152" s="263"/>
      <c r="GH152" s="263"/>
      <c r="GI152" s="263"/>
      <c r="GJ152" s="263"/>
      <c r="GK152" s="263"/>
      <c r="GL152" s="263"/>
      <c r="GM152" s="263"/>
      <c r="GN152" s="263"/>
      <c r="GO152" s="263"/>
      <c r="GP152" s="263"/>
      <c r="GQ152" s="263"/>
      <c r="GR152" s="263"/>
      <c r="GS152" s="263"/>
      <c r="GT152" s="263"/>
      <c r="GU152" s="263"/>
      <c r="GV152" s="263"/>
      <c r="GW152" s="263"/>
      <c r="GX152" s="263"/>
      <c r="GY152" s="263"/>
      <c r="GZ152" s="263"/>
      <c r="HA152" s="263"/>
      <c r="HB152" s="263"/>
      <c r="HC152" s="263"/>
      <c r="HD152" s="263"/>
      <c r="HE152" s="263"/>
      <c r="HF152" s="263"/>
      <c r="HG152" s="263"/>
      <c r="HH152" s="263"/>
      <c r="HI152" s="263"/>
      <c r="HJ152" s="263"/>
      <c r="HK152" s="263"/>
      <c r="HL152" s="263"/>
      <c r="HM152" s="263"/>
      <c r="HN152" s="263"/>
      <c r="HO152" s="263"/>
      <c r="HP152" s="263"/>
      <c r="HQ152" s="263"/>
      <c r="HR152" s="263"/>
      <c r="HS152" s="263"/>
      <c r="HT152" s="263"/>
      <c r="HU152" s="263"/>
      <c r="HV152" s="263"/>
      <c r="HW152" s="263"/>
      <c r="HX152" s="263"/>
      <c r="HY152" s="263"/>
      <c r="HZ152" s="263"/>
      <c r="IA152" s="263"/>
      <c r="IB152" s="263"/>
      <c r="IC152" s="263"/>
      <c r="ID152" s="263"/>
      <c r="IE152" s="263"/>
      <c r="IF152" s="263"/>
      <c r="IG152" s="263"/>
      <c r="IH152" s="263"/>
      <c r="II152" s="263"/>
      <c r="IJ152" s="263"/>
      <c r="IK152" s="263"/>
      <c r="IL152" s="263"/>
      <c r="IM152" s="263"/>
      <c r="IN152" s="263"/>
      <c r="IO152" s="263"/>
      <c r="IP152" s="263"/>
      <c r="IQ152" s="263"/>
      <c r="IR152" s="263"/>
      <c r="IS152" s="263"/>
      <c r="IT152" s="263"/>
      <c r="IU152" s="263"/>
    </row>
    <row r="153" spans="1:255" ht="15.6">
      <c r="A153" s="263"/>
      <c r="B153" s="263"/>
      <c r="C153" s="263"/>
      <c r="D153" s="263"/>
      <c r="E153" s="263"/>
      <c r="F153" s="263"/>
      <c r="G153" s="263"/>
      <c r="H153" s="263"/>
      <c r="I153" s="263"/>
      <c r="J153" s="263"/>
      <c r="K153" s="263"/>
      <c r="L153" s="263"/>
      <c r="M153" s="263"/>
      <c r="N153" s="263"/>
      <c r="O153" s="263"/>
      <c r="P153" s="263"/>
      <c r="Q153" s="263"/>
      <c r="R153" s="263"/>
      <c r="S153" s="263"/>
      <c r="T153" s="263"/>
      <c r="U153" s="263"/>
      <c r="V153" s="263"/>
      <c r="W153" s="263"/>
      <c r="X153" s="263"/>
      <c r="Y153" s="263"/>
      <c r="Z153" s="263"/>
      <c r="AA153" s="263"/>
      <c r="AB153" s="263"/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  <c r="AO153" s="263"/>
      <c r="AP153" s="263"/>
      <c r="AQ153" s="263"/>
      <c r="AR153" s="263"/>
      <c r="AS153" s="263"/>
      <c r="AT153" s="263"/>
      <c r="AU153" s="263"/>
      <c r="AV153" s="263"/>
      <c r="AW153" s="263"/>
      <c r="AX153" s="263"/>
      <c r="AY153" s="263"/>
      <c r="AZ153" s="263"/>
      <c r="BA153" s="263"/>
      <c r="BB153" s="263"/>
      <c r="BC153" s="263"/>
      <c r="BD153" s="263"/>
      <c r="BE153" s="263"/>
      <c r="BF153" s="263"/>
      <c r="BG153" s="263"/>
      <c r="BH153" s="263"/>
      <c r="BI153" s="263"/>
      <c r="BJ153" s="263"/>
      <c r="BK153" s="263"/>
      <c r="BL153" s="263"/>
      <c r="BM153" s="263"/>
      <c r="BN153" s="263"/>
      <c r="BO153" s="263"/>
      <c r="BP153" s="263"/>
      <c r="BQ153" s="263"/>
      <c r="BR153" s="263"/>
      <c r="BS153" s="263"/>
      <c r="BT153" s="263"/>
      <c r="BU153" s="263"/>
      <c r="BV153" s="263"/>
      <c r="BW153" s="263"/>
      <c r="BX153" s="263"/>
      <c r="BY153" s="263"/>
      <c r="BZ153" s="263"/>
      <c r="CA153" s="263"/>
      <c r="CB153" s="263"/>
      <c r="CC153" s="263"/>
      <c r="CD153" s="263"/>
      <c r="CE153" s="263"/>
      <c r="CF153" s="263"/>
      <c r="CG153" s="263"/>
      <c r="CH153" s="263"/>
      <c r="CI153" s="263"/>
      <c r="CJ153" s="263"/>
      <c r="CK153" s="263"/>
      <c r="CL153" s="263"/>
      <c r="CM153" s="263"/>
      <c r="CN153" s="263"/>
      <c r="CO153" s="263"/>
      <c r="CP153" s="263"/>
      <c r="CQ153" s="263"/>
      <c r="CR153" s="263"/>
      <c r="CS153" s="263"/>
      <c r="CT153" s="263"/>
      <c r="CU153" s="263"/>
      <c r="CV153" s="263"/>
      <c r="CW153" s="263"/>
      <c r="CX153" s="263"/>
      <c r="CY153" s="263"/>
      <c r="CZ153" s="263"/>
      <c r="DA153" s="263"/>
      <c r="DB153" s="263"/>
      <c r="DC153" s="263"/>
      <c r="DD153" s="263"/>
      <c r="DE153" s="263"/>
      <c r="DF153" s="263"/>
      <c r="DG153" s="263"/>
      <c r="DH153" s="263"/>
      <c r="DI153" s="263"/>
      <c r="DJ153" s="263"/>
      <c r="DK153" s="263"/>
      <c r="DL153" s="263"/>
      <c r="DM153" s="263"/>
      <c r="DN153" s="263"/>
      <c r="DO153" s="263"/>
      <c r="DP153" s="263"/>
      <c r="DQ153" s="263"/>
      <c r="DR153" s="263"/>
      <c r="DS153" s="263"/>
      <c r="DT153" s="263"/>
      <c r="DU153" s="263"/>
      <c r="DV153" s="263"/>
      <c r="DW153" s="263"/>
      <c r="DX153" s="263"/>
      <c r="DY153" s="263"/>
      <c r="DZ153" s="263"/>
      <c r="EA153" s="263"/>
      <c r="EB153" s="263"/>
      <c r="EC153" s="263"/>
      <c r="ED153" s="263"/>
      <c r="EE153" s="263"/>
      <c r="EF153" s="263"/>
      <c r="EG153" s="263"/>
      <c r="EH153" s="263"/>
      <c r="EI153" s="263"/>
      <c r="EJ153" s="263"/>
      <c r="EK153" s="263"/>
      <c r="EL153" s="263"/>
      <c r="EM153" s="263"/>
      <c r="EN153" s="263"/>
      <c r="EO153" s="263"/>
      <c r="EP153" s="263"/>
      <c r="EQ153" s="263"/>
      <c r="ER153" s="263"/>
      <c r="ES153" s="263"/>
      <c r="ET153" s="263"/>
      <c r="EU153" s="263"/>
      <c r="EV153" s="263"/>
      <c r="EW153" s="263"/>
      <c r="EX153" s="263"/>
      <c r="EY153" s="263"/>
      <c r="EZ153" s="263"/>
      <c r="FA153" s="263"/>
      <c r="FB153" s="263"/>
      <c r="FC153" s="263"/>
      <c r="FD153" s="263"/>
      <c r="FE153" s="263"/>
      <c r="FF153" s="263"/>
      <c r="FG153" s="263"/>
      <c r="FH153" s="263"/>
      <c r="FI153" s="263"/>
      <c r="FJ153" s="263"/>
      <c r="FK153" s="263"/>
      <c r="FL153" s="263"/>
      <c r="FM153" s="263"/>
      <c r="FN153" s="263"/>
      <c r="FO153" s="263"/>
      <c r="FP153" s="263"/>
      <c r="FQ153" s="263"/>
      <c r="FR153" s="263"/>
      <c r="FS153" s="263"/>
      <c r="FT153" s="263"/>
      <c r="FU153" s="263"/>
      <c r="FV153" s="263"/>
      <c r="FW153" s="263"/>
      <c r="FX153" s="263"/>
      <c r="FY153" s="263"/>
      <c r="FZ153" s="263"/>
      <c r="GA153" s="263"/>
      <c r="GB153" s="263"/>
      <c r="GC153" s="263"/>
      <c r="GD153" s="263"/>
      <c r="GE153" s="263"/>
      <c r="GF153" s="263"/>
      <c r="GG153" s="263"/>
      <c r="GH153" s="263"/>
      <c r="GI153" s="263"/>
      <c r="GJ153" s="263"/>
      <c r="GK153" s="263"/>
      <c r="GL153" s="263"/>
      <c r="GM153" s="263"/>
      <c r="GN153" s="263"/>
      <c r="GO153" s="263"/>
      <c r="GP153" s="263"/>
      <c r="GQ153" s="263"/>
      <c r="GR153" s="263"/>
      <c r="GS153" s="263"/>
      <c r="GT153" s="263"/>
      <c r="GU153" s="263"/>
      <c r="GV153" s="263"/>
      <c r="GW153" s="263"/>
      <c r="GX153" s="263"/>
      <c r="GY153" s="263"/>
      <c r="GZ153" s="263"/>
      <c r="HA153" s="263"/>
      <c r="HB153" s="263"/>
      <c r="HC153" s="263"/>
      <c r="HD153" s="263"/>
      <c r="HE153" s="263"/>
      <c r="HF153" s="263"/>
      <c r="HG153" s="263"/>
      <c r="HH153" s="263"/>
      <c r="HI153" s="263"/>
      <c r="HJ153" s="263"/>
      <c r="HK153" s="263"/>
      <c r="HL153" s="263"/>
      <c r="HM153" s="263"/>
      <c r="HN153" s="263"/>
      <c r="HO153" s="263"/>
      <c r="HP153" s="263"/>
      <c r="HQ153" s="263"/>
      <c r="HR153" s="263"/>
      <c r="HS153" s="263"/>
      <c r="HT153" s="263"/>
      <c r="HU153" s="263"/>
      <c r="HV153" s="263"/>
      <c r="HW153" s="263"/>
      <c r="HX153" s="263"/>
      <c r="HY153" s="263"/>
      <c r="HZ153" s="263"/>
      <c r="IA153" s="263"/>
      <c r="IB153" s="263"/>
      <c r="IC153" s="263"/>
      <c r="ID153" s="263"/>
      <c r="IE153" s="263"/>
      <c r="IF153" s="263"/>
      <c r="IG153" s="263"/>
      <c r="IH153" s="263"/>
      <c r="II153" s="263"/>
      <c r="IJ153" s="263"/>
      <c r="IK153" s="263"/>
      <c r="IL153" s="263"/>
      <c r="IM153" s="263"/>
      <c r="IN153" s="263"/>
      <c r="IO153" s="263"/>
      <c r="IP153" s="263"/>
      <c r="IQ153" s="263"/>
      <c r="IR153" s="263"/>
      <c r="IS153" s="263"/>
      <c r="IT153" s="263"/>
      <c r="IU153" s="263"/>
    </row>
    <row r="154" spans="1:255" ht="15.6">
      <c r="A154" s="263"/>
      <c r="B154" s="263"/>
      <c r="C154" s="263"/>
      <c r="D154" s="263"/>
      <c r="E154" s="263"/>
      <c r="F154" s="263"/>
      <c r="G154" s="263"/>
      <c r="H154" s="263"/>
      <c r="I154" s="263"/>
      <c r="J154" s="263"/>
      <c r="K154" s="263"/>
      <c r="L154" s="263"/>
      <c r="M154" s="263"/>
      <c r="N154" s="263"/>
      <c r="O154" s="263"/>
      <c r="P154" s="263"/>
      <c r="Q154" s="263"/>
      <c r="R154" s="263"/>
      <c r="S154" s="263"/>
      <c r="T154" s="263"/>
      <c r="U154" s="263"/>
      <c r="V154" s="263"/>
      <c r="W154" s="263"/>
      <c r="X154" s="263"/>
      <c r="Y154" s="263"/>
      <c r="Z154" s="263"/>
      <c r="AA154" s="263"/>
      <c r="AB154" s="263"/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  <c r="AO154" s="263"/>
      <c r="AP154" s="263"/>
      <c r="AQ154" s="263"/>
      <c r="AR154" s="263"/>
      <c r="AS154" s="263"/>
      <c r="AT154" s="263"/>
      <c r="AU154" s="263"/>
      <c r="AV154" s="263"/>
      <c r="AW154" s="263"/>
      <c r="AX154" s="263"/>
      <c r="AY154" s="263"/>
      <c r="AZ154" s="263"/>
      <c r="BA154" s="263"/>
      <c r="BB154" s="263"/>
      <c r="BC154" s="263"/>
      <c r="BD154" s="263"/>
      <c r="BE154" s="263"/>
      <c r="BF154" s="263"/>
      <c r="BG154" s="263"/>
      <c r="BH154" s="263"/>
      <c r="BI154" s="263"/>
      <c r="BJ154" s="263"/>
      <c r="BK154" s="263"/>
      <c r="BL154" s="263"/>
      <c r="BM154" s="263"/>
      <c r="BN154" s="263"/>
      <c r="BO154" s="263"/>
      <c r="BP154" s="263"/>
      <c r="BQ154" s="263"/>
      <c r="BR154" s="263"/>
      <c r="BS154" s="263"/>
      <c r="BT154" s="263"/>
      <c r="BU154" s="263"/>
      <c r="BV154" s="263"/>
      <c r="BW154" s="263"/>
      <c r="BX154" s="263"/>
      <c r="BY154" s="263"/>
      <c r="BZ154" s="263"/>
      <c r="CA154" s="263"/>
      <c r="CB154" s="263"/>
      <c r="CC154" s="263"/>
      <c r="CD154" s="263"/>
      <c r="CE154" s="263"/>
      <c r="CF154" s="263"/>
      <c r="CG154" s="263"/>
      <c r="CH154" s="263"/>
      <c r="CI154" s="263"/>
      <c r="CJ154" s="263"/>
      <c r="CK154" s="263"/>
      <c r="CL154" s="263"/>
      <c r="CM154" s="263"/>
      <c r="CN154" s="263"/>
      <c r="CO154" s="263"/>
      <c r="CP154" s="263"/>
      <c r="CQ154" s="263"/>
      <c r="CR154" s="263"/>
      <c r="CS154" s="263"/>
      <c r="CT154" s="263"/>
      <c r="CU154" s="263"/>
      <c r="CV154" s="263"/>
      <c r="CW154" s="263"/>
      <c r="CX154" s="263"/>
      <c r="CY154" s="263"/>
      <c r="CZ154" s="263"/>
      <c r="DA154" s="263"/>
      <c r="DB154" s="263"/>
      <c r="DC154" s="263"/>
      <c r="DD154" s="263"/>
      <c r="DE154" s="263"/>
      <c r="DF154" s="263"/>
      <c r="DG154" s="263"/>
      <c r="DH154" s="263"/>
      <c r="DI154" s="263"/>
      <c r="DJ154" s="263"/>
      <c r="DK154" s="263"/>
      <c r="DL154" s="263"/>
      <c r="DM154" s="263"/>
      <c r="DN154" s="263"/>
      <c r="DO154" s="263"/>
      <c r="DP154" s="263"/>
      <c r="DQ154" s="263"/>
      <c r="DR154" s="263"/>
      <c r="DS154" s="263"/>
      <c r="DT154" s="263"/>
      <c r="DU154" s="263"/>
      <c r="DV154" s="263"/>
      <c r="DW154" s="263"/>
      <c r="DX154" s="263"/>
      <c r="DY154" s="263"/>
      <c r="DZ154" s="263"/>
      <c r="EA154" s="263"/>
      <c r="EB154" s="263"/>
      <c r="EC154" s="263"/>
      <c r="ED154" s="263"/>
      <c r="EE154" s="263"/>
      <c r="EF154" s="263"/>
      <c r="EG154" s="263"/>
      <c r="EH154" s="263"/>
      <c r="EI154" s="263"/>
      <c r="EJ154" s="263"/>
      <c r="EK154" s="263"/>
      <c r="EL154" s="263"/>
      <c r="EM154" s="263"/>
      <c r="EN154" s="263"/>
      <c r="EO154" s="263"/>
      <c r="EP154" s="263"/>
      <c r="EQ154" s="263"/>
      <c r="ER154" s="263"/>
      <c r="ES154" s="263"/>
      <c r="ET154" s="263"/>
      <c r="EU154" s="263"/>
      <c r="EV154" s="263"/>
      <c r="EW154" s="263"/>
      <c r="EX154" s="263"/>
      <c r="EY154" s="263"/>
      <c r="EZ154" s="263"/>
      <c r="FA154" s="263"/>
      <c r="FB154" s="263"/>
      <c r="FC154" s="263"/>
      <c r="FD154" s="263"/>
      <c r="FE154" s="263"/>
      <c r="FF154" s="263"/>
      <c r="FG154" s="263"/>
      <c r="FH154" s="263"/>
      <c r="FI154" s="263"/>
      <c r="FJ154" s="263"/>
      <c r="FK154" s="263"/>
      <c r="FL154" s="263"/>
      <c r="FM154" s="263"/>
      <c r="FN154" s="263"/>
      <c r="FO154" s="263"/>
      <c r="FP154" s="263"/>
      <c r="FQ154" s="263"/>
      <c r="FR154" s="263"/>
      <c r="FS154" s="263"/>
      <c r="FT154" s="263"/>
      <c r="FU154" s="263"/>
      <c r="FV154" s="263"/>
      <c r="FW154" s="263"/>
      <c r="FX154" s="263"/>
      <c r="FY154" s="263"/>
      <c r="FZ154" s="263"/>
      <c r="GA154" s="263"/>
      <c r="GB154" s="263"/>
      <c r="GC154" s="263"/>
      <c r="GD154" s="263"/>
      <c r="GE154" s="263"/>
      <c r="GF154" s="263"/>
      <c r="GG154" s="263"/>
      <c r="GH154" s="263"/>
      <c r="GI154" s="263"/>
      <c r="GJ154" s="263"/>
      <c r="GK154" s="263"/>
      <c r="GL154" s="263"/>
      <c r="GM154" s="263"/>
      <c r="GN154" s="263"/>
      <c r="GO154" s="263"/>
      <c r="GP154" s="263"/>
      <c r="GQ154" s="263"/>
      <c r="GR154" s="263"/>
      <c r="GS154" s="263"/>
      <c r="GT154" s="263"/>
      <c r="GU154" s="263"/>
      <c r="GV154" s="263"/>
      <c r="GW154" s="263"/>
      <c r="GX154" s="263"/>
      <c r="GY154" s="263"/>
      <c r="GZ154" s="263"/>
      <c r="HA154" s="263"/>
      <c r="HB154" s="263"/>
      <c r="HC154" s="263"/>
      <c r="HD154" s="263"/>
      <c r="HE154" s="263"/>
      <c r="HF154" s="263"/>
      <c r="HG154" s="263"/>
      <c r="HH154" s="263"/>
      <c r="HI154" s="263"/>
      <c r="HJ154" s="263"/>
      <c r="HK154" s="263"/>
      <c r="HL154" s="263"/>
      <c r="HM154" s="263"/>
      <c r="HN154" s="263"/>
      <c r="HO154" s="263"/>
      <c r="HP154" s="263"/>
      <c r="HQ154" s="263"/>
      <c r="HR154" s="263"/>
      <c r="HS154" s="263"/>
      <c r="HT154" s="263"/>
      <c r="HU154" s="263"/>
      <c r="HV154" s="263"/>
      <c r="HW154" s="263"/>
      <c r="HX154" s="263"/>
      <c r="HY154" s="263"/>
      <c r="HZ154" s="263"/>
      <c r="IA154" s="263"/>
      <c r="IB154" s="263"/>
      <c r="IC154" s="263"/>
      <c r="ID154" s="263"/>
      <c r="IE154" s="263"/>
      <c r="IF154" s="263"/>
      <c r="IG154" s="263"/>
      <c r="IH154" s="263"/>
      <c r="II154" s="263"/>
      <c r="IJ154" s="263"/>
      <c r="IK154" s="263"/>
      <c r="IL154" s="263"/>
      <c r="IM154" s="263"/>
      <c r="IN154" s="263"/>
      <c r="IO154" s="263"/>
      <c r="IP154" s="263"/>
      <c r="IQ154" s="263"/>
      <c r="IR154" s="263"/>
      <c r="IS154" s="263"/>
      <c r="IT154" s="263"/>
      <c r="IU154" s="263"/>
    </row>
    <row r="155" spans="1:255" ht="15.6">
      <c r="A155" s="263"/>
      <c r="B155" s="263"/>
      <c r="C155" s="263"/>
      <c r="D155" s="263"/>
      <c r="E155" s="263"/>
      <c r="F155" s="263"/>
      <c r="G155" s="263"/>
      <c r="H155" s="263"/>
      <c r="I155" s="263"/>
      <c r="J155" s="263"/>
      <c r="K155" s="263"/>
      <c r="L155" s="263"/>
      <c r="M155" s="263"/>
      <c r="N155" s="263"/>
      <c r="O155" s="263"/>
      <c r="P155" s="263"/>
      <c r="Q155" s="263"/>
      <c r="R155" s="263"/>
      <c r="S155" s="263"/>
      <c r="T155" s="263"/>
      <c r="U155" s="263"/>
      <c r="V155" s="263"/>
      <c r="W155" s="263"/>
      <c r="X155" s="263"/>
      <c r="Y155" s="263"/>
      <c r="Z155" s="263"/>
      <c r="AA155" s="263"/>
      <c r="AB155" s="263"/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  <c r="AO155" s="263"/>
      <c r="AP155" s="263"/>
      <c r="AQ155" s="263"/>
      <c r="AR155" s="263"/>
      <c r="AS155" s="263"/>
      <c r="AT155" s="263"/>
      <c r="AU155" s="263"/>
      <c r="AV155" s="263"/>
      <c r="AW155" s="263"/>
      <c r="AX155" s="263"/>
      <c r="AY155" s="263"/>
      <c r="AZ155" s="263"/>
      <c r="BA155" s="263"/>
      <c r="BB155" s="263"/>
      <c r="BC155" s="263"/>
      <c r="BD155" s="263"/>
      <c r="BE155" s="263"/>
      <c r="BF155" s="263"/>
      <c r="BG155" s="263"/>
      <c r="BH155" s="263"/>
      <c r="BI155" s="263"/>
      <c r="BJ155" s="263"/>
      <c r="BK155" s="263"/>
      <c r="BL155" s="263"/>
      <c r="BM155" s="263"/>
      <c r="BN155" s="263"/>
      <c r="BO155" s="263"/>
      <c r="BP155" s="263"/>
      <c r="BQ155" s="263"/>
      <c r="BR155" s="263"/>
      <c r="BS155" s="263"/>
      <c r="BT155" s="263"/>
      <c r="BU155" s="263"/>
      <c r="BV155" s="263"/>
      <c r="BW155" s="263"/>
      <c r="BX155" s="263"/>
      <c r="BY155" s="263"/>
      <c r="BZ155" s="263"/>
      <c r="CA155" s="263"/>
      <c r="CB155" s="263"/>
      <c r="CC155" s="263"/>
      <c r="CD155" s="263"/>
      <c r="CE155" s="263"/>
      <c r="CF155" s="263"/>
      <c r="CG155" s="263"/>
      <c r="CH155" s="263"/>
      <c r="CI155" s="263"/>
      <c r="CJ155" s="263"/>
      <c r="CK155" s="263"/>
      <c r="CL155" s="263"/>
      <c r="CM155" s="263"/>
      <c r="CN155" s="263"/>
      <c r="CO155" s="263"/>
      <c r="CP155" s="263"/>
      <c r="CQ155" s="263"/>
      <c r="CR155" s="263"/>
      <c r="CS155" s="263"/>
      <c r="CT155" s="263"/>
      <c r="CU155" s="263"/>
      <c r="CV155" s="263"/>
      <c r="CW155" s="263"/>
      <c r="CX155" s="263"/>
      <c r="CY155" s="263"/>
      <c r="CZ155" s="263"/>
      <c r="DA155" s="263"/>
      <c r="DB155" s="263"/>
      <c r="DC155" s="263"/>
      <c r="DD155" s="263"/>
      <c r="DE155" s="263"/>
      <c r="DF155" s="263"/>
      <c r="DG155" s="263"/>
      <c r="DH155" s="263"/>
      <c r="DI155" s="263"/>
      <c r="DJ155" s="263"/>
      <c r="DK155" s="263"/>
      <c r="DL155" s="263"/>
      <c r="DM155" s="263"/>
      <c r="DN155" s="263"/>
      <c r="DO155" s="263"/>
      <c r="DP155" s="263"/>
      <c r="DQ155" s="263"/>
      <c r="DR155" s="263"/>
      <c r="DS155" s="263"/>
      <c r="DT155" s="263"/>
      <c r="DU155" s="263"/>
      <c r="DV155" s="263"/>
      <c r="DW155" s="263"/>
      <c r="DX155" s="263"/>
      <c r="DY155" s="263"/>
      <c r="DZ155" s="263"/>
      <c r="EA155" s="263"/>
      <c r="EB155" s="263"/>
      <c r="EC155" s="263"/>
      <c r="ED155" s="263"/>
      <c r="EE155" s="263"/>
      <c r="EF155" s="263"/>
      <c r="EG155" s="263"/>
      <c r="EH155" s="263"/>
      <c r="EI155" s="263"/>
      <c r="EJ155" s="263"/>
      <c r="EK155" s="263"/>
      <c r="EL155" s="263"/>
      <c r="EM155" s="263"/>
      <c r="EN155" s="263"/>
      <c r="EO155" s="263"/>
      <c r="EP155" s="263"/>
      <c r="EQ155" s="263"/>
      <c r="ER155" s="263"/>
      <c r="ES155" s="263"/>
      <c r="ET155" s="263"/>
      <c r="EU155" s="263"/>
      <c r="EV155" s="263"/>
      <c r="EW155" s="263"/>
      <c r="EX155" s="263"/>
      <c r="EY155" s="263"/>
      <c r="EZ155" s="263"/>
      <c r="FA155" s="263"/>
      <c r="FB155" s="263"/>
      <c r="FC155" s="263"/>
      <c r="FD155" s="263"/>
      <c r="FE155" s="263"/>
      <c r="FF155" s="263"/>
      <c r="FG155" s="263"/>
      <c r="FH155" s="263"/>
      <c r="FI155" s="263"/>
      <c r="FJ155" s="263"/>
      <c r="FK155" s="263"/>
      <c r="FL155" s="263"/>
      <c r="FM155" s="263"/>
      <c r="FN155" s="263"/>
      <c r="FO155" s="263"/>
      <c r="FP155" s="263"/>
      <c r="FQ155" s="263"/>
      <c r="FR155" s="263"/>
      <c r="FS155" s="263"/>
      <c r="FT155" s="263"/>
      <c r="FU155" s="263"/>
      <c r="FV155" s="263"/>
      <c r="FW155" s="263"/>
      <c r="FX155" s="263"/>
      <c r="FY155" s="263"/>
      <c r="FZ155" s="263"/>
      <c r="GA155" s="263"/>
      <c r="GB155" s="263"/>
      <c r="GC155" s="263"/>
      <c r="GD155" s="263"/>
      <c r="GE155" s="263"/>
      <c r="GF155" s="263"/>
      <c r="GG155" s="263"/>
      <c r="GH155" s="263"/>
      <c r="GI155" s="263"/>
      <c r="GJ155" s="263"/>
      <c r="GK155" s="263"/>
      <c r="GL155" s="263"/>
      <c r="GM155" s="263"/>
      <c r="GN155" s="263"/>
      <c r="GO155" s="263"/>
      <c r="GP155" s="263"/>
      <c r="GQ155" s="263"/>
      <c r="GR155" s="263"/>
      <c r="GS155" s="263"/>
      <c r="GT155" s="263"/>
      <c r="GU155" s="263"/>
      <c r="GV155" s="263"/>
      <c r="GW155" s="263"/>
      <c r="GX155" s="263"/>
      <c r="GY155" s="263"/>
      <c r="GZ155" s="263"/>
      <c r="HA155" s="263"/>
      <c r="HB155" s="263"/>
      <c r="HC155" s="263"/>
      <c r="HD155" s="263"/>
      <c r="HE155" s="263"/>
      <c r="HF155" s="263"/>
      <c r="HG155" s="263"/>
      <c r="HH155" s="263"/>
      <c r="HI155" s="263"/>
      <c r="HJ155" s="263"/>
      <c r="HK155" s="263"/>
      <c r="HL155" s="263"/>
      <c r="HM155" s="263"/>
      <c r="HN155" s="263"/>
      <c r="HO155" s="263"/>
      <c r="HP155" s="263"/>
      <c r="HQ155" s="263"/>
      <c r="HR155" s="263"/>
      <c r="HS155" s="263"/>
      <c r="HT155" s="263"/>
      <c r="HU155" s="263"/>
      <c r="HV155" s="263"/>
      <c r="HW155" s="263"/>
      <c r="HX155" s="263"/>
      <c r="HY155" s="263"/>
      <c r="HZ155" s="263"/>
      <c r="IA155" s="263"/>
      <c r="IB155" s="263"/>
      <c r="IC155" s="263"/>
      <c r="ID155" s="263"/>
      <c r="IE155" s="263"/>
      <c r="IF155" s="263"/>
      <c r="IG155" s="263"/>
      <c r="IH155" s="263"/>
      <c r="II155" s="263"/>
      <c r="IJ155" s="263"/>
      <c r="IK155" s="263"/>
      <c r="IL155" s="263"/>
      <c r="IM155" s="263"/>
      <c r="IN155" s="263"/>
      <c r="IO155" s="263"/>
      <c r="IP155" s="263"/>
      <c r="IQ155" s="263"/>
      <c r="IR155" s="263"/>
      <c r="IS155" s="263"/>
      <c r="IT155" s="263"/>
      <c r="IU155" s="263"/>
    </row>
    <row r="156" spans="1:255" ht="15.6">
      <c r="A156" s="263"/>
      <c r="B156" s="263"/>
      <c r="C156" s="263"/>
      <c r="D156" s="263"/>
      <c r="E156" s="263"/>
      <c r="F156" s="263"/>
      <c r="G156" s="263"/>
      <c r="H156" s="263"/>
      <c r="I156" s="263"/>
      <c r="J156" s="263"/>
      <c r="K156" s="263"/>
      <c r="L156" s="263"/>
      <c r="M156" s="263"/>
      <c r="N156" s="263"/>
      <c r="O156" s="263"/>
      <c r="P156" s="263"/>
      <c r="Q156" s="263"/>
      <c r="R156" s="263"/>
      <c r="S156" s="263"/>
      <c r="T156" s="263"/>
      <c r="U156" s="263"/>
      <c r="V156" s="263"/>
      <c r="W156" s="263"/>
      <c r="X156" s="263"/>
      <c r="Y156" s="263"/>
      <c r="Z156" s="263"/>
      <c r="AA156" s="263"/>
      <c r="AB156" s="263"/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  <c r="AO156" s="263"/>
      <c r="AP156" s="263"/>
      <c r="AQ156" s="263"/>
      <c r="AR156" s="263"/>
      <c r="AS156" s="263"/>
      <c r="AT156" s="263"/>
      <c r="AU156" s="263"/>
      <c r="AV156" s="263"/>
      <c r="AW156" s="263"/>
      <c r="AX156" s="263"/>
      <c r="AY156" s="263"/>
      <c r="AZ156" s="263"/>
      <c r="BA156" s="263"/>
      <c r="BB156" s="263"/>
      <c r="BC156" s="263"/>
      <c r="BD156" s="263"/>
      <c r="BE156" s="263"/>
      <c r="BF156" s="263"/>
      <c r="BG156" s="263"/>
      <c r="BH156" s="263"/>
      <c r="BI156" s="263"/>
      <c r="BJ156" s="263"/>
      <c r="BK156" s="263"/>
      <c r="BL156" s="263"/>
      <c r="BM156" s="263"/>
      <c r="BN156" s="263"/>
      <c r="BO156" s="263"/>
      <c r="BP156" s="263"/>
      <c r="BQ156" s="263"/>
      <c r="BR156" s="263"/>
      <c r="BS156" s="263"/>
      <c r="BT156" s="263"/>
      <c r="BU156" s="263"/>
      <c r="BV156" s="263"/>
      <c r="BW156" s="263"/>
      <c r="BX156" s="263"/>
      <c r="BY156" s="263"/>
      <c r="BZ156" s="263"/>
      <c r="CA156" s="263"/>
      <c r="CB156" s="263"/>
      <c r="CC156" s="263"/>
      <c r="CD156" s="263"/>
      <c r="CE156" s="263"/>
      <c r="CF156" s="263"/>
      <c r="CG156" s="263"/>
      <c r="CH156" s="263"/>
      <c r="CI156" s="263"/>
      <c r="CJ156" s="263"/>
      <c r="CK156" s="263"/>
      <c r="CL156" s="263"/>
      <c r="CM156" s="263"/>
      <c r="CN156" s="263"/>
      <c r="CO156" s="263"/>
      <c r="CP156" s="263"/>
      <c r="CQ156" s="263"/>
      <c r="CR156" s="263"/>
      <c r="CS156" s="263"/>
      <c r="CT156" s="263"/>
      <c r="CU156" s="263"/>
      <c r="CV156" s="263"/>
      <c r="CW156" s="263"/>
      <c r="CX156" s="263"/>
      <c r="CY156" s="263"/>
      <c r="CZ156" s="263"/>
      <c r="DA156" s="263"/>
      <c r="DB156" s="263"/>
      <c r="DC156" s="263"/>
      <c r="DD156" s="263"/>
      <c r="DE156" s="263"/>
      <c r="DF156" s="263"/>
      <c r="DG156" s="263"/>
      <c r="DH156" s="263"/>
      <c r="DI156" s="263"/>
      <c r="DJ156" s="263"/>
      <c r="DK156" s="263"/>
      <c r="DL156" s="263"/>
      <c r="DM156" s="263"/>
      <c r="DN156" s="263"/>
      <c r="DO156" s="263"/>
      <c r="DP156" s="263"/>
      <c r="DQ156" s="263"/>
      <c r="DR156" s="263"/>
      <c r="DS156" s="263"/>
      <c r="DT156" s="263"/>
      <c r="DU156" s="263"/>
      <c r="DV156" s="263"/>
      <c r="DW156" s="263"/>
      <c r="DX156" s="263"/>
      <c r="DY156" s="263"/>
      <c r="DZ156" s="263"/>
      <c r="EA156" s="263"/>
      <c r="EB156" s="263"/>
      <c r="EC156" s="263"/>
      <c r="ED156" s="263"/>
      <c r="EE156" s="263"/>
      <c r="EF156" s="263"/>
      <c r="EG156" s="263"/>
      <c r="EH156" s="263"/>
      <c r="EI156" s="263"/>
      <c r="EJ156" s="263"/>
      <c r="EK156" s="263"/>
      <c r="EL156" s="263"/>
      <c r="EM156" s="263"/>
      <c r="EN156" s="263"/>
      <c r="EO156" s="263"/>
      <c r="EP156" s="263"/>
      <c r="EQ156" s="263"/>
      <c r="ER156" s="263"/>
      <c r="ES156" s="263"/>
      <c r="ET156" s="263"/>
      <c r="EU156" s="263"/>
      <c r="EV156" s="263"/>
      <c r="EW156" s="263"/>
      <c r="EX156" s="263"/>
      <c r="EY156" s="263"/>
      <c r="EZ156" s="263"/>
      <c r="FA156" s="263"/>
      <c r="FB156" s="263"/>
      <c r="FC156" s="263"/>
      <c r="FD156" s="263"/>
      <c r="FE156" s="263"/>
      <c r="FF156" s="263"/>
      <c r="FG156" s="263"/>
      <c r="FH156" s="263"/>
      <c r="FI156" s="263"/>
      <c r="FJ156" s="263"/>
      <c r="FK156" s="263"/>
      <c r="FL156" s="263"/>
      <c r="FM156" s="263"/>
      <c r="FN156" s="263"/>
      <c r="FO156" s="263"/>
      <c r="FP156" s="263"/>
      <c r="FQ156" s="263"/>
      <c r="FR156" s="263"/>
      <c r="FS156" s="263"/>
      <c r="FT156" s="263"/>
      <c r="FU156" s="263"/>
      <c r="FV156" s="263"/>
      <c r="FW156" s="263"/>
      <c r="FX156" s="263"/>
      <c r="FY156" s="263"/>
      <c r="FZ156" s="263"/>
      <c r="GA156" s="263"/>
      <c r="GB156" s="263"/>
      <c r="GC156" s="263"/>
      <c r="GD156" s="263"/>
      <c r="GE156" s="263"/>
      <c r="GF156" s="263"/>
      <c r="GG156" s="263"/>
      <c r="GH156" s="263"/>
      <c r="GI156" s="263"/>
      <c r="GJ156" s="263"/>
      <c r="GK156" s="263"/>
      <c r="GL156" s="263"/>
      <c r="GM156" s="263"/>
      <c r="GN156" s="263"/>
      <c r="GO156" s="263"/>
      <c r="GP156" s="263"/>
      <c r="GQ156" s="263"/>
      <c r="GR156" s="263"/>
      <c r="GS156" s="263"/>
      <c r="GT156" s="263"/>
      <c r="GU156" s="263"/>
      <c r="GV156" s="263"/>
      <c r="GW156" s="263"/>
      <c r="GX156" s="263"/>
      <c r="GY156" s="263"/>
      <c r="GZ156" s="263"/>
      <c r="HA156" s="263"/>
      <c r="HB156" s="263"/>
      <c r="HC156" s="263"/>
      <c r="HD156" s="263"/>
      <c r="HE156" s="263"/>
      <c r="HF156" s="263"/>
      <c r="HG156" s="263"/>
      <c r="HH156" s="263"/>
      <c r="HI156" s="263"/>
      <c r="HJ156" s="263"/>
      <c r="HK156" s="263"/>
      <c r="HL156" s="263"/>
      <c r="HM156" s="263"/>
      <c r="HN156" s="263"/>
      <c r="HO156" s="263"/>
      <c r="HP156" s="263"/>
      <c r="HQ156" s="263"/>
      <c r="HR156" s="263"/>
      <c r="HS156" s="263"/>
      <c r="HT156" s="263"/>
      <c r="HU156" s="263"/>
      <c r="HV156" s="263"/>
      <c r="HW156" s="263"/>
      <c r="HX156" s="263"/>
      <c r="HY156" s="263"/>
      <c r="HZ156" s="263"/>
      <c r="IA156" s="263"/>
      <c r="IB156" s="263"/>
      <c r="IC156" s="263"/>
      <c r="ID156" s="263"/>
      <c r="IE156" s="263"/>
      <c r="IF156" s="263"/>
      <c r="IG156" s="263"/>
      <c r="IH156" s="263"/>
      <c r="II156" s="263"/>
      <c r="IJ156" s="263"/>
      <c r="IK156" s="263"/>
      <c r="IL156" s="263"/>
      <c r="IM156" s="263"/>
      <c r="IN156" s="263"/>
      <c r="IO156" s="263"/>
      <c r="IP156" s="263"/>
      <c r="IQ156" s="263"/>
      <c r="IR156" s="263"/>
      <c r="IS156" s="263"/>
      <c r="IT156" s="263"/>
      <c r="IU156" s="263"/>
    </row>
    <row r="157" spans="1:255" ht="15.6">
      <c r="A157" s="263"/>
      <c r="B157" s="263"/>
      <c r="C157" s="263"/>
      <c r="D157" s="263"/>
      <c r="E157" s="263"/>
      <c r="F157" s="263"/>
      <c r="G157" s="263"/>
      <c r="H157" s="263"/>
      <c r="I157" s="263"/>
      <c r="J157" s="263"/>
      <c r="K157" s="263"/>
      <c r="L157" s="263"/>
      <c r="M157" s="263"/>
      <c r="N157" s="263"/>
      <c r="O157" s="263"/>
      <c r="P157" s="263"/>
      <c r="Q157" s="263"/>
      <c r="R157" s="263"/>
      <c r="S157" s="263"/>
      <c r="T157" s="263"/>
      <c r="U157" s="263"/>
      <c r="V157" s="263"/>
      <c r="W157" s="263"/>
      <c r="X157" s="263"/>
      <c r="Y157" s="263"/>
      <c r="Z157" s="263"/>
      <c r="AA157" s="263"/>
      <c r="AB157" s="263"/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  <c r="AO157" s="263"/>
      <c r="AP157" s="263"/>
      <c r="AQ157" s="263"/>
      <c r="AR157" s="263"/>
      <c r="AS157" s="263"/>
      <c r="AT157" s="263"/>
      <c r="AU157" s="263"/>
      <c r="AV157" s="263"/>
      <c r="AW157" s="263"/>
      <c r="AX157" s="263"/>
      <c r="AY157" s="263"/>
      <c r="AZ157" s="263"/>
      <c r="BA157" s="263"/>
      <c r="BB157" s="263"/>
      <c r="BC157" s="263"/>
      <c r="BD157" s="263"/>
      <c r="BE157" s="263"/>
      <c r="BF157" s="263"/>
      <c r="BG157" s="263"/>
      <c r="BH157" s="263"/>
      <c r="BI157" s="263"/>
      <c r="BJ157" s="263"/>
      <c r="BK157" s="263"/>
      <c r="BL157" s="263"/>
      <c r="BM157" s="263"/>
      <c r="BN157" s="263"/>
      <c r="BO157" s="263"/>
      <c r="BP157" s="263"/>
      <c r="BQ157" s="263"/>
      <c r="BR157" s="263"/>
      <c r="BS157" s="263"/>
      <c r="BT157" s="263"/>
      <c r="BU157" s="263"/>
      <c r="BV157" s="263"/>
      <c r="BW157" s="263"/>
      <c r="BX157" s="263"/>
      <c r="BY157" s="263"/>
      <c r="BZ157" s="263"/>
      <c r="CA157" s="263"/>
      <c r="CB157" s="263"/>
      <c r="CC157" s="263"/>
      <c r="CD157" s="263"/>
      <c r="CE157" s="263"/>
      <c r="CF157" s="263"/>
      <c r="CG157" s="263"/>
      <c r="CH157" s="263"/>
      <c r="CI157" s="263"/>
      <c r="CJ157" s="263"/>
      <c r="CK157" s="263"/>
      <c r="CL157" s="263"/>
      <c r="CM157" s="263"/>
      <c r="CN157" s="263"/>
      <c r="CO157" s="263"/>
      <c r="CP157" s="263"/>
      <c r="CQ157" s="263"/>
      <c r="CR157" s="263"/>
      <c r="CS157" s="263"/>
      <c r="CT157" s="263"/>
      <c r="CU157" s="263"/>
      <c r="CV157" s="263"/>
      <c r="CW157" s="263"/>
      <c r="CX157" s="263"/>
      <c r="CY157" s="263"/>
      <c r="CZ157" s="263"/>
      <c r="DA157" s="263"/>
      <c r="DB157" s="263"/>
      <c r="DC157" s="263"/>
      <c r="DD157" s="263"/>
      <c r="DE157" s="263"/>
      <c r="DF157" s="263"/>
      <c r="DG157" s="263"/>
      <c r="DH157" s="263"/>
      <c r="DI157" s="263"/>
      <c r="DJ157" s="263"/>
      <c r="DK157" s="263"/>
      <c r="DL157" s="263"/>
      <c r="DM157" s="263"/>
      <c r="DN157" s="263"/>
      <c r="DO157" s="263"/>
      <c r="DP157" s="263"/>
      <c r="DQ157" s="263"/>
      <c r="DR157" s="263"/>
      <c r="DS157" s="263"/>
      <c r="DT157" s="263"/>
      <c r="DU157" s="263"/>
      <c r="DV157" s="263"/>
      <c r="DW157" s="263"/>
      <c r="DX157" s="263"/>
      <c r="DY157" s="263"/>
      <c r="DZ157" s="263"/>
      <c r="EA157" s="263"/>
      <c r="EB157" s="263"/>
      <c r="EC157" s="263"/>
      <c r="ED157" s="263"/>
      <c r="EE157" s="263"/>
      <c r="EF157" s="263"/>
      <c r="EG157" s="263"/>
      <c r="EH157" s="263"/>
      <c r="EI157" s="263"/>
      <c r="EJ157" s="263"/>
      <c r="EK157" s="263"/>
      <c r="EL157" s="263"/>
      <c r="EM157" s="263"/>
      <c r="EN157" s="263"/>
      <c r="EO157" s="263"/>
      <c r="EP157" s="263"/>
      <c r="EQ157" s="263"/>
      <c r="ER157" s="263"/>
      <c r="ES157" s="263"/>
      <c r="ET157" s="263"/>
      <c r="EU157" s="263"/>
      <c r="EV157" s="263"/>
      <c r="EW157" s="263"/>
      <c r="EX157" s="263"/>
      <c r="EY157" s="263"/>
      <c r="EZ157" s="263"/>
      <c r="FA157" s="263"/>
      <c r="FB157" s="263"/>
      <c r="FC157" s="263"/>
      <c r="FD157" s="263"/>
      <c r="FE157" s="263"/>
      <c r="FF157" s="263"/>
      <c r="FG157" s="263"/>
      <c r="FH157" s="263"/>
      <c r="FI157" s="263"/>
      <c r="FJ157" s="263"/>
      <c r="FK157" s="263"/>
      <c r="FL157" s="263"/>
      <c r="FM157" s="263"/>
      <c r="FN157" s="263"/>
      <c r="FO157" s="263"/>
      <c r="FP157" s="263"/>
      <c r="FQ157" s="263"/>
      <c r="FR157" s="263"/>
      <c r="FS157" s="263"/>
      <c r="FT157" s="263"/>
      <c r="FU157" s="263"/>
      <c r="FV157" s="263"/>
      <c r="FW157" s="263"/>
      <c r="FX157" s="263"/>
      <c r="FY157" s="263"/>
      <c r="FZ157" s="263"/>
      <c r="GA157" s="263"/>
      <c r="GB157" s="263"/>
      <c r="GC157" s="263"/>
      <c r="GD157" s="263"/>
      <c r="GE157" s="263"/>
      <c r="GF157" s="263"/>
      <c r="GG157" s="263"/>
      <c r="GH157" s="263"/>
      <c r="GI157" s="263"/>
      <c r="GJ157" s="263"/>
      <c r="GK157" s="263"/>
      <c r="GL157" s="263"/>
      <c r="GM157" s="263"/>
      <c r="GN157" s="263"/>
      <c r="GO157" s="263"/>
      <c r="GP157" s="263"/>
      <c r="GQ157" s="263"/>
      <c r="GR157" s="263"/>
      <c r="GS157" s="263"/>
      <c r="GT157" s="263"/>
      <c r="GU157" s="263"/>
      <c r="GV157" s="263"/>
      <c r="GW157" s="263"/>
      <c r="GX157" s="263"/>
      <c r="GY157" s="263"/>
      <c r="GZ157" s="263"/>
      <c r="HA157" s="263"/>
      <c r="HB157" s="263"/>
      <c r="HC157" s="263"/>
      <c r="HD157" s="263"/>
      <c r="HE157" s="263"/>
      <c r="HF157" s="263"/>
      <c r="HG157" s="263"/>
      <c r="HH157" s="263"/>
      <c r="HI157" s="263"/>
      <c r="HJ157" s="263"/>
      <c r="HK157" s="263"/>
      <c r="HL157" s="263"/>
      <c r="HM157" s="263"/>
      <c r="HN157" s="263"/>
      <c r="HO157" s="263"/>
      <c r="HP157" s="263"/>
      <c r="HQ157" s="263"/>
      <c r="HR157" s="263"/>
      <c r="HS157" s="263"/>
      <c r="HT157" s="263"/>
      <c r="HU157" s="263"/>
      <c r="HV157" s="263"/>
      <c r="HW157" s="263"/>
      <c r="HX157" s="263"/>
      <c r="HY157" s="263"/>
      <c r="HZ157" s="263"/>
      <c r="IA157" s="263"/>
      <c r="IB157" s="263"/>
      <c r="IC157" s="263"/>
      <c r="ID157" s="263"/>
      <c r="IE157" s="263"/>
      <c r="IF157" s="263"/>
      <c r="IG157" s="263"/>
      <c r="IH157" s="263"/>
      <c r="II157" s="263"/>
      <c r="IJ157" s="263"/>
      <c r="IK157" s="263"/>
      <c r="IL157" s="263"/>
      <c r="IM157" s="263"/>
      <c r="IN157" s="263"/>
      <c r="IO157" s="263"/>
      <c r="IP157" s="263"/>
      <c r="IQ157" s="263"/>
      <c r="IR157" s="263"/>
      <c r="IS157" s="263"/>
      <c r="IT157" s="263"/>
      <c r="IU157" s="263"/>
    </row>
    <row r="158" spans="1:255" ht="15.6">
      <c r="A158" s="263"/>
      <c r="B158" s="263"/>
      <c r="C158" s="263"/>
      <c r="D158" s="263"/>
      <c r="E158" s="263"/>
      <c r="F158" s="263"/>
      <c r="G158" s="263"/>
      <c r="H158" s="263"/>
      <c r="I158" s="263"/>
      <c r="J158" s="263"/>
      <c r="K158" s="263"/>
      <c r="L158" s="263"/>
      <c r="M158" s="263"/>
      <c r="N158" s="263"/>
      <c r="O158" s="263"/>
      <c r="P158" s="263"/>
      <c r="Q158" s="263"/>
      <c r="R158" s="263"/>
      <c r="S158" s="263"/>
      <c r="T158" s="263"/>
      <c r="U158" s="263"/>
      <c r="V158" s="263"/>
      <c r="W158" s="263"/>
      <c r="X158" s="263"/>
      <c r="Y158" s="263"/>
      <c r="Z158" s="263"/>
      <c r="AA158" s="263"/>
      <c r="AB158" s="263"/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  <c r="AO158" s="263"/>
      <c r="AP158" s="263"/>
      <c r="AQ158" s="263"/>
      <c r="AR158" s="263"/>
      <c r="AS158" s="263"/>
      <c r="AT158" s="263"/>
      <c r="AU158" s="263"/>
      <c r="AV158" s="263"/>
      <c r="AW158" s="263"/>
      <c r="AX158" s="263"/>
      <c r="AY158" s="263"/>
      <c r="AZ158" s="263"/>
      <c r="BA158" s="263"/>
      <c r="BB158" s="263"/>
      <c r="BC158" s="263"/>
      <c r="BD158" s="263"/>
      <c r="BE158" s="263"/>
      <c r="BF158" s="263"/>
      <c r="BG158" s="263"/>
      <c r="BH158" s="263"/>
      <c r="BI158" s="263"/>
      <c r="BJ158" s="263"/>
      <c r="BK158" s="263"/>
      <c r="BL158" s="263"/>
      <c r="BM158" s="263"/>
      <c r="BN158" s="263"/>
      <c r="BO158" s="263"/>
      <c r="BP158" s="263"/>
      <c r="BQ158" s="263"/>
      <c r="BR158" s="263"/>
      <c r="BS158" s="263"/>
      <c r="BT158" s="263"/>
      <c r="BU158" s="263"/>
      <c r="BV158" s="263"/>
      <c r="BW158" s="263"/>
      <c r="BX158" s="263"/>
      <c r="BY158" s="263"/>
      <c r="BZ158" s="263"/>
      <c r="CA158" s="263"/>
      <c r="CB158" s="263"/>
      <c r="CC158" s="263"/>
      <c r="CD158" s="263"/>
      <c r="CE158" s="263"/>
      <c r="CF158" s="263"/>
      <c r="CG158" s="263"/>
      <c r="CH158" s="263"/>
      <c r="CI158" s="263"/>
      <c r="CJ158" s="263"/>
      <c r="CK158" s="263"/>
      <c r="CL158" s="263"/>
      <c r="CM158" s="263"/>
      <c r="CN158" s="263"/>
      <c r="CO158" s="263"/>
      <c r="CP158" s="263"/>
      <c r="CQ158" s="263"/>
      <c r="CR158" s="263"/>
      <c r="CS158" s="263"/>
      <c r="CT158" s="263"/>
      <c r="CU158" s="263"/>
      <c r="CV158" s="263"/>
      <c r="CW158" s="263"/>
      <c r="CX158" s="263"/>
      <c r="CY158" s="263"/>
      <c r="CZ158" s="263"/>
      <c r="DA158" s="263"/>
      <c r="DB158" s="263"/>
      <c r="DC158" s="263"/>
      <c r="DD158" s="263"/>
      <c r="DE158" s="263"/>
      <c r="DF158" s="263"/>
      <c r="DG158" s="263"/>
      <c r="DH158" s="263"/>
      <c r="DI158" s="263"/>
      <c r="DJ158" s="263"/>
      <c r="DK158" s="263"/>
      <c r="DL158" s="263"/>
      <c r="DM158" s="263"/>
      <c r="DN158" s="263"/>
      <c r="DO158" s="263"/>
      <c r="DP158" s="263"/>
      <c r="DQ158" s="263"/>
      <c r="DR158" s="263"/>
      <c r="DS158" s="263"/>
      <c r="DT158" s="263"/>
      <c r="DU158" s="263"/>
      <c r="DV158" s="263"/>
      <c r="DW158" s="263"/>
      <c r="DX158" s="263"/>
      <c r="DY158" s="263"/>
      <c r="DZ158" s="263"/>
      <c r="EA158" s="263"/>
      <c r="EB158" s="263"/>
      <c r="EC158" s="263"/>
      <c r="ED158" s="263"/>
      <c r="EE158" s="263"/>
      <c r="EF158" s="263"/>
      <c r="EG158" s="263"/>
      <c r="EH158" s="263"/>
      <c r="EI158" s="263"/>
      <c r="EJ158" s="263"/>
      <c r="EK158" s="263"/>
      <c r="EL158" s="263"/>
      <c r="EM158" s="263"/>
      <c r="EN158" s="263"/>
      <c r="EO158" s="263"/>
      <c r="EP158" s="263"/>
      <c r="EQ158" s="263"/>
      <c r="ER158" s="263"/>
      <c r="ES158" s="263"/>
      <c r="ET158" s="263"/>
      <c r="EU158" s="263"/>
      <c r="EV158" s="263"/>
      <c r="EW158" s="263"/>
      <c r="EX158" s="263"/>
      <c r="EY158" s="263"/>
      <c r="EZ158" s="263"/>
      <c r="FA158" s="263"/>
      <c r="FB158" s="263"/>
      <c r="FC158" s="263"/>
      <c r="FD158" s="263"/>
      <c r="FE158" s="263"/>
      <c r="FF158" s="263"/>
      <c r="FG158" s="263"/>
      <c r="FH158" s="263"/>
      <c r="FI158" s="263"/>
      <c r="FJ158" s="263"/>
      <c r="FK158" s="263"/>
      <c r="FL158" s="263"/>
      <c r="FM158" s="263"/>
      <c r="FN158" s="263"/>
      <c r="FO158" s="263"/>
      <c r="FP158" s="263"/>
      <c r="FQ158" s="263"/>
      <c r="FR158" s="263"/>
      <c r="FS158" s="263"/>
      <c r="FT158" s="263"/>
      <c r="FU158" s="263"/>
      <c r="FV158" s="263"/>
      <c r="FW158" s="263"/>
      <c r="FX158" s="263"/>
      <c r="FY158" s="263"/>
      <c r="FZ158" s="263"/>
      <c r="GA158" s="263"/>
      <c r="GB158" s="263"/>
      <c r="GC158" s="263"/>
      <c r="GD158" s="263"/>
      <c r="GE158" s="263"/>
      <c r="GF158" s="263"/>
      <c r="GG158" s="263"/>
      <c r="GH158" s="263"/>
      <c r="GI158" s="263"/>
      <c r="GJ158" s="263"/>
      <c r="GK158" s="263"/>
      <c r="GL158" s="263"/>
      <c r="GM158" s="263"/>
      <c r="GN158" s="263"/>
      <c r="GO158" s="263"/>
      <c r="GP158" s="263"/>
      <c r="GQ158" s="263"/>
      <c r="GR158" s="263"/>
      <c r="GS158" s="263"/>
      <c r="GT158" s="263"/>
      <c r="GU158" s="263"/>
      <c r="GV158" s="263"/>
      <c r="GW158" s="263"/>
      <c r="GX158" s="263"/>
      <c r="GY158" s="263"/>
      <c r="GZ158" s="263"/>
      <c r="HA158" s="263"/>
      <c r="HB158" s="263"/>
      <c r="HC158" s="263"/>
      <c r="HD158" s="263"/>
      <c r="HE158" s="263"/>
      <c r="HF158" s="263"/>
      <c r="HG158" s="263"/>
      <c r="HH158" s="263"/>
      <c r="HI158" s="263"/>
      <c r="HJ158" s="263"/>
      <c r="HK158" s="263"/>
      <c r="HL158" s="263"/>
      <c r="HM158" s="263"/>
      <c r="HN158" s="263"/>
      <c r="HO158" s="263"/>
      <c r="HP158" s="263"/>
      <c r="HQ158" s="263"/>
      <c r="HR158" s="263"/>
      <c r="HS158" s="263"/>
      <c r="HT158" s="263"/>
      <c r="HU158" s="263"/>
      <c r="HV158" s="263"/>
      <c r="HW158" s="263"/>
      <c r="HX158" s="263"/>
      <c r="HY158" s="263"/>
      <c r="HZ158" s="263"/>
      <c r="IA158" s="263"/>
      <c r="IB158" s="263"/>
      <c r="IC158" s="263"/>
      <c r="ID158" s="263"/>
      <c r="IE158" s="263"/>
      <c r="IF158" s="263"/>
      <c r="IG158" s="263"/>
      <c r="IH158" s="263"/>
      <c r="II158" s="263"/>
      <c r="IJ158" s="263"/>
      <c r="IK158" s="263"/>
      <c r="IL158" s="263"/>
      <c r="IM158" s="263"/>
      <c r="IN158" s="263"/>
      <c r="IO158" s="263"/>
      <c r="IP158" s="263"/>
      <c r="IQ158" s="263"/>
      <c r="IR158" s="263"/>
      <c r="IS158" s="263"/>
      <c r="IT158" s="263"/>
      <c r="IU158" s="263"/>
    </row>
    <row r="159" spans="1:255" ht="15.6">
      <c r="A159" s="263"/>
      <c r="B159" s="263"/>
      <c r="C159" s="263"/>
      <c r="D159" s="263"/>
      <c r="E159" s="263"/>
      <c r="F159" s="263"/>
      <c r="G159" s="263"/>
      <c r="H159" s="263"/>
      <c r="I159" s="263"/>
      <c r="J159" s="263"/>
      <c r="K159" s="263"/>
      <c r="L159" s="263"/>
      <c r="M159" s="263"/>
      <c r="N159" s="263"/>
      <c r="O159" s="263"/>
      <c r="P159" s="263"/>
      <c r="Q159" s="263"/>
      <c r="R159" s="263"/>
      <c r="S159" s="263"/>
      <c r="T159" s="263"/>
      <c r="U159" s="263"/>
      <c r="V159" s="263"/>
      <c r="W159" s="263"/>
      <c r="X159" s="263"/>
      <c r="Y159" s="263"/>
      <c r="Z159" s="263"/>
      <c r="AA159" s="263"/>
      <c r="AB159" s="263"/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  <c r="AO159" s="263"/>
      <c r="AP159" s="263"/>
      <c r="AQ159" s="263"/>
      <c r="AR159" s="263"/>
      <c r="AS159" s="263"/>
      <c r="AT159" s="263"/>
      <c r="AU159" s="263"/>
      <c r="AV159" s="263"/>
      <c r="AW159" s="263"/>
      <c r="AX159" s="263"/>
      <c r="AY159" s="263"/>
      <c r="AZ159" s="263"/>
      <c r="BA159" s="263"/>
      <c r="BB159" s="263"/>
      <c r="BC159" s="263"/>
      <c r="BD159" s="263"/>
      <c r="BE159" s="263"/>
      <c r="BF159" s="263"/>
      <c r="BG159" s="263"/>
      <c r="BH159" s="263"/>
      <c r="BI159" s="263"/>
      <c r="BJ159" s="263"/>
      <c r="BK159" s="263"/>
      <c r="BL159" s="263"/>
      <c r="BM159" s="263"/>
      <c r="BN159" s="263"/>
      <c r="BO159" s="263"/>
      <c r="BP159" s="263"/>
      <c r="BQ159" s="263"/>
      <c r="BR159" s="263"/>
      <c r="BS159" s="263"/>
      <c r="BT159" s="263"/>
      <c r="BU159" s="263"/>
      <c r="BV159" s="263"/>
      <c r="BW159" s="263"/>
      <c r="BX159" s="263"/>
      <c r="BY159" s="263"/>
      <c r="BZ159" s="263"/>
      <c r="CA159" s="263"/>
      <c r="CB159" s="263"/>
      <c r="CC159" s="263"/>
      <c r="CD159" s="263"/>
      <c r="CE159" s="263"/>
      <c r="CF159" s="263"/>
      <c r="CG159" s="263"/>
      <c r="CH159" s="263"/>
      <c r="CI159" s="263"/>
      <c r="CJ159" s="263"/>
      <c r="CK159" s="263"/>
      <c r="CL159" s="263"/>
      <c r="CM159" s="263"/>
      <c r="CN159" s="263"/>
      <c r="CO159" s="263"/>
      <c r="CP159" s="263"/>
      <c r="CQ159" s="263"/>
      <c r="CR159" s="263"/>
      <c r="CS159" s="263"/>
      <c r="CT159" s="263"/>
      <c r="CU159" s="263"/>
      <c r="CV159" s="263"/>
      <c r="CW159" s="263"/>
      <c r="CX159" s="263"/>
      <c r="CY159" s="263"/>
      <c r="CZ159" s="263"/>
      <c r="DA159" s="263"/>
      <c r="DB159" s="263"/>
      <c r="DC159" s="263"/>
      <c r="DD159" s="263"/>
      <c r="DE159" s="263"/>
      <c r="DF159" s="263"/>
      <c r="DG159" s="263"/>
      <c r="DH159" s="263"/>
      <c r="DI159" s="263"/>
      <c r="DJ159" s="263"/>
      <c r="DK159" s="263"/>
      <c r="DL159" s="263"/>
      <c r="DM159" s="263"/>
      <c r="DN159" s="263"/>
      <c r="DO159" s="263"/>
      <c r="DP159" s="263"/>
      <c r="DQ159" s="263"/>
      <c r="DR159" s="263"/>
      <c r="DS159" s="263"/>
      <c r="DT159" s="263"/>
      <c r="DU159" s="263"/>
      <c r="DV159" s="263"/>
      <c r="DW159" s="263"/>
      <c r="DX159" s="263"/>
      <c r="DY159" s="263"/>
      <c r="DZ159" s="263"/>
      <c r="EA159" s="263"/>
      <c r="EB159" s="263"/>
      <c r="EC159" s="263"/>
      <c r="ED159" s="263"/>
      <c r="EE159" s="263"/>
      <c r="EF159" s="263"/>
      <c r="EG159" s="263"/>
      <c r="EH159" s="263"/>
      <c r="EI159" s="263"/>
      <c r="EJ159" s="263"/>
      <c r="EK159" s="263"/>
      <c r="EL159" s="263"/>
      <c r="EM159" s="263"/>
      <c r="EN159" s="263"/>
      <c r="EO159" s="263"/>
      <c r="EP159" s="263"/>
      <c r="EQ159" s="263"/>
      <c r="ER159" s="263"/>
      <c r="ES159" s="263"/>
      <c r="ET159" s="263"/>
      <c r="EU159" s="263"/>
      <c r="EV159" s="263"/>
      <c r="EW159" s="263"/>
      <c r="EX159" s="263"/>
      <c r="EY159" s="263"/>
      <c r="EZ159" s="263"/>
      <c r="FA159" s="263"/>
      <c r="FB159" s="263"/>
      <c r="FC159" s="263"/>
      <c r="FD159" s="263"/>
      <c r="FE159" s="263"/>
      <c r="FF159" s="263"/>
      <c r="FG159" s="263"/>
      <c r="FH159" s="263"/>
      <c r="FI159" s="263"/>
      <c r="FJ159" s="263"/>
      <c r="FK159" s="263"/>
      <c r="FL159" s="263"/>
      <c r="FM159" s="263"/>
      <c r="FN159" s="263"/>
      <c r="FO159" s="263"/>
      <c r="FP159" s="263"/>
      <c r="FQ159" s="263"/>
      <c r="FR159" s="263"/>
      <c r="FS159" s="263"/>
      <c r="FT159" s="263"/>
      <c r="FU159" s="263"/>
      <c r="FV159" s="263"/>
      <c r="FW159" s="263"/>
      <c r="FX159" s="263"/>
      <c r="FY159" s="263"/>
      <c r="FZ159" s="263"/>
      <c r="GA159" s="263"/>
      <c r="GB159" s="263"/>
      <c r="GC159" s="263"/>
      <c r="GD159" s="263"/>
      <c r="GE159" s="263"/>
      <c r="GF159" s="263"/>
      <c r="GG159" s="263"/>
      <c r="GH159" s="263"/>
      <c r="GI159" s="263"/>
      <c r="GJ159" s="263"/>
      <c r="GK159" s="263"/>
      <c r="GL159" s="263"/>
      <c r="GM159" s="263"/>
      <c r="GN159" s="263"/>
      <c r="GO159" s="263"/>
      <c r="GP159" s="263"/>
      <c r="GQ159" s="263"/>
      <c r="GR159" s="263"/>
      <c r="GS159" s="263"/>
      <c r="GT159" s="263"/>
      <c r="GU159" s="263"/>
      <c r="GV159" s="263"/>
      <c r="GW159" s="263"/>
      <c r="GX159" s="263"/>
      <c r="GY159" s="263"/>
      <c r="GZ159" s="263"/>
      <c r="HA159" s="263"/>
      <c r="HB159" s="263"/>
      <c r="HC159" s="263"/>
      <c r="HD159" s="263"/>
      <c r="HE159" s="263"/>
      <c r="HF159" s="263"/>
      <c r="HG159" s="263"/>
      <c r="HH159" s="263"/>
      <c r="HI159" s="263"/>
      <c r="HJ159" s="263"/>
      <c r="HK159" s="263"/>
      <c r="HL159" s="263"/>
      <c r="HM159" s="263"/>
      <c r="HN159" s="263"/>
      <c r="HO159" s="263"/>
      <c r="HP159" s="263"/>
      <c r="HQ159" s="263"/>
      <c r="HR159" s="263"/>
      <c r="HS159" s="263"/>
      <c r="HT159" s="263"/>
      <c r="HU159" s="263"/>
      <c r="HV159" s="263"/>
      <c r="HW159" s="263"/>
      <c r="HX159" s="263"/>
      <c r="HY159" s="263"/>
      <c r="HZ159" s="263"/>
      <c r="IA159" s="263"/>
      <c r="IB159" s="263"/>
      <c r="IC159" s="263"/>
      <c r="ID159" s="263"/>
      <c r="IE159" s="263"/>
      <c r="IF159" s="263"/>
      <c r="IG159" s="263"/>
      <c r="IH159" s="263"/>
      <c r="II159" s="263"/>
      <c r="IJ159" s="263"/>
      <c r="IK159" s="263"/>
      <c r="IL159" s="263"/>
      <c r="IM159" s="263"/>
      <c r="IN159" s="263"/>
      <c r="IO159" s="263"/>
      <c r="IP159" s="263"/>
      <c r="IQ159" s="263"/>
      <c r="IR159" s="263"/>
      <c r="IS159" s="263"/>
      <c r="IT159" s="263"/>
      <c r="IU159" s="263"/>
    </row>
    <row r="160" spans="1:255" ht="15.6">
      <c r="A160" s="263"/>
      <c r="B160" s="263"/>
      <c r="C160" s="263"/>
      <c r="D160" s="263"/>
      <c r="E160" s="263"/>
      <c r="F160" s="263"/>
      <c r="G160" s="263"/>
      <c r="H160" s="263"/>
      <c r="I160" s="263"/>
      <c r="J160" s="263"/>
      <c r="K160" s="263"/>
      <c r="L160" s="263"/>
      <c r="M160" s="263"/>
      <c r="N160" s="263"/>
      <c r="O160" s="263"/>
      <c r="P160" s="263"/>
      <c r="Q160" s="263"/>
      <c r="R160" s="263"/>
      <c r="S160" s="263"/>
      <c r="T160" s="263"/>
      <c r="U160" s="263"/>
      <c r="V160" s="263"/>
      <c r="W160" s="263"/>
      <c r="X160" s="263"/>
      <c r="Y160" s="263"/>
      <c r="Z160" s="263"/>
      <c r="AA160" s="263"/>
      <c r="AB160" s="263"/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  <c r="AO160" s="263"/>
      <c r="AP160" s="263"/>
      <c r="AQ160" s="263"/>
      <c r="AR160" s="263"/>
      <c r="AS160" s="263"/>
      <c r="AT160" s="263"/>
      <c r="AU160" s="263"/>
      <c r="AV160" s="263"/>
      <c r="AW160" s="263"/>
      <c r="AX160" s="263"/>
      <c r="AY160" s="263"/>
      <c r="AZ160" s="263"/>
      <c r="BA160" s="263"/>
      <c r="BB160" s="263"/>
      <c r="BC160" s="263"/>
      <c r="BD160" s="263"/>
      <c r="BE160" s="263"/>
      <c r="BF160" s="263"/>
      <c r="BG160" s="263"/>
      <c r="BH160" s="263"/>
      <c r="BI160" s="263"/>
      <c r="BJ160" s="263"/>
      <c r="BK160" s="263"/>
      <c r="BL160" s="263"/>
      <c r="BM160" s="263"/>
      <c r="BN160" s="263"/>
      <c r="BO160" s="263"/>
      <c r="BP160" s="263"/>
      <c r="BQ160" s="263"/>
      <c r="BR160" s="263"/>
      <c r="BS160" s="263"/>
      <c r="BT160" s="263"/>
      <c r="BU160" s="263"/>
      <c r="BV160" s="263"/>
      <c r="BW160" s="263"/>
      <c r="BX160" s="263"/>
      <c r="BY160" s="263"/>
      <c r="BZ160" s="263"/>
      <c r="CA160" s="263"/>
      <c r="CB160" s="263"/>
      <c r="CC160" s="263"/>
      <c r="CD160" s="263"/>
      <c r="CE160" s="263"/>
      <c r="CF160" s="263"/>
      <c r="CG160" s="263"/>
      <c r="CH160" s="263"/>
      <c r="CI160" s="263"/>
      <c r="CJ160" s="263"/>
      <c r="CK160" s="263"/>
      <c r="CL160" s="263"/>
      <c r="CM160" s="263"/>
      <c r="CN160" s="263"/>
      <c r="CO160" s="263"/>
      <c r="CP160" s="263"/>
      <c r="CQ160" s="263"/>
      <c r="CR160" s="263"/>
      <c r="CS160" s="263"/>
      <c r="CT160" s="263"/>
      <c r="CU160" s="263"/>
      <c r="CV160" s="263"/>
      <c r="CW160" s="263"/>
      <c r="CX160" s="263"/>
      <c r="CY160" s="263"/>
      <c r="CZ160" s="263"/>
      <c r="DA160" s="263"/>
      <c r="DB160" s="263"/>
      <c r="DC160" s="263"/>
      <c r="DD160" s="263"/>
      <c r="DE160" s="263"/>
      <c r="DF160" s="263"/>
      <c r="DG160" s="263"/>
      <c r="DH160" s="263"/>
      <c r="DI160" s="263"/>
      <c r="DJ160" s="263"/>
      <c r="DK160" s="263"/>
      <c r="DL160" s="263"/>
      <c r="DM160" s="263"/>
      <c r="DN160" s="263"/>
      <c r="DO160" s="263"/>
      <c r="DP160" s="263"/>
      <c r="DQ160" s="263"/>
      <c r="DR160" s="263"/>
      <c r="DS160" s="263"/>
      <c r="DT160" s="263"/>
      <c r="DU160" s="263"/>
      <c r="DV160" s="263"/>
      <c r="DW160" s="263"/>
      <c r="DX160" s="263"/>
      <c r="DY160" s="263"/>
      <c r="DZ160" s="263"/>
      <c r="EA160" s="263"/>
      <c r="EB160" s="263"/>
      <c r="EC160" s="263"/>
      <c r="ED160" s="263"/>
      <c r="EE160" s="263"/>
      <c r="EF160" s="263"/>
      <c r="EG160" s="263"/>
      <c r="EH160" s="263"/>
      <c r="EI160" s="263"/>
      <c r="EJ160" s="263"/>
      <c r="EK160" s="263"/>
      <c r="EL160" s="263"/>
      <c r="EM160" s="263"/>
      <c r="EN160" s="263"/>
      <c r="EO160" s="263"/>
      <c r="EP160" s="263"/>
      <c r="EQ160" s="263"/>
      <c r="ER160" s="263"/>
      <c r="ES160" s="263"/>
      <c r="ET160" s="263"/>
      <c r="EU160" s="263"/>
      <c r="EV160" s="263"/>
      <c r="EW160" s="263"/>
      <c r="EX160" s="263"/>
      <c r="EY160" s="263"/>
      <c r="EZ160" s="263"/>
      <c r="FA160" s="263"/>
      <c r="FB160" s="263"/>
      <c r="FC160" s="263"/>
      <c r="FD160" s="263"/>
      <c r="FE160" s="263"/>
      <c r="FF160" s="263"/>
      <c r="FG160" s="263"/>
      <c r="FH160" s="263"/>
      <c r="FI160" s="263"/>
      <c r="FJ160" s="263"/>
      <c r="FK160" s="263"/>
      <c r="FL160" s="263"/>
      <c r="FM160" s="263"/>
      <c r="FN160" s="263"/>
      <c r="FO160" s="263"/>
      <c r="FP160" s="263"/>
      <c r="FQ160" s="263"/>
      <c r="FR160" s="263"/>
      <c r="FS160" s="263"/>
      <c r="FT160" s="263"/>
      <c r="FU160" s="263"/>
      <c r="FV160" s="263"/>
      <c r="FW160" s="263"/>
      <c r="FX160" s="263"/>
      <c r="FY160" s="263"/>
      <c r="FZ160" s="263"/>
      <c r="GA160" s="263"/>
      <c r="GB160" s="263"/>
      <c r="GC160" s="263"/>
      <c r="GD160" s="263"/>
      <c r="GE160" s="263"/>
      <c r="GF160" s="263"/>
      <c r="GG160" s="263"/>
      <c r="GH160" s="263"/>
      <c r="GI160" s="263"/>
      <c r="GJ160" s="263"/>
      <c r="GK160" s="263"/>
      <c r="GL160" s="263"/>
      <c r="GM160" s="263"/>
      <c r="GN160" s="263"/>
      <c r="GO160" s="263"/>
      <c r="GP160" s="263"/>
      <c r="GQ160" s="263"/>
      <c r="GR160" s="263"/>
      <c r="GS160" s="263"/>
      <c r="GT160" s="263"/>
      <c r="GU160" s="263"/>
      <c r="GV160" s="263"/>
      <c r="GW160" s="263"/>
      <c r="GX160" s="263"/>
      <c r="GY160" s="263"/>
      <c r="GZ160" s="263"/>
      <c r="HA160" s="263"/>
      <c r="HB160" s="263"/>
      <c r="HC160" s="263"/>
      <c r="HD160" s="263"/>
      <c r="HE160" s="263"/>
      <c r="HF160" s="263"/>
      <c r="HG160" s="263"/>
      <c r="HH160" s="263"/>
      <c r="HI160" s="263"/>
      <c r="HJ160" s="263"/>
      <c r="HK160" s="263"/>
      <c r="HL160" s="263"/>
      <c r="HM160" s="263"/>
      <c r="HN160" s="263"/>
      <c r="HO160" s="263"/>
      <c r="HP160" s="263"/>
      <c r="HQ160" s="263"/>
      <c r="HR160" s="263"/>
      <c r="HS160" s="263"/>
      <c r="HT160" s="263"/>
      <c r="HU160" s="263"/>
      <c r="HV160" s="263"/>
      <c r="HW160" s="263"/>
      <c r="HX160" s="263"/>
      <c r="HY160" s="263"/>
      <c r="HZ160" s="263"/>
      <c r="IA160" s="263"/>
      <c r="IB160" s="263"/>
      <c r="IC160" s="263"/>
      <c r="ID160" s="263"/>
      <c r="IE160" s="263"/>
      <c r="IF160" s="263"/>
      <c r="IG160" s="263"/>
      <c r="IH160" s="263"/>
      <c r="II160" s="263"/>
      <c r="IJ160" s="263"/>
      <c r="IK160" s="263"/>
      <c r="IL160" s="263"/>
      <c r="IM160" s="263"/>
      <c r="IN160" s="263"/>
      <c r="IO160" s="263"/>
      <c r="IP160" s="263"/>
      <c r="IQ160" s="263"/>
      <c r="IR160" s="263"/>
      <c r="IS160" s="263"/>
      <c r="IT160" s="263"/>
      <c r="IU160" s="263"/>
    </row>
    <row r="161" spans="1:255" ht="15.6">
      <c r="A161" s="263"/>
      <c r="B161" s="263"/>
      <c r="C161" s="263"/>
      <c r="D161" s="263"/>
      <c r="E161" s="263"/>
      <c r="F161" s="263"/>
      <c r="G161" s="263"/>
      <c r="H161" s="263"/>
      <c r="I161" s="263"/>
      <c r="J161" s="263"/>
      <c r="K161" s="263"/>
      <c r="L161" s="263"/>
      <c r="M161" s="263"/>
      <c r="N161" s="263"/>
      <c r="O161" s="263"/>
      <c r="P161" s="263"/>
      <c r="Q161" s="263"/>
      <c r="R161" s="263"/>
      <c r="S161" s="263"/>
      <c r="T161" s="263"/>
      <c r="U161" s="263"/>
      <c r="V161" s="263"/>
      <c r="W161" s="263"/>
      <c r="X161" s="263"/>
      <c r="Y161" s="263"/>
      <c r="Z161" s="263"/>
      <c r="AA161" s="263"/>
      <c r="AB161" s="263"/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  <c r="AO161" s="263"/>
      <c r="AP161" s="263"/>
      <c r="AQ161" s="263"/>
      <c r="AR161" s="263"/>
      <c r="AS161" s="263"/>
      <c r="AT161" s="263"/>
      <c r="AU161" s="263"/>
      <c r="AV161" s="263"/>
      <c r="AW161" s="263"/>
      <c r="AX161" s="263"/>
      <c r="AY161" s="263"/>
      <c r="AZ161" s="263"/>
      <c r="BA161" s="263"/>
      <c r="BB161" s="263"/>
      <c r="BC161" s="263"/>
      <c r="BD161" s="263"/>
      <c r="BE161" s="263"/>
      <c r="BF161" s="263"/>
      <c r="BG161" s="263"/>
      <c r="BH161" s="263"/>
      <c r="BI161" s="263"/>
      <c r="BJ161" s="263"/>
      <c r="BK161" s="263"/>
      <c r="BL161" s="263"/>
      <c r="BM161" s="263"/>
      <c r="BN161" s="263"/>
      <c r="BO161" s="263"/>
      <c r="BP161" s="263"/>
      <c r="BQ161" s="263"/>
      <c r="BR161" s="263"/>
      <c r="BS161" s="263"/>
      <c r="BT161" s="263"/>
      <c r="BU161" s="263"/>
      <c r="BV161" s="263"/>
      <c r="BW161" s="263"/>
      <c r="BX161" s="263"/>
      <c r="BY161" s="263"/>
      <c r="BZ161" s="263"/>
      <c r="CA161" s="263"/>
      <c r="CB161" s="263"/>
      <c r="CC161" s="263"/>
      <c r="CD161" s="263"/>
      <c r="CE161" s="263"/>
      <c r="CF161" s="263"/>
      <c r="CG161" s="263"/>
      <c r="CH161" s="263"/>
      <c r="CI161" s="263"/>
      <c r="CJ161" s="263"/>
      <c r="CK161" s="263"/>
      <c r="CL161" s="263"/>
      <c r="CM161" s="263"/>
      <c r="CN161" s="263"/>
      <c r="CO161" s="263"/>
      <c r="CP161" s="263"/>
      <c r="CQ161" s="263"/>
      <c r="CR161" s="263"/>
      <c r="CS161" s="263"/>
      <c r="CT161" s="263"/>
      <c r="CU161" s="263"/>
      <c r="CV161" s="263"/>
      <c r="CW161" s="263"/>
      <c r="CX161" s="263"/>
      <c r="CY161" s="263"/>
      <c r="CZ161" s="263"/>
      <c r="DA161" s="263"/>
      <c r="DB161" s="263"/>
      <c r="DC161" s="263"/>
      <c r="DD161" s="263"/>
      <c r="DE161" s="263"/>
      <c r="DF161" s="263"/>
      <c r="DG161" s="263"/>
      <c r="DH161" s="263"/>
      <c r="DI161" s="263"/>
      <c r="DJ161" s="263"/>
      <c r="DK161" s="263"/>
      <c r="DL161" s="263"/>
      <c r="DM161" s="263"/>
      <c r="DN161" s="263"/>
      <c r="DO161" s="263"/>
      <c r="DP161" s="263"/>
      <c r="DQ161" s="263"/>
      <c r="DR161" s="263"/>
      <c r="DS161" s="263"/>
      <c r="DT161" s="263"/>
      <c r="DU161" s="263"/>
      <c r="DV161" s="263"/>
      <c r="DW161" s="263"/>
      <c r="DX161" s="263"/>
      <c r="DY161" s="263"/>
      <c r="DZ161" s="263"/>
      <c r="EA161" s="263"/>
      <c r="EB161" s="263"/>
      <c r="EC161" s="263"/>
      <c r="ED161" s="263"/>
      <c r="EE161" s="263"/>
      <c r="EF161" s="263"/>
      <c r="EG161" s="263"/>
      <c r="EH161" s="263"/>
      <c r="EI161" s="263"/>
      <c r="EJ161" s="263"/>
      <c r="EK161" s="263"/>
      <c r="EL161" s="263"/>
      <c r="EM161" s="263"/>
      <c r="EN161" s="263"/>
      <c r="EO161" s="263"/>
      <c r="EP161" s="263"/>
      <c r="EQ161" s="263"/>
      <c r="ER161" s="263"/>
      <c r="ES161" s="263"/>
      <c r="ET161" s="263"/>
      <c r="EU161" s="263"/>
      <c r="EV161" s="263"/>
      <c r="EW161" s="263"/>
      <c r="EX161" s="263"/>
      <c r="EY161" s="263"/>
      <c r="EZ161" s="263"/>
      <c r="FA161" s="263"/>
      <c r="FB161" s="263"/>
      <c r="FC161" s="263"/>
      <c r="FD161" s="263"/>
      <c r="FE161" s="263"/>
      <c r="FF161" s="263"/>
      <c r="FG161" s="263"/>
      <c r="FH161" s="263"/>
      <c r="FI161" s="263"/>
      <c r="FJ161" s="263"/>
      <c r="FK161" s="263"/>
      <c r="FL161" s="263"/>
      <c r="FM161" s="263"/>
      <c r="FN161" s="263"/>
      <c r="FO161" s="263"/>
      <c r="FP161" s="263"/>
      <c r="FQ161" s="263"/>
      <c r="FR161" s="263"/>
      <c r="FS161" s="263"/>
      <c r="FT161" s="263"/>
      <c r="FU161" s="263"/>
      <c r="FV161" s="263"/>
      <c r="FW161" s="263"/>
      <c r="FX161" s="263"/>
      <c r="FY161" s="263"/>
      <c r="FZ161" s="263"/>
      <c r="GA161" s="263"/>
      <c r="GB161" s="263"/>
      <c r="GC161" s="263"/>
      <c r="GD161" s="263"/>
      <c r="GE161" s="263"/>
      <c r="GF161" s="263"/>
      <c r="GG161" s="263"/>
      <c r="GH161" s="263"/>
      <c r="GI161" s="263"/>
      <c r="GJ161" s="263"/>
      <c r="GK161" s="263"/>
      <c r="GL161" s="263"/>
      <c r="GM161" s="263"/>
      <c r="GN161" s="263"/>
      <c r="GO161" s="263"/>
      <c r="GP161" s="263"/>
      <c r="GQ161" s="263"/>
      <c r="GR161" s="263"/>
      <c r="GS161" s="263"/>
      <c r="GT161" s="263"/>
      <c r="GU161" s="263"/>
      <c r="GV161" s="263"/>
      <c r="GW161" s="263"/>
      <c r="GX161" s="263"/>
      <c r="GY161" s="263"/>
      <c r="GZ161" s="263"/>
      <c r="HA161" s="263"/>
      <c r="HB161" s="263"/>
      <c r="HC161" s="263"/>
      <c r="HD161" s="263"/>
      <c r="HE161" s="263"/>
      <c r="HF161" s="263"/>
      <c r="HG161" s="263"/>
      <c r="HH161" s="263"/>
      <c r="HI161" s="263"/>
      <c r="HJ161" s="263"/>
      <c r="HK161" s="263"/>
      <c r="HL161" s="263"/>
      <c r="HM161" s="263"/>
      <c r="HN161" s="263"/>
      <c r="HO161" s="263"/>
      <c r="HP161" s="263"/>
      <c r="HQ161" s="263"/>
      <c r="HR161" s="263"/>
      <c r="HS161" s="263"/>
      <c r="HT161" s="263"/>
      <c r="HU161" s="263"/>
      <c r="HV161" s="263"/>
      <c r="HW161" s="263"/>
      <c r="HX161" s="263"/>
      <c r="HY161" s="263"/>
      <c r="HZ161" s="263"/>
      <c r="IA161" s="263"/>
      <c r="IB161" s="263"/>
      <c r="IC161" s="263"/>
      <c r="ID161" s="263"/>
      <c r="IE161" s="263"/>
      <c r="IF161" s="263"/>
      <c r="IG161" s="263"/>
      <c r="IH161" s="263"/>
      <c r="II161" s="263"/>
      <c r="IJ161" s="263"/>
      <c r="IK161" s="263"/>
      <c r="IL161" s="263"/>
      <c r="IM161" s="263"/>
      <c r="IN161" s="263"/>
      <c r="IO161" s="263"/>
      <c r="IP161" s="263"/>
      <c r="IQ161" s="263"/>
      <c r="IR161" s="263"/>
      <c r="IS161" s="263"/>
      <c r="IT161" s="263"/>
      <c r="IU161" s="263"/>
    </row>
    <row r="162" spans="1:255" ht="15.6">
      <c r="A162" s="263"/>
      <c r="B162" s="263"/>
      <c r="C162" s="263"/>
      <c r="D162" s="263"/>
      <c r="E162" s="263"/>
      <c r="F162" s="263"/>
      <c r="G162" s="263"/>
      <c r="H162" s="263"/>
      <c r="I162" s="263"/>
      <c r="J162" s="263"/>
      <c r="K162" s="263"/>
      <c r="L162" s="263"/>
      <c r="M162" s="263"/>
      <c r="N162" s="263"/>
      <c r="O162" s="263"/>
      <c r="P162" s="263"/>
      <c r="Q162" s="263"/>
      <c r="R162" s="263"/>
      <c r="S162" s="263"/>
      <c r="T162" s="263"/>
      <c r="U162" s="263"/>
      <c r="V162" s="263"/>
      <c r="W162" s="263"/>
      <c r="X162" s="263"/>
      <c r="Y162" s="263"/>
      <c r="Z162" s="263"/>
      <c r="AA162" s="263"/>
      <c r="AB162" s="263"/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  <c r="AO162" s="263"/>
      <c r="AP162" s="263"/>
      <c r="AQ162" s="263"/>
      <c r="AR162" s="263"/>
      <c r="AS162" s="263"/>
      <c r="AT162" s="263"/>
      <c r="AU162" s="263"/>
      <c r="AV162" s="263"/>
      <c r="AW162" s="263"/>
      <c r="AX162" s="263"/>
      <c r="AY162" s="263"/>
      <c r="AZ162" s="263"/>
      <c r="BA162" s="263"/>
      <c r="BB162" s="263"/>
      <c r="BC162" s="263"/>
      <c r="BD162" s="263"/>
      <c r="BE162" s="263"/>
      <c r="BF162" s="263"/>
      <c r="BG162" s="263"/>
      <c r="BH162" s="263"/>
      <c r="BI162" s="263"/>
      <c r="BJ162" s="263"/>
      <c r="BK162" s="263"/>
      <c r="BL162" s="263"/>
      <c r="BM162" s="263"/>
      <c r="BN162" s="263"/>
      <c r="BO162" s="263"/>
      <c r="BP162" s="263"/>
      <c r="BQ162" s="263"/>
      <c r="BR162" s="263"/>
      <c r="BS162" s="263"/>
      <c r="BT162" s="263"/>
      <c r="BU162" s="263"/>
      <c r="BV162" s="263"/>
      <c r="BW162" s="263"/>
      <c r="BX162" s="263"/>
      <c r="BY162" s="263"/>
      <c r="BZ162" s="263"/>
      <c r="CA162" s="263"/>
      <c r="CB162" s="263"/>
      <c r="CC162" s="263"/>
      <c r="CD162" s="263"/>
      <c r="CE162" s="263"/>
      <c r="CF162" s="263"/>
      <c r="CG162" s="263"/>
      <c r="CH162" s="263"/>
      <c r="CI162" s="263"/>
      <c r="CJ162" s="263"/>
      <c r="CK162" s="263"/>
      <c r="CL162" s="263"/>
      <c r="CM162" s="263"/>
      <c r="CN162" s="263"/>
      <c r="CO162" s="263"/>
      <c r="CP162" s="263"/>
      <c r="CQ162" s="263"/>
      <c r="CR162" s="263"/>
      <c r="CS162" s="263"/>
      <c r="CT162" s="263"/>
      <c r="CU162" s="263"/>
      <c r="CV162" s="263"/>
      <c r="CW162" s="263"/>
      <c r="CX162" s="263"/>
      <c r="CY162" s="263"/>
      <c r="CZ162" s="263"/>
      <c r="DA162" s="263"/>
      <c r="DB162" s="263"/>
      <c r="DC162" s="263"/>
      <c r="DD162" s="263"/>
      <c r="DE162" s="263"/>
      <c r="DF162" s="263"/>
      <c r="DG162" s="263"/>
      <c r="DH162" s="263"/>
      <c r="DI162" s="263"/>
      <c r="DJ162" s="263"/>
      <c r="DK162" s="263"/>
      <c r="DL162" s="263"/>
      <c r="DM162" s="263"/>
      <c r="DN162" s="263"/>
      <c r="DO162" s="263"/>
      <c r="DP162" s="263"/>
      <c r="DQ162" s="263"/>
      <c r="DR162" s="263"/>
      <c r="DS162" s="263"/>
      <c r="DT162" s="263"/>
      <c r="DU162" s="263"/>
      <c r="DV162" s="263"/>
      <c r="DW162" s="263"/>
      <c r="DX162" s="263"/>
      <c r="DY162" s="263"/>
      <c r="DZ162" s="263"/>
      <c r="EA162" s="263"/>
      <c r="EB162" s="263"/>
      <c r="EC162" s="263"/>
      <c r="ED162" s="263"/>
      <c r="EE162" s="263"/>
      <c r="EF162" s="263"/>
      <c r="EG162" s="263"/>
      <c r="EH162" s="263"/>
      <c r="EI162" s="263"/>
      <c r="EJ162" s="263"/>
      <c r="EK162" s="263"/>
      <c r="EL162" s="263"/>
      <c r="EM162" s="263"/>
      <c r="EN162" s="263"/>
      <c r="EO162" s="263"/>
      <c r="EP162" s="263"/>
      <c r="EQ162" s="263"/>
      <c r="ER162" s="263"/>
      <c r="ES162" s="263"/>
      <c r="ET162" s="263"/>
      <c r="EU162" s="263"/>
      <c r="EV162" s="263"/>
      <c r="EW162" s="263"/>
      <c r="EX162" s="263"/>
      <c r="EY162" s="263"/>
      <c r="EZ162" s="263"/>
      <c r="FA162" s="263"/>
      <c r="FB162" s="263"/>
      <c r="FC162" s="263"/>
      <c r="FD162" s="263"/>
      <c r="FE162" s="263"/>
      <c r="FF162" s="263"/>
      <c r="FG162" s="263"/>
      <c r="FH162" s="263"/>
      <c r="FI162" s="263"/>
      <c r="FJ162" s="263"/>
      <c r="FK162" s="263"/>
      <c r="FL162" s="263"/>
      <c r="FM162" s="263"/>
      <c r="FN162" s="263"/>
      <c r="FO162" s="263"/>
      <c r="FP162" s="263"/>
      <c r="FQ162" s="263"/>
      <c r="FR162" s="263"/>
      <c r="FS162" s="263"/>
      <c r="FT162" s="263"/>
      <c r="FU162" s="263"/>
      <c r="FV162" s="263"/>
      <c r="FW162" s="263"/>
      <c r="FX162" s="263"/>
      <c r="FY162" s="263"/>
      <c r="FZ162" s="263"/>
      <c r="GA162" s="263"/>
      <c r="GB162" s="263"/>
      <c r="GC162" s="263"/>
      <c r="GD162" s="263"/>
      <c r="GE162" s="263"/>
      <c r="GF162" s="263"/>
      <c r="GG162" s="263"/>
      <c r="GH162" s="263"/>
      <c r="GI162" s="263"/>
      <c r="GJ162" s="263"/>
      <c r="GK162" s="263"/>
      <c r="GL162" s="263"/>
      <c r="GM162" s="263"/>
      <c r="GN162" s="263"/>
      <c r="GO162" s="263"/>
      <c r="GP162" s="263"/>
      <c r="GQ162" s="263"/>
      <c r="GR162" s="263"/>
      <c r="GS162" s="263"/>
      <c r="GT162" s="263"/>
      <c r="GU162" s="263"/>
      <c r="GV162" s="263"/>
      <c r="GW162" s="263"/>
      <c r="GX162" s="263"/>
      <c r="GY162" s="263"/>
      <c r="GZ162" s="263"/>
      <c r="HA162" s="263"/>
      <c r="HB162" s="263"/>
      <c r="HC162" s="263"/>
      <c r="HD162" s="263"/>
      <c r="HE162" s="263"/>
      <c r="HF162" s="263"/>
      <c r="HG162" s="263"/>
      <c r="HH162" s="263"/>
      <c r="HI162" s="263"/>
      <c r="HJ162" s="263"/>
      <c r="HK162" s="263"/>
      <c r="HL162" s="263"/>
      <c r="HM162" s="263"/>
      <c r="HN162" s="263"/>
      <c r="HO162" s="263"/>
      <c r="HP162" s="263"/>
      <c r="HQ162" s="263"/>
      <c r="HR162" s="263"/>
      <c r="HS162" s="263"/>
      <c r="HT162" s="263"/>
      <c r="HU162" s="263"/>
      <c r="HV162" s="263"/>
      <c r="HW162" s="263"/>
      <c r="HX162" s="263"/>
      <c r="HY162" s="263"/>
      <c r="HZ162" s="263"/>
      <c r="IA162" s="263"/>
      <c r="IB162" s="263"/>
      <c r="IC162" s="263"/>
      <c r="ID162" s="263"/>
      <c r="IE162" s="263"/>
      <c r="IF162" s="263"/>
      <c r="IG162" s="263"/>
      <c r="IH162" s="263"/>
      <c r="II162" s="263"/>
      <c r="IJ162" s="263"/>
      <c r="IK162" s="263"/>
      <c r="IL162" s="263"/>
      <c r="IM162" s="263"/>
      <c r="IN162" s="263"/>
      <c r="IO162" s="263"/>
      <c r="IP162" s="263"/>
      <c r="IQ162" s="263"/>
      <c r="IR162" s="263"/>
      <c r="IS162" s="263"/>
      <c r="IT162" s="263"/>
      <c r="IU162" s="263"/>
    </row>
    <row r="163" spans="1:255" ht="15.6">
      <c r="A163" s="263"/>
      <c r="B163" s="263"/>
      <c r="C163" s="263"/>
      <c r="D163" s="263"/>
      <c r="E163" s="263"/>
      <c r="F163" s="263"/>
      <c r="G163" s="263"/>
      <c r="H163" s="263"/>
      <c r="I163" s="263"/>
      <c r="J163" s="263"/>
      <c r="K163" s="263"/>
      <c r="L163" s="263"/>
      <c r="M163" s="263"/>
      <c r="N163" s="263"/>
      <c r="O163" s="263"/>
      <c r="P163" s="263"/>
      <c r="Q163" s="263"/>
      <c r="R163" s="263"/>
      <c r="S163" s="263"/>
      <c r="T163" s="263"/>
      <c r="U163" s="263"/>
      <c r="V163" s="263"/>
      <c r="W163" s="263"/>
      <c r="X163" s="263"/>
      <c r="Y163" s="263"/>
      <c r="Z163" s="263"/>
      <c r="AA163" s="263"/>
      <c r="AB163" s="263"/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  <c r="AO163" s="263"/>
      <c r="AP163" s="263"/>
      <c r="AQ163" s="263"/>
      <c r="AR163" s="263"/>
      <c r="AS163" s="263"/>
      <c r="AT163" s="263"/>
      <c r="AU163" s="263"/>
      <c r="AV163" s="263"/>
      <c r="AW163" s="263"/>
      <c r="AX163" s="263"/>
      <c r="AY163" s="263"/>
      <c r="AZ163" s="263"/>
      <c r="BA163" s="263"/>
      <c r="BB163" s="263"/>
      <c r="BC163" s="263"/>
      <c r="BD163" s="263"/>
      <c r="BE163" s="263"/>
      <c r="BF163" s="263"/>
      <c r="BG163" s="263"/>
      <c r="BH163" s="263"/>
      <c r="BI163" s="263"/>
      <c r="BJ163" s="263"/>
      <c r="BK163" s="263"/>
      <c r="BL163" s="263"/>
      <c r="BM163" s="263"/>
      <c r="BN163" s="263"/>
      <c r="BO163" s="263"/>
      <c r="BP163" s="263"/>
      <c r="BQ163" s="263"/>
      <c r="BR163" s="263"/>
      <c r="BS163" s="263"/>
      <c r="BT163" s="263"/>
      <c r="BU163" s="263"/>
      <c r="BV163" s="263"/>
      <c r="BW163" s="263"/>
      <c r="BX163" s="263"/>
      <c r="BY163" s="263"/>
      <c r="BZ163" s="263"/>
      <c r="CA163" s="263"/>
      <c r="CB163" s="263"/>
      <c r="CC163" s="263"/>
      <c r="CD163" s="263"/>
      <c r="CE163" s="263"/>
      <c r="CF163" s="263"/>
      <c r="CG163" s="263"/>
      <c r="CH163" s="263"/>
      <c r="CI163" s="263"/>
      <c r="CJ163" s="263"/>
      <c r="CK163" s="263"/>
      <c r="CL163" s="263"/>
      <c r="CM163" s="263"/>
      <c r="CN163" s="263"/>
      <c r="CO163" s="263"/>
      <c r="CP163" s="263"/>
      <c r="CQ163" s="263"/>
      <c r="CR163" s="263"/>
      <c r="CS163" s="263"/>
      <c r="CT163" s="263"/>
      <c r="CU163" s="263"/>
      <c r="CV163" s="263"/>
      <c r="CW163" s="263"/>
      <c r="CX163" s="263"/>
      <c r="CY163" s="263"/>
      <c r="CZ163" s="263"/>
      <c r="DA163" s="263"/>
      <c r="DB163" s="263"/>
      <c r="DC163" s="263"/>
      <c r="DD163" s="263"/>
      <c r="DE163" s="263"/>
      <c r="DF163" s="263"/>
      <c r="DG163" s="263"/>
      <c r="DH163" s="263"/>
      <c r="DI163" s="263"/>
      <c r="DJ163" s="263"/>
      <c r="DK163" s="263"/>
      <c r="DL163" s="263"/>
      <c r="DM163" s="263"/>
      <c r="DN163" s="263"/>
      <c r="DO163" s="263"/>
      <c r="DP163" s="263"/>
      <c r="DQ163" s="263"/>
      <c r="DR163" s="263"/>
      <c r="DS163" s="263"/>
      <c r="DT163" s="263"/>
      <c r="DU163" s="263"/>
      <c r="DV163" s="263"/>
      <c r="DW163" s="263"/>
      <c r="DX163" s="263"/>
      <c r="DY163" s="263"/>
      <c r="DZ163" s="263"/>
      <c r="EA163" s="263"/>
      <c r="EB163" s="263"/>
      <c r="EC163" s="263"/>
      <c r="ED163" s="263"/>
      <c r="EE163" s="263"/>
      <c r="EF163" s="263"/>
      <c r="EG163" s="263"/>
      <c r="EH163" s="263"/>
      <c r="EI163" s="263"/>
      <c r="EJ163" s="263"/>
      <c r="EK163" s="263"/>
      <c r="EL163" s="263"/>
      <c r="EM163" s="263"/>
      <c r="EN163" s="263"/>
      <c r="EO163" s="263"/>
      <c r="EP163" s="263"/>
      <c r="EQ163" s="263"/>
      <c r="ER163" s="263"/>
      <c r="ES163" s="263"/>
      <c r="ET163" s="263"/>
      <c r="EU163" s="263"/>
      <c r="EV163" s="263"/>
      <c r="EW163" s="263"/>
      <c r="EX163" s="263"/>
      <c r="EY163" s="263"/>
      <c r="EZ163" s="263"/>
      <c r="FA163" s="263"/>
      <c r="FB163" s="263"/>
      <c r="FC163" s="263"/>
      <c r="FD163" s="263"/>
      <c r="FE163" s="263"/>
      <c r="FF163" s="263"/>
      <c r="FG163" s="263"/>
      <c r="FH163" s="263"/>
      <c r="FI163" s="263"/>
      <c r="FJ163" s="263"/>
      <c r="FK163" s="263"/>
      <c r="FL163" s="263"/>
      <c r="FM163" s="263"/>
      <c r="FN163" s="263"/>
      <c r="FO163" s="263"/>
      <c r="FP163" s="263"/>
      <c r="FQ163" s="263"/>
      <c r="FR163" s="263"/>
      <c r="FS163" s="263"/>
      <c r="FT163" s="263"/>
      <c r="FU163" s="263"/>
      <c r="FV163" s="263"/>
      <c r="FW163" s="263"/>
      <c r="FX163" s="263"/>
      <c r="FY163" s="263"/>
      <c r="FZ163" s="263"/>
      <c r="GA163" s="263"/>
      <c r="GB163" s="263"/>
      <c r="GC163" s="263"/>
      <c r="GD163" s="263"/>
      <c r="GE163" s="263"/>
      <c r="GF163" s="263"/>
      <c r="GG163" s="263"/>
      <c r="GH163" s="263"/>
      <c r="GI163" s="263"/>
      <c r="GJ163" s="263"/>
      <c r="GK163" s="263"/>
      <c r="GL163" s="263"/>
      <c r="GM163" s="263"/>
      <c r="GN163" s="263"/>
      <c r="GO163" s="263"/>
      <c r="GP163" s="263"/>
      <c r="GQ163" s="263"/>
      <c r="GR163" s="263"/>
      <c r="GS163" s="263"/>
      <c r="GT163" s="263"/>
      <c r="GU163" s="263"/>
      <c r="GV163" s="263"/>
      <c r="GW163" s="263"/>
      <c r="GX163" s="263"/>
      <c r="GY163" s="263"/>
      <c r="GZ163" s="263"/>
      <c r="HA163" s="263"/>
      <c r="HB163" s="263"/>
      <c r="HC163" s="263"/>
      <c r="HD163" s="263"/>
      <c r="HE163" s="263"/>
      <c r="HF163" s="263"/>
      <c r="HG163" s="263"/>
      <c r="HH163" s="263"/>
      <c r="HI163" s="263"/>
      <c r="HJ163" s="263"/>
      <c r="HK163" s="263"/>
      <c r="HL163" s="263"/>
      <c r="HM163" s="263"/>
      <c r="HN163" s="263"/>
      <c r="HO163" s="263"/>
      <c r="HP163" s="263"/>
      <c r="HQ163" s="263"/>
      <c r="HR163" s="263"/>
      <c r="HS163" s="263"/>
      <c r="HT163" s="263"/>
      <c r="HU163" s="263"/>
      <c r="HV163" s="263"/>
      <c r="HW163" s="263"/>
      <c r="HX163" s="263"/>
      <c r="HY163" s="263"/>
      <c r="HZ163" s="263"/>
      <c r="IA163" s="263"/>
      <c r="IB163" s="263"/>
      <c r="IC163" s="263"/>
      <c r="ID163" s="263"/>
      <c r="IE163" s="263"/>
      <c r="IF163" s="263"/>
      <c r="IG163" s="263"/>
      <c r="IH163" s="263"/>
      <c r="II163" s="263"/>
      <c r="IJ163" s="263"/>
      <c r="IK163" s="263"/>
      <c r="IL163" s="263"/>
      <c r="IM163" s="263"/>
      <c r="IN163" s="263"/>
      <c r="IO163" s="263"/>
      <c r="IP163" s="263"/>
      <c r="IQ163" s="263"/>
      <c r="IR163" s="263"/>
      <c r="IS163" s="263"/>
      <c r="IT163" s="263"/>
      <c r="IU163" s="263"/>
    </row>
    <row r="164" spans="1:255" ht="15.6">
      <c r="A164" s="263"/>
      <c r="B164" s="263"/>
      <c r="C164" s="263"/>
      <c r="D164" s="263"/>
      <c r="E164" s="263"/>
      <c r="F164" s="263"/>
      <c r="G164" s="263"/>
      <c r="H164" s="263"/>
      <c r="I164" s="263"/>
      <c r="J164" s="263"/>
      <c r="K164" s="263"/>
      <c r="L164" s="263"/>
      <c r="M164" s="263"/>
      <c r="N164" s="263"/>
      <c r="O164" s="263"/>
      <c r="P164" s="263"/>
      <c r="Q164" s="263"/>
      <c r="R164" s="263"/>
      <c r="S164" s="263"/>
      <c r="T164" s="263"/>
      <c r="U164" s="263"/>
      <c r="V164" s="263"/>
      <c r="W164" s="263"/>
      <c r="X164" s="263"/>
      <c r="Y164" s="263"/>
      <c r="Z164" s="263"/>
      <c r="AA164" s="263"/>
      <c r="AB164" s="263"/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  <c r="AO164" s="263"/>
      <c r="AP164" s="263"/>
      <c r="AQ164" s="263"/>
      <c r="AR164" s="263"/>
      <c r="AS164" s="263"/>
      <c r="AT164" s="263"/>
      <c r="AU164" s="263"/>
      <c r="AV164" s="263"/>
      <c r="AW164" s="263"/>
      <c r="AX164" s="263"/>
      <c r="AY164" s="263"/>
      <c r="AZ164" s="263"/>
      <c r="BA164" s="263"/>
      <c r="BB164" s="263"/>
      <c r="BC164" s="263"/>
      <c r="BD164" s="263"/>
      <c r="BE164" s="263"/>
      <c r="BF164" s="263"/>
      <c r="BG164" s="263"/>
      <c r="BH164" s="263"/>
      <c r="BI164" s="263"/>
      <c r="BJ164" s="263"/>
      <c r="BK164" s="263"/>
      <c r="BL164" s="263"/>
      <c r="BM164" s="263"/>
      <c r="BN164" s="263"/>
      <c r="BO164" s="263"/>
      <c r="BP164" s="263"/>
      <c r="BQ164" s="263"/>
      <c r="BR164" s="263"/>
      <c r="BS164" s="263"/>
      <c r="BT164" s="263"/>
      <c r="BU164" s="263"/>
      <c r="BV164" s="263"/>
      <c r="BW164" s="263"/>
      <c r="BX164" s="263"/>
      <c r="BY164" s="263"/>
      <c r="BZ164" s="263"/>
      <c r="CA164" s="263"/>
      <c r="CB164" s="263"/>
      <c r="CC164" s="263"/>
      <c r="CD164" s="263"/>
      <c r="CE164" s="263"/>
      <c r="CF164" s="263"/>
      <c r="CG164" s="263"/>
      <c r="CH164" s="263"/>
      <c r="CI164" s="263"/>
      <c r="CJ164" s="263"/>
      <c r="CK164" s="263"/>
      <c r="CL164" s="263"/>
      <c r="CM164" s="263"/>
      <c r="CN164" s="263"/>
      <c r="CO164" s="263"/>
      <c r="CP164" s="263"/>
      <c r="CQ164" s="263"/>
      <c r="CR164" s="263"/>
      <c r="CS164" s="263"/>
      <c r="CT164" s="263"/>
      <c r="CU164" s="263"/>
      <c r="CV164" s="263"/>
      <c r="CW164" s="263"/>
      <c r="CX164" s="263"/>
      <c r="CY164" s="263"/>
      <c r="CZ164" s="263"/>
      <c r="DA164" s="263"/>
      <c r="DB164" s="263"/>
      <c r="DC164" s="263"/>
      <c r="DD164" s="263"/>
      <c r="DE164" s="263"/>
      <c r="DF164" s="263"/>
      <c r="DG164" s="263"/>
      <c r="DH164" s="263"/>
      <c r="DI164" s="263"/>
      <c r="DJ164" s="263"/>
      <c r="DK164" s="263"/>
      <c r="DL164" s="263"/>
      <c r="DM164" s="263"/>
      <c r="DN164" s="263"/>
      <c r="DO164" s="263"/>
      <c r="DP164" s="263"/>
      <c r="DQ164" s="263"/>
      <c r="DR164" s="263"/>
      <c r="DS164" s="263"/>
      <c r="DT164" s="263"/>
      <c r="DU164" s="263"/>
      <c r="DV164" s="263"/>
      <c r="DW164" s="263"/>
      <c r="DX164" s="263"/>
      <c r="DY164" s="263"/>
      <c r="DZ164" s="263"/>
      <c r="EA164" s="263"/>
      <c r="EB164" s="263"/>
      <c r="EC164" s="263"/>
      <c r="ED164" s="263"/>
      <c r="EE164" s="263"/>
      <c r="EF164" s="263"/>
      <c r="EG164" s="263"/>
      <c r="EH164" s="263"/>
      <c r="EI164" s="263"/>
      <c r="EJ164" s="263"/>
      <c r="EK164" s="263"/>
      <c r="EL164" s="263"/>
      <c r="EM164" s="263"/>
      <c r="EN164" s="263"/>
      <c r="EO164" s="263"/>
      <c r="EP164" s="263"/>
      <c r="EQ164" s="263"/>
      <c r="ER164" s="263"/>
      <c r="ES164" s="263"/>
      <c r="ET164" s="263"/>
      <c r="EU164" s="263"/>
      <c r="EV164" s="263"/>
      <c r="EW164" s="263"/>
      <c r="EX164" s="263"/>
      <c r="EY164" s="263"/>
      <c r="EZ164" s="263"/>
      <c r="FA164" s="263"/>
      <c r="FB164" s="263"/>
      <c r="FC164" s="263"/>
      <c r="FD164" s="263"/>
      <c r="FE164" s="263"/>
      <c r="FF164" s="263"/>
      <c r="FG164" s="263"/>
      <c r="FH164" s="263"/>
      <c r="FI164" s="263"/>
      <c r="FJ164" s="263"/>
      <c r="FK164" s="263"/>
      <c r="FL164" s="263"/>
      <c r="FM164" s="263"/>
      <c r="FN164" s="263"/>
      <c r="FO164" s="263"/>
      <c r="FP164" s="263"/>
      <c r="FQ164" s="263"/>
      <c r="FR164" s="263"/>
      <c r="FS164" s="263"/>
      <c r="FT164" s="263"/>
      <c r="FU164" s="263"/>
      <c r="FV164" s="263"/>
      <c r="FW164" s="263"/>
      <c r="FX164" s="263"/>
      <c r="FY164" s="263"/>
      <c r="FZ164" s="263"/>
      <c r="GA164" s="263"/>
      <c r="GB164" s="263"/>
      <c r="GC164" s="263"/>
      <c r="GD164" s="263"/>
      <c r="GE164" s="263"/>
      <c r="GF164" s="263"/>
      <c r="GG164" s="263"/>
      <c r="GH164" s="263"/>
      <c r="GI164" s="263"/>
      <c r="GJ164" s="263"/>
      <c r="GK164" s="263"/>
      <c r="GL164" s="263"/>
      <c r="GM164" s="263"/>
      <c r="GN164" s="263"/>
      <c r="GO164" s="263"/>
      <c r="GP164" s="263"/>
      <c r="GQ164" s="263"/>
      <c r="GR164" s="263"/>
      <c r="GS164" s="263"/>
      <c r="GT164" s="263"/>
      <c r="GU164" s="263"/>
      <c r="GV164" s="263"/>
      <c r="GW164" s="263"/>
      <c r="GX164" s="263"/>
      <c r="GY164" s="263"/>
      <c r="GZ164" s="263"/>
      <c r="HA164" s="263"/>
      <c r="HB164" s="263"/>
      <c r="HC164" s="263"/>
      <c r="HD164" s="263"/>
      <c r="HE164" s="263"/>
      <c r="HF164" s="263"/>
      <c r="HG164" s="263"/>
      <c r="HH164" s="263"/>
      <c r="HI164" s="263"/>
      <c r="HJ164" s="263"/>
      <c r="HK164" s="263"/>
      <c r="HL164" s="263"/>
      <c r="HM164" s="263"/>
      <c r="HN164" s="263"/>
      <c r="HO164" s="263"/>
      <c r="HP164" s="263"/>
      <c r="HQ164" s="263"/>
      <c r="HR164" s="263"/>
      <c r="HS164" s="263"/>
      <c r="HT164" s="263"/>
      <c r="HU164" s="263"/>
      <c r="HV164" s="263"/>
      <c r="HW164" s="263"/>
      <c r="HX164" s="263"/>
      <c r="HY164" s="263"/>
      <c r="HZ164" s="263"/>
      <c r="IA164" s="263"/>
      <c r="IB164" s="263"/>
      <c r="IC164" s="263"/>
      <c r="ID164" s="263"/>
      <c r="IE164" s="263"/>
      <c r="IF164" s="263"/>
      <c r="IG164" s="263"/>
      <c r="IH164" s="263"/>
      <c r="II164" s="263"/>
      <c r="IJ164" s="263"/>
      <c r="IK164" s="263"/>
      <c r="IL164" s="263"/>
      <c r="IM164" s="263"/>
      <c r="IN164" s="263"/>
      <c r="IO164" s="263"/>
      <c r="IP164" s="263"/>
      <c r="IQ164" s="263"/>
      <c r="IR164" s="263"/>
      <c r="IS164" s="263"/>
      <c r="IT164" s="263"/>
      <c r="IU164" s="263"/>
    </row>
    <row r="165" spans="1:255" ht="15.6">
      <c r="A165" s="263"/>
      <c r="B165" s="263"/>
      <c r="C165" s="263"/>
      <c r="D165" s="263"/>
      <c r="E165" s="263"/>
      <c r="F165" s="263"/>
      <c r="G165" s="263"/>
      <c r="H165" s="263"/>
      <c r="I165" s="263"/>
      <c r="J165" s="263"/>
      <c r="K165" s="263"/>
      <c r="L165" s="263"/>
      <c r="M165" s="263"/>
      <c r="N165" s="263"/>
      <c r="O165" s="263"/>
      <c r="P165" s="263"/>
      <c r="Q165" s="263"/>
      <c r="R165" s="263"/>
      <c r="S165" s="263"/>
      <c r="T165" s="263"/>
      <c r="U165" s="263"/>
      <c r="V165" s="263"/>
      <c r="W165" s="263"/>
      <c r="X165" s="263"/>
      <c r="Y165" s="263"/>
      <c r="Z165" s="263"/>
      <c r="AA165" s="263"/>
      <c r="AB165" s="263"/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  <c r="AO165" s="263"/>
      <c r="AP165" s="263"/>
      <c r="AQ165" s="263"/>
      <c r="AR165" s="263"/>
      <c r="AS165" s="263"/>
      <c r="AT165" s="263"/>
      <c r="AU165" s="263"/>
      <c r="AV165" s="263"/>
      <c r="AW165" s="263"/>
      <c r="AX165" s="263"/>
      <c r="AY165" s="263"/>
      <c r="AZ165" s="263"/>
      <c r="BA165" s="263"/>
      <c r="BB165" s="263"/>
      <c r="BC165" s="263"/>
      <c r="BD165" s="263"/>
      <c r="BE165" s="263"/>
      <c r="BF165" s="263"/>
      <c r="BG165" s="263"/>
      <c r="BH165" s="263"/>
      <c r="BI165" s="263"/>
      <c r="BJ165" s="263"/>
      <c r="BK165" s="263"/>
      <c r="BL165" s="263"/>
      <c r="BM165" s="263"/>
      <c r="BN165" s="263"/>
      <c r="BO165" s="263"/>
      <c r="BP165" s="263"/>
      <c r="BQ165" s="263"/>
      <c r="BR165" s="263"/>
      <c r="BS165" s="263"/>
      <c r="BT165" s="263"/>
      <c r="BU165" s="263"/>
      <c r="BV165" s="263"/>
      <c r="BW165" s="263"/>
      <c r="BX165" s="263"/>
      <c r="BY165" s="263"/>
      <c r="BZ165" s="263"/>
      <c r="CA165" s="263"/>
      <c r="CB165" s="263"/>
      <c r="CC165" s="263"/>
      <c r="CD165" s="263"/>
      <c r="CE165" s="263"/>
      <c r="CF165" s="263"/>
      <c r="CG165" s="263"/>
      <c r="CH165" s="263"/>
      <c r="CI165" s="263"/>
      <c r="CJ165" s="263"/>
      <c r="CK165" s="263"/>
      <c r="CL165" s="263"/>
      <c r="CM165" s="263"/>
      <c r="CN165" s="263"/>
      <c r="CO165" s="263"/>
      <c r="CP165" s="263"/>
      <c r="CQ165" s="263"/>
      <c r="CR165" s="263"/>
      <c r="CS165" s="263"/>
      <c r="CT165" s="263"/>
      <c r="CU165" s="263"/>
      <c r="CV165" s="263"/>
      <c r="CW165" s="263"/>
      <c r="CX165" s="263"/>
      <c r="CY165" s="263"/>
      <c r="CZ165" s="263"/>
      <c r="DA165" s="263"/>
      <c r="DB165" s="263"/>
      <c r="DC165" s="263"/>
      <c r="DD165" s="263"/>
      <c r="DE165" s="263"/>
      <c r="DF165" s="263"/>
      <c r="DG165" s="263"/>
      <c r="DH165" s="263"/>
      <c r="DI165" s="263"/>
      <c r="DJ165" s="263"/>
      <c r="DK165" s="263"/>
      <c r="DL165" s="263"/>
      <c r="DM165" s="263"/>
      <c r="DN165" s="263"/>
      <c r="DO165" s="263"/>
      <c r="DP165" s="263"/>
      <c r="DQ165" s="263"/>
      <c r="DR165" s="263"/>
      <c r="DS165" s="263"/>
      <c r="DT165" s="263"/>
      <c r="DU165" s="263"/>
      <c r="DV165" s="263"/>
      <c r="DW165" s="263"/>
      <c r="DX165" s="263"/>
      <c r="DY165" s="263"/>
      <c r="DZ165" s="263"/>
      <c r="EA165" s="263"/>
      <c r="EB165" s="263"/>
      <c r="EC165" s="263"/>
      <c r="ED165" s="263"/>
      <c r="EE165" s="263"/>
      <c r="EF165" s="263"/>
      <c r="EG165" s="263"/>
      <c r="EH165" s="263"/>
      <c r="EI165" s="263"/>
      <c r="EJ165" s="263"/>
      <c r="EK165" s="263"/>
      <c r="EL165" s="263"/>
      <c r="EM165" s="263"/>
      <c r="EN165" s="263"/>
      <c r="EO165" s="263"/>
      <c r="EP165" s="263"/>
      <c r="EQ165" s="263"/>
      <c r="ER165" s="263"/>
      <c r="ES165" s="263"/>
      <c r="ET165" s="263"/>
      <c r="EU165" s="263"/>
      <c r="EV165" s="263"/>
      <c r="EW165" s="263"/>
      <c r="EX165" s="263"/>
      <c r="EY165" s="263"/>
      <c r="EZ165" s="263"/>
      <c r="FA165" s="263"/>
      <c r="FB165" s="263"/>
      <c r="FC165" s="263"/>
      <c r="FD165" s="263"/>
      <c r="FE165" s="263"/>
      <c r="FF165" s="263"/>
      <c r="FG165" s="263"/>
      <c r="FH165" s="263"/>
      <c r="FI165" s="263"/>
      <c r="FJ165" s="263"/>
      <c r="FK165" s="263"/>
      <c r="FL165" s="263"/>
      <c r="FM165" s="263"/>
      <c r="FN165" s="263"/>
      <c r="FO165" s="263"/>
      <c r="FP165" s="263"/>
      <c r="FQ165" s="263"/>
      <c r="FR165" s="263"/>
      <c r="FS165" s="263"/>
      <c r="FT165" s="263"/>
      <c r="FU165" s="263"/>
      <c r="FV165" s="263"/>
      <c r="FW165" s="263"/>
      <c r="FX165" s="263"/>
      <c r="FY165" s="263"/>
      <c r="FZ165" s="263"/>
      <c r="GA165" s="263"/>
      <c r="GB165" s="263"/>
      <c r="GC165" s="263"/>
      <c r="GD165" s="263"/>
      <c r="GE165" s="263"/>
      <c r="GF165" s="263"/>
      <c r="GG165" s="263"/>
      <c r="GH165" s="263"/>
      <c r="GI165" s="263"/>
      <c r="GJ165" s="263"/>
      <c r="GK165" s="263"/>
      <c r="GL165" s="263"/>
      <c r="GM165" s="263"/>
      <c r="GN165" s="263"/>
      <c r="GO165" s="263"/>
      <c r="GP165" s="263"/>
      <c r="GQ165" s="263"/>
      <c r="GR165" s="263"/>
      <c r="GS165" s="263"/>
      <c r="GT165" s="263"/>
      <c r="GU165" s="263"/>
      <c r="GV165" s="263"/>
      <c r="GW165" s="263"/>
      <c r="GX165" s="263"/>
      <c r="GY165" s="263"/>
      <c r="GZ165" s="263"/>
      <c r="HA165" s="263"/>
      <c r="HB165" s="263"/>
      <c r="HC165" s="263"/>
      <c r="HD165" s="263"/>
      <c r="HE165" s="263"/>
      <c r="HF165" s="263"/>
      <c r="HG165" s="263"/>
      <c r="HH165" s="263"/>
      <c r="HI165" s="263"/>
      <c r="HJ165" s="263"/>
      <c r="HK165" s="263"/>
      <c r="HL165" s="263"/>
      <c r="HM165" s="263"/>
      <c r="HN165" s="263"/>
      <c r="HO165" s="263"/>
      <c r="HP165" s="263"/>
      <c r="HQ165" s="263"/>
      <c r="HR165" s="263"/>
      <c r="HS165" s="263"/>
      <c r="HT165" s="263"/>
      <c r="HU165" s="263"/>
      <c r="HV165" s="263"/>
      <c r="HW165" s="263"/>
      <c r="HX165" s="263"/>
      <c r="HY165" s="263"/>
      <c r="HZ165" s="263"/>
      <c r="IA165" s="263"/>
      <c r="IB165" s="263"/>
      <c r="IC165" s="263"/>
      <c r="ID165" s="263"/>
      <c r="IE165" s="263"/>
      <c r="IF165" s="263"/>
      <c r="IG165" s="263"/>
      <c r="IH165" s="263"/>
      <c r="II165" s="263"/>
      <c r="IJ165" s="263"/>
      <c r="IK165" s="263"/>
      <c r="IL165" s="263"/>
      <c r="IM165" s="263"/>
      <c r="IN165" s="263"/>
      <c r="IO165" s="263"/>
      <c r="IP165" s="263"/>
      <c r="IQ165" s="263"/>
      <c r="IR165" s="263"/>
      <c r="IS165" s="263"/>
      <c r="IT165" s="263"/>
      <c r="IU165" s="263"/>
    </row>
    <row r="166" spans="1:255" ht="15.6">
      <c r="A166" s="263"/>
      <c r="B166" s="263"/>
      <c r="C166" s="263"/>
      <c r="D166" s="263"/>
      <c r="E166" s="263"/>
      <c r="F166" s="263"/>
      <c r="G166" s="263"/>
      <c r="H166" s="263"/>
      <c r="I166" s="263"/>
      <c r="J166" s="263"/>
      <c r="K166" s="263"/>
      <c r="L166" s="263"/>
      <c r="M166" s="263"/>
      <c r="N166" s="263"/>
      <c r="O166" s="263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  <c r="AO166" s="263"/>
      <c r="AP166" s="263"/>
      <c r="AQ166" s="263"/>
      <c r="AR166" s="263"/>
      <c r="AS166" s="263"/>
      <c r="AT166" s="263"/>
      <c r="AU166" s="263"/>
      <c r="AV166" s="263"/>
      <c r="AW166" s="263"/>
      <c r="AX166" s="263"/>
      <c r="AY166" s="263"/>
      <c r="AZ166" s="263"/>
      <c r="BA166" s="263"/>
      <c r="BB166" s="263"/>
      <c r="BC166" s="263"/>
      <c r="BD166" s="263"/>
      <c r="BE166" s="263"/>
      <c r="BF166" s="263"/>
      <c r="BG166" s="263"/>
      <c r="BH166" s="263"/>
      <c r="BI166" s="263"/>
      <c r="BJ166" s="263"/>
      <c r="BK166" s="263"/>
      <c r="BL166" s="263"/>
      <c r="BM166" s="263"/>
      <c r="BN166" s="263"/>
      <c r="BO166" s="263"/>
      <c r="BP166" s="263"/>
      <c r="BQ166" s="263"/>
      <c r="BR166" s="263"/>
      <c r="BS166" s="263"/>
      <c r="BT166" s="263"/>
      <c r="BU166" s="263"/>
      <c r="BV166" s="263"/>
      <c r="BW166" s="263"/>
      <c r="BX166" s="263"/>
      <c r="BY166" s="263"/>
      <c r="BZ166" s="263"/>
      <c r="CA166" s="263"/>
      <c r="CB166" s="263"/>
      <c r="CC166" s="263"/>
      <c r="CD166" s="263"/>
      <c r="CE166" s="263"/>
      <c r="CF166" s="263"/>
      <c r="CG166" s="263"/>
      <c r="CH166" s="263"/>
      <c r="CI166" s="263"/>
      <c r="CJ166" s="263"/>
      <c r="CK166" s="263"/>
      <c r="CL166" s="263"/>
      <c r="CM166" s="263"/>
      <c r="CN166" s="263"/>
      <c r="CO166" s="263"/>
      <c r="CP166" s="263"/>
      <c r="CQ166" s="263"/>
      <c r="CR166" s="263"/>
      <c r="CS166" s="263"/>
      <c r="CT166" s="263"/>
      <c r="CU166" s="263"/>
      <c r="CV166" s="263"/>
      <c r="CW166" s="263"/>
      <c r="CX166" s="263"/>
      <c r="CY166" s="263"/>
      <c r="CZ166" s="263"/>
      <c r="DA166" s="263"/>
      <c r="DB166" s="263"/>
      <c r="DC166" s="263"/>
      <c r="DD166" s="263"/>
      <c r="DE166" s="263"/>
      <c r="DF166" s="263"/>
      <c r="DG166" s="263"/>
      <c r="DH166" s="263"/>
      <c r="DI166" s="263"/>
      <c r="DJ166" s="263"/>
      <c r="DK166" s="263"/>
      <c r="DL166" s="263"/>
      <c r="DM166" s="263"/>
      <c r="DN166" s="263"/>
      <c r="DO166" s="263"/>
      <c r="DP166" s="263"/>
      <c r="DQ166" s="263"/>
      <c r="DR166" s="263"/>
      <c r="DS166" s="263"/>
      <c r="DT166" s="263"/>
      <c r="DU166" s="263"/>
      <c r="DV166" s="263"/>
      <c r="DW166" s="263"/>
      <c r="DX166" s="263"/>
      <c r="DY166" s="263"/>
      <c r="DZ166" s="263"/>
      <c r="EA166" s="263"/>
      <c r="EB166" s="263"/>
      <c r="EC166" s="263"/>
      <c r="ED166" s="263"/>
      <c r="EE166" s="263"/>
      <c r="EF166" s="263"/>
      <c r="EG166" s="263"/>
      <c r="EH166" s="263"/>
      <c r="EI166" s="263"/>
      <c r="EJ166" s="263"/>
      <c r="EK166" s="263"/>
      <c r="EL166" s="263"/>
      <c r="EM166" s="263"/>
      <c r="EN166" s="263"/>
      <c r="EO166" s="263"/>
      <c r="EP166" s="263"/>
      <c r="EQ166" s="263"/>
      <c r="ER166" s="263"/>
      <c r="ES166" s="263"/>
      <c r="ET166" s="263"/>
      <c r="EU166" s="263"/>
      <c r="EV166" s="263"/>
      <c r="EW166" s="263"/>
      <c r="EX166" s="263"/>
      <c r="EY166" s="263"/>
      <c r="EZ166" s="263"/>
      <c r="FA166" s="263"/>
      <c r="FB166" s="263"/>
      <c r="FC166" s="263"/>
      <c r="FD166" s="263"/>
      <c r="FE166" s="263"/>
      <c r="FF166" s="263"/>
      <c r="FG166" s="263"/>
      <c r="FH166" s="263"/>
      <c r="FI166" s="263"/>
      <c r="FJ166" s="263"/>
      <c r="FK166" s="263"/>
      <c r="FL166" s="263"/>
      <c r="FM166" s="263"/>
      <c r="FN166" s="263"/>
      <c r="FO166" s="263"/>
      <c r="FP166" s="263"/>
      <c r="FQ166" s="263"/>
      <c r="FR166" s="263"/>
      <c r="FS166" s="263"/>
      <c r="FT166" s="263"/>
      <c r="FU166" s="263"/>
      <c r="FV166" s="263"/>
      <c r="FW166" s="263"/>
      <c r="FX166" s="263"/>
      <c r="FY166" s="263"/>
      <c r="FZ166" s="263"/>
      <c r="GA166" s="263"/>
      <c r="GB166" s="263"/>
      <c r="GC166" s="263"/>
      <c r="GD166" s="263"/>
      <c r="GE166" s="263"/>
      <c r="GF166" s="263"/>
      <c r="GG166" s="263"/>
      <c r="GH166" s="263"/>
      <c r="GI166" s="263"/>
      <c r="GJ166" s="263"/>
      <c r="GK166" s="263"/>
      <c r="GL166" s="263"/>
      <c r="GM166" s="263"/>
      <c r="GN166" s="263"/>
      <c r="GO166" s="263"/>
      <c r="GP166" s="263"/>
      <c r="GQ166" s="263"/>
      <c r="GR166" s="263"/>
      <c r="GS166" s="263"/>
      <c r="GT166" s="263"/>
      <c r="GU166" s="263"/>
      <c r="GV166" s="263"/>
      <c r="GW166" s="263"/>
      <c r="GX166" s="263"/>
      <c r="GY166" s="263"/>
      <c r="GZ166" s="263"/>
      <c r="HA166" s="263"/>
      <c r="HB166" s="263"/>
      <c r="HC166" s="263"/>
      <c r="HD166" s="263"/>
      <c r="HE166" s="263"/>
      <c r="HF166" s="263"/>
      <c r="HG166" s="263"/>
      <c r="HH166" s="263"/>
      <c r="HI166" s="263"/>
      <c r="HJ166" s="263"/>
      <c r="HK166" s="263"/>
      <c r="HL166" s="263"/>
      <c r="HM166" s="263"/>
      <c r="HN166" s="263"/>
      <c r="HO166" s="263"/>
      <c r="HP166" s="263"/>
      <c r="HQ166" s="263"/>
      <c r="HR166" s="263"/>
      <c r="HS166" s="263"/>
      <c r="HT166" s="263"/>
      <c r="HU166" s="263"/>
      <c r="HV166" s="263"/>
      <c r="HW166" s="263"/>
      <c r="HX166" s="263"/>
      <c r="HY166" s="263"/>
      <c r="HZ166" s="263"/>
      <c r="IA166" s="263"/>
      <c r="IB166" s="263"/>
      <c r="IC166" s="263"/>
      <c r="ID166" s="263"/>
      <c r="IE166" s="263"/>
      <c r="IF166" s="263"/>
      <c r="IG166" s="263"/>
      <c r="IH166" s="263"/>
      <c r="II166" s="263"/>
      <c r="IJ166" s="263"/>
      <c r="IK166" s="263"/>
      <c r="IL166" s="263"/>
      <c r="IM166" s="263"/>
      <c r="IN166" s="263"/>
      <c r="IO166" s="263"/>
      <c r="IP166" s="263"/>
      <c r="IQ166" s="263"/>
      <c r="IR166" s="263"/>
      <c r="IS166" s="263"/>
      <c r="IT166" s="263"/>
      <c r="IU166" s="263"/>
    </row>
    <row r="167" spans="1:255" ht="15.6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263"/>
      <c r="N167" s="263"/>
      <c r="O167" s="263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  <c r="AO167" s="263"/>
      <c r="AP167" s="263"/>
      <c r="AQ167" s="263"/>
      <c r="AR167" s="263"/>
      <c r="AS167" s="263"/>
      <c r="AT167" s="263"/>
      <c r="AU167" s="263"/>
      <c r="AV167" s="263"/>
      <c r="AW167" s="263"/>
      <c r="AX167" s="263"/>
      <c r="AY167" s="263"/>
      <c r="AZ167" s="263"/>
      <c r="BA167" s="263"/>
      <c r="BB167" s="263"/>
      <c r="BC167" s="263"/>
      <c r="BD167" s="263"/>
      <c r="BE167" s="263"/>
      <c r="BF167" s="263"/>
      <c r="BG167" s="263"/>
      <c r="BH167" s="263"/>
      <c r="BI167" s="263"/>
      <c r="BJ167" s="263"/>
      <c r="BK167" s="263"/>
      <c r="BL167" s="263"/>
      <c r="BM167" s="263"/>
      <c r="BN167" s="263"/>
      <c r="BO167" s="263"/>
      <c r="BP167" s="263"/>
      <c r="BQ167" s="263"/>
      <c r="BR167" s="263"/>
      <c r="BS167" s="263"/>
      <c r="BT167" s="263"/>
      <c r="BU167" s="263"/>
      <c r="BV167" s="263"/>
      <c r="BW167" s="263"/>
      <c r="BX167" s="263"/>
      <c r="BY167" s="263"/>
      <c r="BZ167" s="263"/>
      <c r="CA167" s="263"/>
      <c r="CB167" s="263"/>
      <c r="CC167" s="263"/>
      <c r="CD167" s="263"/>
      <c r="CE167" s="263"/>
      <c r="CF167" s="263"/>
      <c r="CG167" s="263"/>
      <c r="CH167" s="263"/>
      <c r="CI167" s="263"/>
      <c r="CJ167" s="263"/>
      <c r="CK167" s="263"/>
      <c r="CL167" s="263"/>
      <c r="CM167" s="263"/>
      <c r="CN167" s="263"/>
      <c r="CO167" s="263"/>
      <c r="CP167" s="263"/>
      <c r="CQ167" s="263"/>
      <c r="CR167" s="263"/>
      <c r="CS167" s="263"/>
      <c r="CT167" s="263"/>
      <c r="CU167" s="263"/>
      <c r="CV167" s="263"/>
      <c r="CW167" s="263"/>
      <c r="CX167" s="263"/>
      <c r="CY167" s="263"/>
      <c r="CZ167" s="263"/>
      <c r="DA167" s="263"/>
      <c r="DB167" s="263"/>
      <c r="DC167" s="263"/>
      <c r="DD167" s="263"/>
      <c r="DE167" s="263"/>
      <c r="DF167" s="263"/>
      <c r="DG167" s="263"/>
      <c r="DH167" s="263"/>
      <c r="DI167" s="263"/>
      <c r="DJ167" s="263"/>
      <c r="DK167" s="263"/>
      <c r="DL167" s="263"/>
      <c r="DM167" s="263"/>
      <c r="DN167" s="263"/>
      <c r="DO167" s="263"/>
      <c r="DP167" s="263"/>
      <c r="DQ167" s="263"/>
      <c r="DR167" s="263"/>
      <c r="DS167" s="263"/>
      <c r="DT167" s="263"/>
      <c r="DU167" s="263"/>
      <c r="DV167" s="263"/>
      <c r="DW167" s="263"/>
      <c r="DX167" s="263"/>
      <c r="DY167" s="263"/>
      <c r="DZ167" s="263"/>
      <c r="EA167" s="263"/>
      <c r="EB167" s="263"/>
      <c r="EC167" s="263"/>
      <c r="ED167" s="263"/>
      <c r="EE167" s="263"/>
      <c r="EF167" s="263"/>
      <c r="EG167" s="263"/>
      <c r="EH167" s="263"/>
      <c r="EI167" s="263"/>
      <c r="EJ167" s="263"/>
      <c r="EK167" s="263"/>
      <c r="EL167" s="263"/>
      <c r="EM167" s="263"/>
      <c r="EN167" s="263"/>
      <c r="EO167" s="263"/>
      <c r="EP167" s="263"/>
      <c r="EQ167" s="263"/>
      <c r="ER167" s="263"/>
      <c r="ES167" s="263"/>
      <c r="ET167" s="263"/>
      <c r="EU167" s="263"/>
      <c r="EV167" s="263"/>
      <c r="EW167" s="263"/>
      <c r="EX167" s="263"/>
      <c r="EY167" s="263"/>
      <c r="EZ167" s="263"/>
      <c r="FA167" s="263"/>
      <c r="FB167" s="263"/>
      <c r="FC167" s="263"/>
      <c r="FD167" s="263"/>
      <c r="FE167" s="263"/>
      <c r="FF167" s="263"/>
      <c r="FG167" s="263"/>
      <c r="FH167" s="263"/>
      <c r="FI167" s="263"/>
      <c r="FJ167" s="263"/>
      <c r="FK167" s="263"/>
      <c r="FL167" s="263"/>
      <c r="FM167" s="263"/>
      <c r="FN167" s="263"/>
      <c r="FO167" s="263"/>
      <c r="FP167" s="263"/>
      <c r="FQ167" s="263"/>
      <c r="FR167" s="263"/>
      <c r="FS167" s="263"/>
      <c r="FT167" s="263"/>
      <c r="FU167" s="263"/>
      <c r="FV167" s="263"/>
      <c r="FW167" s="263"/>
      <c r="FX167" s="263"/>
      <c r="FY167" s="263"/>
      <c r="FZ167" s="263"/>
      <c r="GA167" s="263"/>
      <c r="GB167" s="263"/>
      <c r="GC167" s="263"/>
      <c r="GD167" s="263"/>
      <c r="GE167" s="263"/>
      <c r="GF167" s="263"/>
      <c r="GG167" s="263"/>
      <c r="GH167" s="263"/>
      <c r="GI167" s="263"/>
      <c r="GJ167" s="263"/>
      <c r="GK167" s="263"/>
      <c r="GL167" s="263"/>
      <c r="GM167" s="263"/>
      <c r="GN167" s="263"/>
      <c r="GO167" s="263"/>
      <c r="GP167" s="263"/>
      <c r="GQ167" s="263"/>
      <c r="GR167" s="263"/>
      <c r="GS167" s="263"/>
      <c r="GT167" s="263"/>
      <c r="GU167" s="263"/>
      <c r="GV167" s="263"/>
      <c r="GW167" s="263"/>
      <c r="GX167" s="263"/>
      <c r="GY167" s="263"/>
      <c r="GZ167" s="263"/>
      <c r="HA167" s="263"/>
      <c r="HB167" s="263"/>
      <c r="HC167" s="263"/>
      <c r="HD167" s="263"/>
      <c r="HE167" s="263"/>
      <c r="HF167" s="263"/>
      <c r="HG167" s="263"/>
      <c r="HH167" s="263"/>
      <c r="HI167" s="263"/>
      <c r="HJ167" s="263"/>
      <c r="HK167" s="263"/>
      <c r="HL167" s="263"/>
      <c r="HM167" s="263"/>
      <c r="HN167" s="263"/>
      <c r="HO167" s="263"/>
      <c r="HP167" s="263"/>
      <c r="HQ167" s="263"/>
      <c r="HR167" s="263"/>
      <c r="HS167" s="263"/>
      <c r="HT167" s="263"/>
      <c r="HU167" s="263"/>
      <c r="HV167" s="263"/>
      <c r="HW167" s="263"/>
      <c r="HX167" s="263"/>
      <c r="HY167" s="263"/>
      <c r="HZ167" s="263"/>
      <c r="IA167" s="263"/>
      <c r="IB167" s="263"/>
      <c r="IC167" s="263"/>
      <c r="ID167" s="263"/>
      <c r="IE167" s="263"/>
      <c r="IF167" s="263"/>
      <c r="IG167" s="263"/>
      <c r="IH167" s="263"/>
      <c r="II167" s="263"/>
      <c r="IJ167" s="263"/>
      <c r="IK167" s="263"/>
      <c r="IL167" s="263"/>
      <c r="IM167" s="263"/>
      <c r="IN167" s="263"/>
      <c r="IO167" s="263"/>
      <c r="IP167" s="263"/>
      <c r="IQ167" s="263"/>
      <c r="IR167" s="263"/>
      <c r="IS167" s="263"/>
      <c r="IT167" s="263"/>
      <c r="IU167" s="263"/>
    </row>
    <row r="168" spans="1:255" ht="15.6">
      <c r="A168" s="263"/>
      <c r="B168" s="263"/>
      <c r="C168" s="263"/>
      <c r="D168" s="263"/>
      <c r="E168" s="263"/>
      <c r="F168" s="263"/>
      <c r="G168" s="263"/>
      <c r="H168" s="263"/>
      <c r="I168" s="263"/>
      <c r="J168" s="263"/>
      <c r="K168" s="263"/>
      <c r="L168" s="263"/>
      <c r="M168" s="263"/>
      <c r="N168" s="263"/>
      <c r="O168" s="263"/>
      <c r="P168" s="263"/>
      <c r="Q168" s="263"/>
      <c r="R168" s="263"/>
      <c r="S168" s="263"/>
      <c r="T168" s="263"/>
      <c r="U168" s="263"/>
      <c r="V168" s="263"/>
      <c r="W168" s="263"/>
      <c r="X168" s="263"/>
      <c r="Y168" s="263"/>
      <c r="Z168" s="263"/>
      <c r="AA168" s="263"/>
      <c r="AB168" s="263"/>
      <c r="AC168" s="263"/>
      <c r="AD168" s="263"/>
      <c r="AE168" s="263"/>
      <c r="AF168" s="263"/>
      <c r="AG168" s="263"/>
      <c r="AH168" s="263"/>
      <c r="AI168" s="263"/>
      <c r="AJ168" s="263"/>
      <c r="AK168" s="263"/>
      <c r="AL168" s="263"/>
      <c r="AM168" s="263"/>
      <c r="AN168" s="263"/>
      <c r="AO168" s="263"/>
      <c r="AP168" s="263"/>
      <c r="AQ168" s="263"/>
      <c r="AR168" s="263"/>
      <c r="AS168" s="263"/>
      <c r="AT168" s="263"/>
      <c r="AU168" s="263"/>
      <c r="AV168" s="263"/>
      <c r="AW168" s="263"/>
      <c r="AX168" s="263"/>
      <c r="AY168" s="263"/>
      <c r="AZ168" s="263"/>
      <c r="BA168" s="263"/>
      <c r="BB168" s="263"/>
      <c r="BC168" s="263"/>
      <c r="BD168" s="263"/>
      <c r="BE168" s="263"/>
      <c r="BF168" s="263"/>
      <c r="BG168" s="263"/>
      <c r="BH168" s="263"/>
      <c r="BI168" s="263"/>
      <c r="BJ168" s="263"/>
      <c r="BK168" s="263"/>
      <c r="BL168" s="263"/>
      <c r="BM168" s="263"/>
      <c r="BN168" s="263"/>
      <c r="BO168" s="263"/>
      <c r="BP168" s="263"/>
      <c r="BQ168" s="263"/>
      <c r="BR168" s="263"/>
      <c r="BS168" s="263"/>
      <c r="BT168" s="263"/>
      <c r="BU168" s="263"/>
      <c r="BV168" s="263"/>
      <c r="BW168" s="263"/>
      <c r="BX168" s="263"/>
      <c r="BY168" s="263"/>
      <c r="BZ168" s="263"/>
      <c r="CA168" s="263"/>
      <c r="CB168" s="263"/>
      <c r="CC168" s="263"/>
      <c r="CD168" s="263"/>
      <c r="CE168" s="263"/>
      <c r="CF168" s="263"/>
      <c r="CG168" s="263"/>
      <c r="CH168" s="263"/>
      <c r="CI168" s="263"/>
      <c r="CJ168" s="263"/>
      <c r="CK168" s="263"/>
      <c r="CL168" s="263"/>
      <c r="CM168" s="263"/>
      <c r="CN168" s="263"/>
      <c r="CO168" s="263"/>
      <c r="CP168" s="263"/>
      <c r="CQ168" s="263"/>
      <c r="CR168" s="263"/>
      <c r="CS168" s="263"/>
      <c r="CT168" s="263"/>
      <c r="CU168" s="263"/>
      <c r="CV168" s="263"/>
      <c r="CW168" s="263"/>
      <c r="CX168" s="263"/>
      <c r="CY168" s="263"/>
      <c r="CZ168" s="263"/>
      <c r="DA168" s="263"/>
      <c r="DB168" s="263"/>
      <c r="DC168" s="263"/>
      <c r="DD168" s="263"/>
      <c r="DE168" s="263"/>
      <c r="DF168" s="263"/>
      <c r="DG168" s="263"/>
      <c r="DH168" s="263"/>
      <c r="DI168" s="263"/>
      <c r="DJ168" s="263"/>
      <c r="DK168" s="263"/>
      <c r="DL168" s="263"/>
      <c r="DM168" s="263"/>
      <c r="DN168" s="263"/>
      <c r="DO168" s="263"/>
      <c r="DP168" s="263"/>
      <c r="DQ168" s="263"/>
      <c r="DR168" s="263"/>
      <c r="DS168" s="263"/>
      <c r="DT168" s="263"/>
      <c r="DU168" s="263"/>
      <c r="DV168" s="263"/>
      <c r="DW168" s="263"/>
      <c r="DX168" s="263"/>
      <c r="DY168" s="263"/>
      <c r="DZ168" s="263"/>
      <c r="EA168" s="263"/>
      <c r="EB168" s="263"/>
      <c r="EC168" s="263"/>
      <c r="ED168" s="263"/>
      <c r="EE168" s="263"/>
      <c r="EF168" s="263"/>
      <c r="EG168" s="263"/>
      <c r="EH168" s="263"/>
      <c r="EI168" s="263"/>
      <c r="EJ168" s="263"/>
      <c r="EK168" s="263"/>
      <c r="EL168" s="263"/>
      <c r="EM168" s="263"/>
      <c r="EN168" s="263"/>
      <c r="EO168" s="263"/>
      <c r="EP168" s="263"/>
      <c r="EQ168" s="263"/>
      <c r="ER168" s="263"/>
      <c r="ES168" s="263"/>
      <c r="ET168" s="263"/>
      <c r="EU168" s="263"/>
      <c r="EV168" s="263"/>
      <c r="EW168" s="263"/>
      <c r="EX168" s="263"/>
      <c r="EY168" s="263"/>
      <c r="EZ168" s="263"/>
      <c r="FA168" s="263"/>
      <c r="FB168" s="263"/>
      <c r="FC168" s="263"/>
      <c r="FD168" s="263"/>
      <c r="FE168" s="263"/>
      <c r="FF168" s="263"/>
      <c r="FG168" s="263"/>
      <c r="FH168" s="263"/>
      <c r="FI168" s="263"/>
      <c r="FJ168" s="263"/>
      <c r="FK168" s="263"/>
      <c r="FL168" s="263"/>
      <c r="FM168" s="263"/>
      <c r="FN168" s="263"/>
      <c r="FO168" s="263"/>
      <c r="FP168" s="263"/>
      <c r="FQ168" s="263"/>
      <c r="FR168" s="263"/>
      <c r="FS168" s="263"/>
      <c r="FT168" s="263"/>
      <c r="FU168" s="263"/>
      <c r="FV168" s="263"/>
      <c r="FW168" s="263"/>
      <c r="FX168" s="263"/>
      <c r="FY168" s="263"/>
      <c r="FZ168" s="263"/>
      <c r="GA168" s="263"/>
      <c r="GB168" s="263"/>
      <c r="GC168" s="263"/>
      <c r="GD168" s="263"/>
      <c r="GE168" s="263"/>
      <c r="GF168" s="263"/>
      <c r="GG168" s="263"/>
      <c r="GH168" s="263"/>
      <c r="GI168" s="263"/>
      <c r="GJ168" s="263"/>
      <c r="GK168" s="263"/>
      <c r="GL168" s="263"/>
      <c r="GM168" s="263"/>
      <c r="GN168" s="263"/>
      <c r="GO168" s="263"/>
      <c r="GP168" s="263"/>
      <c r="GQ168" s="263"/>
      <c r="GR168" s="263"/>
      <c r="GS168" s="263"/>
      <c r="GT168" s="263"/>
      <c r="GU168" s="263"/>
      <c r="GV168" s="263"/>
      <c r="GW168" s="263"/>
      <c r="GX168" s="263"/>
      <c r="GY168" s="263"/>
      <c r="GZ168" s="263"/>
      <c r="HA168" s="263"/>
      <c r="HB168" s="263"/>
      <c r="HC168" s="263"/>
      <c r="HD168" s="263"/>
      <c r="HE168" s="263"/>
      <c r="HF168" s="263"/>
      <c r="HG168" s="263"/>
      <c r="HH168" s="263"/>
      <c r="HI168" s="263"/>
      <c r="HJ168" s="263"/>
      <c r="HK168" s="263"/>
      <c r="HL168" s="263"/>
      <c r="HM168" s="263"/>
      <c r="HN168" s="263"/>
      <c r="HO168" s="263"/>
      <c r="HP168" s="263"/>
      <c r="HQ168" s="263"/>
      <c r="HR168" s="263"/>
      <c r="HS168" s="263"/>
      <c r="HT168" s="263"/>
      <c r="HU168" s="263"/>
      <c r="HV168" s="263"/>
      <c r="HW168" s="263"/>
      <c r="HX168" s="263"/>
      <c r="HY168" s="263"/>
      <c r="HZ168" s="263"/>
      <c r="IA168" s="263"/>
      <c r="IB168" s="263"/>
      <c r="IC168" s="263"/>
      <c r="ID168" s="263"/>
      <c r="IE168" s="263"/>
      <c r="IF168" s="263"/>
      <c r="IG168" s="263"/>
      <c r="IH168" s="263"/>
      <c r="II168" s="263"/>
      <c r="IJ168" s="263"/>
      <c r="IK168" s="263"/>
      <c r="IL168" s="263"/>
      <c r="IM168" s="263"/>
      <c r="IN168" s="263"/>
      <c r="IO168" s="263"/>
      <c r="IP168" s="263"/>
      <c r="IQ168" s="263"/>
      <c r="IR168" s="263"/>
      <c r="IS168" s="263"/>
      <c r="IT168" s="263"/>
      <c r="IU168" s="263"/>
    </row>
    <row r="169" spans="1:255" ht="15.6">
      <c r="A169" s="263"/>
      <c r="B169" s="263"/>
      <c r="C169" s="263"/>
      <c r="D169" s="263"/>
      <c r="E169" s="263"/>
      <c r="F169" s="263"/>
      <c r="G169" s="263"/>
      <c r="H169" s="263"/>
      <c r="I169" s="263"/>
      <c r="J169" s="263"/>
      <c r="K169" s="263"/>
      <c r="L169" s="263"/>
      <c r="M169" s="263"/>
      <c r="N169" s="263"/>
      <c r="O169" s="263"/>
      <c r="P169" s="263"/>
      <c r="Q169" s="263"/>
      <c r="R169" s="263"/>
      <c r="S169" s="263"/>
      <c r="T169" s="263"/>
      <c r="U169" s="263"/>
      <c r="V169" s="263"/>
      <c r="W169" s="263"/>
      <c r="X169" s="263"/>
      <c r="Y169" s="263"/>
      <c r="Z169" s="263"/>
      <c r="AA169" s="263"/>
      <c r="AB169" s="263"/>
      <c r="AC169" s="263"/>
      <c r="AD169" s="263"/>
      <c r="AE169" s="263"/>
      <c r="AF169" s="263"/>
      <c r="AG169" s="263"/>
      <c r="AH169" s="263"/>
      <c r="AI169" s="263"/>
      <c r="AJ169" s="263"/>
      <c r="AK169" s="263"/>
      <c r="AL169" s="263"/>
      <c r="AM169" s="263"/>
      <c r="AN169" s="263"/>
      <c r="AO169" s="263"/>
      <c r="AP169" s="263"/>
      <c r="AQ169" s="263"/>
      <c r="AR169" s="263"/>
      <c r="AS169" s="263"/>
      <c r="AT169" s="263"/>
      <c r="AU169" s="263"/>
      <c r="AV169" s="263"/>
      <c r="AW169" s="263"/>
      <c r="AX169" s="263"/>
      <c r="AY169" s="263"/>
      <c r="AZ169" s="263"/>
      <c r="BA169" s="263"/>
      <c r="BB169" s="263"/>
      <c r="BC169" s="263"/>
      <c r="BD169" s="263"/>
      <c r="BE169" s="263"/>
      <c r="BF169" s="263"/>
      <c r="BG169" s="263"/>
      <c r="BH169" s="263"/>
      <c r="BI169" s="263"/>
      <c r="BJ169" s="263"/>
      <c r="BK169" s="263"/>
      <c r="BL169" s="263"/>
      <c r="BM169" s="263"/>
      <c r="BN169" s="263"/>
      <c r="BO169" s="263"/>
      <c r="BP169" s="263"/>
      <c r="BQ169" s="263"/>
      <c r="BR169" s="263"/>
      <c r="BS169" s="263"/>
      <c r="BT169" s="263"/>
      <c r="BU169" s="263"/>
      <c r="BV169" s="263"/>
      <c r="BW169" s="263"/>
      <c r="BX169" s="263"/>
      <c r="BY169" s="263"/>
      <c r="BZ169" s="263"/>
      <c r="CA169" s="263"/>
      <c r="CB169" s="263"/>
      <c r="CC169" s="263"/>
      <c r="CD169" s="263"/>
      <c r="CE169" s="263"/>
      <c r="CF169" s="263"/>
      <c r="CG169" s="263"/>
      <c r="CH169" s="263"/>
      <c r="CI169" s="263"/>
      <c r="CJ169" s="263"/>
      <c r="CK169" s="263"/>
      <c r="CL169" s="263"/>
      <c r="CM169" s="263"/>
      <c r="CN169" s="263"/>
      <c r="CO169" s="263"/>
      <c r="CP169" s="263"/>
      <c r="CQ169" s="263"/>
      <c r="CR169" s="263"/>
      <c r="CS169" s="263"/>
      <c r="CT169" s="263"/>
      <c r="CU169" s="263"/>
      <c r="CV169" s="263"/>
      <c r="CW169" s="263"/>
      <c r="CX169" s="263"/>
      <c r="CY169" s="263"/>
      <c r="CZ169" s="263"/>
      <c r="DA169" s="263"/>
      <c r="DB169" s="263"/>
      <c r="DC169" s="263"/>
      <c r="DD169" s="263"/>
      <c r="DE169" s="263"/>
      <c r="DF169" s="263"/>
      <c r="DG169" s="263"/>
      <c r="DH169" s="263"/>
      <c r="DI169" s="263"/>
      <c r="DJ169" s="263"/>
      <c r="DK169" s="263"/>
      <c r="DL169" s="263"/>
      <c r="DM169" s="263"/>
      <c r="DN169" s="263"/>
      <c r="DO169" s="263"/>
      <c r="DP169" s="263"/>
      <c r="DQ169" s="263"/>
      <c r="DR169" s="263"/>
      <c r="DS169" s="263"/>
      <c r="DT169" s="263"/>
      <c r="DU169" s="263"/>
      <c r="DV169" s="263"/>
      <c r="DW169" s="263"/>
      <c r="DX169" s="263"/>
      <c r="DY169" s="263"/>
      <c r="DZ169" s="263"/>
      <c r="EA169" s="263"/>
      <c r="EB169" s="263"/>
      <c r="EC169" s="263"/>
      <c r="ED169" s="263"/>
      <c r="EE169" s="263"/>
      <c r="EF169" s="263"/>
      <c r="EG169" s="263"/>
      <c r="EH169" s="263"/>
      <c r="EI169" s="263"/>
      <c r="EJ169" s="263"/>
      <c r="EK169" s="263"/>
      <c r="EL169" s="263"/>
      <c r="EM169" s="263"/>
      <c r="EN169" s="263"/>
      <c r="EO169" s="263"/>
      <c r="EP169" s="263"/>
      <c r="EQ169" s="263"/>
      <c r="ER169" s="263"/>
      <c r="ES169" s="263"/>
      <c r="ET169" s="263"/>
      <c r="EU169" s="263"/>
      <c r="EV169" s="263"/>
      <c r="EW169" s="263"/>
      <c r="EX169" s="263"/>
      <c r="EY169" s="263"/>
      <c r="EZ169" s="263"/>
      <c r="FA169" s="263"/>
      <c r="FB169" s="263"/>
      <c r="FC169" s="263"/>
      <c r="FD169" s="263"/>
      <c r="FE169" s="263"/>
      <c r="FF169" s="263"/>
      <c r="FG169" s="263"/>
      <c r="FH169" s="263"/>
      <c r="FI169" s="263"/>
      <c r="FJ169" s="263"/>
      <c r="FK169" s="263"/>
      <c r="FL169" s="263"/>
      <c r="FM169" s="263"/>
      <c r="FN169" s="263"/>
      <c r="FO169" s="263"/>
      <c r="FP169" s="263"/>
      <c r="FQ169" s="263"/>
      <c r="FR169" s="263"/>
      <c r="FS169" s="263"/>
      <c r="FT169" s="263"/>
      <c r="FU169" s="263"/>
      <c r="FV169" s="263"/>
      <c r="FW169" s="263"/>
      <c r="FX169" s="263"/>
      <c r="FY169" s="263"/>
      <c r="FZ169" s="263"/>
      <c r="GA169" s="263"/>
      <c r="GB169" s="263"/>
      <c r="GC169" s="263"/>
      <c r="GD169" s="263"/>
      <c r="GE169" s="263"/>
      <c r="GF169" s="263"/>
      <c r="GG169" s="263"/>
      <c r="GH169" s="263"/>
      <c r="GI169" s="263"/>
      <c r="GJ169" s="263"/>
      <c r="GK169" s="263"/>
      <c r="GL169" s="263"/>
      <c r="GM169" s="263"/>
      <c r="GN169" s="263"/>
      <c r="GO169" s="263"/>
      <c r="GP169" s="263"/>
      <c r="GQ169" s="263"/>
      <c r="GR169" s="263"/>
      <c r="GS169" s="263"/>
      <c r="GT169" s="263"/>
      <c r="GU169" s="263"/>
      <c r="GV169" s="263"/>
      <c r="GW169" s="263"/>
      <c r="GX169" s="263"/>
      <c r="GY169" s="263"/>
      <c r="GZ169" s="263"/>
      <c r="HA169" s="263"/>
      <c r="HB169" s="263"/>
      <c r="HC169" s="263"/>
      <c r="HD169" s="263"/>
      <c r="HE169" s="263"/>
      <c r="HF169" s="263"/>
      <c r="HG169" s="263"/>
      <c r="HH169" s="263"/>
      <c r="HI169" s="263"/>
      <c r="HJ169" s="263"/>
      <c r="HK169" s="263"/>
      <c r="HL169" s="263"/>
      <c r="HM169" s="263"/>
      <c r="HN169" s="263"/>
      <c r="HO169" s="263"/>
      <c r="HP169" s="263"/>
      <c r="HQ169" s="263"/>
      <c r="HR169" s="263"/>
      <c r="HS169" s="263"/>
      <c r="HT169" s="263"/>
      <c r="HU169" s="263"/>
      <c r="HV169" s="263"/>
      <c r="HW169" s="263"/>
      <c r="HX169" s="263"/>
      <c r="HY169" s="263"/>
      <c r="HZ169" s="263"/>
      <c r="IA169" s="263"/>
      <c r="IB169" s="263"/>
      <c r="IC169" s="263"/>
      <c r="ID169" s="263"/>
      <c r="IE169" s="263"/>
      <c r="IF169" s="263"/>
      <c r="IG169" s="263"/>
      <c r="IH169" s="263"/>
      <c r="II169" s="263"/>
      <c r="IJ169" s="263"/>
      <c r="IK169" s="263"/>
      <c r="IL169" s="263"/>
      <c r="IM169" s="263"/>
      <c r="IN169" s="263"/>
      <c r="IO169" s="263"/>
      <c r="IP169" s="263"/>
      <c r="IQ169" s="263"/>
      <c r="IR169" s="263"/>
      <c r="IS169" s="263"/>
      <c r="IT169" s="263"/>
      <c r="IU169" s="263"/>
    </row>
    <row r="170" spans="1:255" ht="15.6">
      <c r="A170" s="263"/>
      <c r="B170" s="263"/>
      <c r="C170" s="263"/>
      <c r="D170" s="263"/>
      <c r="E170" s="263"/>
      <c r="F170" s="263"/>
      <c r="G170" s="263"/>
      <c r="H170" s="263"/>
      <c r="I170" s="263"/>
      <c r="J170" s="263"/>
      <c r="K170" s="263"/>
      <c r="L170" s="263"/>
      <c r="M170" s="263"/>
      <c r="N170" s="263"/>
      <c r="O170" s="263"/>
      <c r="P170" s="263"/>
      <c r="Q170" s="263"/>
      <c r="R170" s="263"/>
      <c r="S170" s="263"/>
      <c r="T170" s="263"/>
      <c r="U170" s="263"/>
      <c r="V170" s="263"/>
      <c r="W170" s="263"/>
      <c r="X170" s="263"/>
      <c r="Y170" s="263"/>
      <c r="Z170" s="263"/>
      <c r="AA170" s="263"/>
      <c r="AB170" s="263"/>
      <c r="AC170" s="263"/>
      <c r="AD170" s="263"/>
      <c r="AE170" s="263"/>
      <c r="AF170" s="263"/>
      <c r="AG170" s="263"/>
      <c r="AH170" s="263"/>
      <c r="AI170" s="263"/>
      <c r="AJ170" s="263"/>
      <c r="AK170" s="263"/>
      <c r="AL170" s="263"/>
      <c r="AM170" s="263"/>
      <c r="AN170" s="263"/>
      <c r="AO170" s="263"/>
      <c r="AP170" s="263"/>
      <c r="AQ170" s="263"/>
      <c r="AR170" s="263"/>
      <c r="AS170" s="263"/>
      <c r="AT170" s="263"/>
      <c r="AU170" s="263"/>
      <c r="AV170" s="263"/>
      <c r="AW170" s="263"/>
      <c r="AX170" s="263"/>
      <c r="AY170" s="263"/>
      <c r="AZ170" s="263"/>
      <c r="BA170" s="263"/>
      <c r="BB170" s="263"/>
      <c r="BC170" s="263"/>
      <c r="BD170" s="263"/>
      <c r="BE170" s="263"/>
      <c r="BF170" s="263"/>
      <c r="BG170" s="263"/>
      <c r="BH170" s="263"/>
      <c r="BI170" s="263"/>
      <c r="BJ170" s="263"/>
      <c r="BK170" s="263"/>
      <c r="BL170" s="263"/>
      <c r="BM170" s="263"/>
      <c r="BN170" s="263"/>
      <c r="BO170" s="263"/>
      <c r="BP170" s="263"/>
      <c r="BQ170" s="263"/>
      <c r="BR170" s="263"/>
      <c r="BS170" s="263"/>
      <c r="BT170" s="263"/>
      <c r="BU170" s="263"/>
      <c r="BV170" s="263"/>
      <c r="BW170" s="263"/>
      <c r="BX170" s="263"/>
      <c r="BY170" s="263"/>
      <c r="BZ170" s="263"/>
      <c r="CA170" s="263"/>
      <c r="CB170" s="263"/>
      <c r="CC170" s="263"/>
      <c r="CD170" s="263"/>
      <c r="CE170" s="263"/>
      <c r="CF170" s="263"/>
      <c r="CG170" s="263"/>
      <c r="CH170" s="263"/>
      <c r="CI170" s="263"/>
      <c r="CJ170" s="263"/>
      <c r="CK170" s="263"/>
      <c r="CL170" s="263"/>
      <c r="CM170" s="263"/>
      <c r="CN170" s="263"/>
      <c r="CO170" s="263"/>
      <c r="CP170" s="263"/>
      <c r="CQ170" s="263"/>
      <c r="CR170" s="263"/>
      <c r="CS170" s="263"/>
      <c r="CT170" s="263"/>
      <c r="CU170" s="263"/>
      <c r="CV170" s="263"/>
      <c r="CW170" s="263"/>
      <c r="CX170" s="263"/>
      <c r="CY170" s="263"/>
      <c r="CZ170" s="263"/>
      <c r="DA170" s="263"/>
      <c r="DB170" s="263"/>
      <c r="DC170" s="263"/>
      <c r="DD170" s="263"/>
      <c r="DE170" s="263"/>
      <c r="DF170" s="263"/>
      <c r="DG170" s="263"/>
      <c r="DH170" s="263"/>
      <c r="DI170" s="263"/>
      <c r="DJ170" s="263"/>
      <c r="DK170" s="263"/>
      <c r="DL170" s="263"/>
      <c r="DM170" s="263"/>
      <c r="DN170" s="263"/>
      <c r="DO170" s="263"/>
      <c r="DP170" s="263"/>
      <c r="DQ170" s="263"/>
      <c r="DR170" s="263"/>
      <c r="DS170" s="263"/>
      <c r="DT170" s="263"/>
      <c r="DU170" s="263"/>
      <c r="DV170" s="263"/>
      <c r="DW170" s="263"/>
      <c r="DX170" s="263"/>
      <c r="DY170" s="263"/>
      <c r="DZ170" s="263"/>
      <c r="EA170" s="263"/>
      <c r="EB170" s="263"/>
      <c r="EC170" s="263"/>
      <c r="ED170" s="263"/>
      <c r="EE170" s="263"/>
      <c r="EF170" s="263"/>
      <c r="EG170" s="263"/>
      <c r="EH170" s="263"/>
      <c r="EI170" s="263"/>
      <c r="EJ170" s="263"/>
      <c r="EK170" s="263"/>
      <c r="EL170" s="263"/>
      <c r="EM170" s="263"/>
      <c r="EN170" s="263"/>
      <c r="EO170" s="263"/>
      <c r="EP170" s="263"/>
      <c r="EQ170" s="263"/>
      <c r="ER170" s="263"/>
      <c r="ES170" s="263"/>
      <c r="ET170" s="263"/>
      <c r="EU170" s="263"/>
      <c r="EV170" s="263"/>
      <c r="EW170" s="263"/>
      <c r="EX170" s="263"/>
      <c r="EY170" s="263"/>
      <c r="EZ170" s="263"/>
      <c r="FA170" s="263"/>
      <c r="FB170" s="263"/>
      <c r="FC170" s="263"/>
      <c r="FD170" s="263"/>
      <c r="FE170" s="263"/>
      <c r="FF170" s="263"/>
      <c r="FG170" s="263"/>
      <c r="FH170" s="263"/>
      <c r="FI170" s="263"/>
      <c r="FJ170" s="263"/>
      <c r="FK170" s="263"/>
      <c r="FL170" s="263"/>
      <c r="FM170" s="263"/>
      <c r="FN170" s="263"/>
      <c r="FO170" s="263"/>
      <c r="FP170" s="263"/>
      <c r="FQ170" s="263"/>
      <c r="FR170" s="263"/>
      <c r="FS170" s="263"/>
      <c r="FT170" s="263"/>
      <c r="FU170" s="263"/>
      <c r="FV170" s="263"/>
      <c r="FW170" s="263"/>
      <c r="FX170" s="263"/>
      <c r="FY170" s="263"/>
      <c r="FZ170" s="263"/>
      <c r="GA170" s="263"/>
      <c r="GB170" s="263"/>
      <c r="GC170" s="263"/>
      <c r="GD170" s="263"/>
      <c r="GE170" s="263"/>
      <c r="GF170" s="263"/>
      <c r="GG170" s="263"/>
      <c r="GH170" s="263"/>
      <c r="GI170" s="263"/>
      <c r="GJ170" s="263"/>
      <c r="GK170" s="263"/>
      <c r="GL170" s="263"/>
      <c r="GM170" s="263"/>
      <c r="GN170" s="263"/>
      <c r="GO170" s="263"/>
      <c r="GP170" s="263"/>
      <c r="GQ170" s="263"/>
      <c r="GR170" s="263"/>
      <c r="GS170" s="263"/>
      <c r="GT170" s="263"/>
      <c r="GU170" s="263"/>
      <c r="GV170" s="263"/>
      <c r="GW170" s="263"/>
      <c r="GX170" s="263"/>
      <c r="GY170" s="263"/>
      <c r="GZ170" s="263"/>
      <c r="HA170" s="263"/>
      <c r="HB170" s="263"/>
      <c r="HC170" s="263"/>
      <c r="HD170" s="263"/>
      <c r="HE170" s="263"/>
      <c r="HF170" s="263"/>
      <c r="HG170" s="263"/>
      <c r="HH170" s="263"/>
      <c r="HI170" s="263"/>
      <c r="HJ170" s="263"/>
      <c r="HK170" s="263"/>
      <c r="HL170" s="263"/>
      <c r="HM170" s="263"/>
      <c r="HN170" s="263"/>
      <c r="HO170" s="263"/>
      <c r="HP170" s="263"/>
      <c r="HQ170" s="263"/>
      <c r="HR170" s="263"/>
      <c r="HS170" s="263"/>
      <c r="HT170" s="263"/>
      <c r="HU170" s="263"/>
      <c r="HV170" s="263"/>
      <c r="HW170" s="263"/>
      <c r="HX170" s="263"/>
      <c r="HY170" s="263"/>
      <c r="HZ170" s="263"/>
      <c r="IA170" s="263"/>
      <c r="IB170" s="263"/>
      <c r="IC170" s="263"/>
      <c r="ID170" s="263"/>
      <c r="IE170" s="263"/>
      <c r="IF170" s="263"/>
      <c r="IG170" s="263"/>
      <c r="IH170" s="263"/>
      <c r="II170" s="263"/>
      <c r="IJ170" s="263"/>
      <c r="IK170" s="263"/>
      <c r="IL170" s="263"/>
      <c r="IM170" s="263"/>
      <c r="IN170" s="263"/>
      <c r="IO170" s="263"/>
      <c r="IP170" s="263"/>
      <c r="IQ170" s="263"/>
      <c r="IR170" s="263"/>
      <c r="IS170" s="263"/>
      <c r="IT170" s="263"/>
      <c r="IU170" s="263"/>
    </row>
    <row r="171" spans="1:255" ht="15.6">
      <c r="A171" s="263"/>
      <c r="B171" s="263"/>
      <c r="C171" s="263"/>
      <c r="D171" s="263"/>
      <c r="E171" s="263"/>
      <c r="F171" s="263"/>
      <c r="G171" s="263"/>
      <c r="H171" s="263"/>
      <c r="I171" s="263"/>
      <c r="J171" s="263"/>
      <c r="K171" s="263"/>
      <c r="L171" s="263"/>
      <c r="M171" s="263"/>
      <c r="N171" s="263"/>
      <c r="O171" s="263"/>
      <c r="P171" s="263"/>
      <c r="Q171" s="263"/>
      <c r="R171" s="263"/>
      <c r="S171" s="263"/>
      <c r="T171" s="263"/>
      <c r="U171" s="263"/>
      <c r="V171" s="263"/>
      <c r="W171" s="263"/>
      <c r="X171" s="263"/>
      <c r="Y171" s="263"/>
      <c r="Z171" s="263"/>
      <c r="AA171" s="263"/>
      <c r="AB171" s="263"/>
      <c r="AC171" s="263"/>
      <c r="AD171" s="263"/>
      <c r="AE171" s="263"/>
      <c r="AF171" s="263"/>
      <c r="AG171" s="263"/>
      <c r="AH171" s="263"/>
      <c r="AI171" s="263"/>
      <c r="AJ171" s="263"/>
      <c r="AK171" s="263"/>
      <c r="AL171" s="263"/>
      <c r="AM171" s="263"/>
      <c r="AN171" s="263"/>
      <c r="AO171" s="263"/>
      <c r="AP171" s="263"/>
      <c r="AQ171" s="263"/>
      <c r="AR171" s="263"/>
      <c r="AS171" s="263"/>
      <c r="AT171" s="263"/>
      <c r="AU171" s="263"/>
      <c r="AV171" s="263"/>
      <c r="AW171" s="263"/>
      <c r="AX171" s="263"/>
      <c r="AY171" s="263"/>
      <c r="AZ171" s="263"/>
      <c r="BA171" s="263"/>
      <c r="BB171" s="263"/>
      <c r="BC171" s="263"/>
      <c r="BD171" s="263"/>
      <c r="BE171" s="263"/>
      <c r="BF171" s="263"/>
      <c r="BG171" s="263"/>
      <c r="BH171" s="263"/>
      <c r="BI171" s="263"/>
      <c r="BJ171" s="263"/>
      <c r="BK171" s="263"/>
      <c r="BL171" s="263"/>
      <c r="BM171" s="263"/>
      <c r="BN171" s="263"/>
      <c r="BO171" s="263"/>
      <c r="BP171" s="263"/>
      <c r="BQ171" s="263"/>
      <c r="BR171" s="263"/>
      <c r="BS171" s="263"/>
      <c r="BT171" s="263"/>
      <c r="BU171" s="263"/>
      <c r="BV171" s="263"/>
      <c r="BW171" s="263"/>
      <c r="BX171" s="263"/>
      <c r="BY171" s="263"/>
      <c r="BZ171" s="263"/>
      <c r="CA171" s="263"/>
      <c r="CB171" s="263"/>
      <c r="CC171" s="263"/>
      <c r="CD171" s="263"/>
      <c r="CE171" s="263"/>
      <c r="CF171" s="263"/>
      <c r="CG171" s="263"/>
      <c r="CH171" s="263"/>
      <c r="CI171" s="263"/>
      <c r="CJ171" s="263"/>
      <c r="CK171" s="263"/>
      <c r="CL171" s="263"/>
      <c r="CM171" s="263"/>
      <c r="CN171" s="263"/>
      <c r="CO171" s="263"/>
      <c r="CP171" s="263"/>
      <c r="CQ171" s="263"/>
      <c r="CR171" s="263"/>
      <c r="CS171" s="263"/>
      <c r="CT171" s="263"/>
      <c r="CU171" s="263"/>
      <c r="CV171" s="263"/>
      <c r="CW171" s="263"/>
      <c r="CX171" s="263"/>
      <c r="CY171" s="263"/>
      <c r="CZ171" s="263"/>
      <c r="DA171" s="263"/>
      <c r="DB171" s="263"/>
      <c r="DC171" s="263"/>
      <c r="DD171" s="263"/>
      <c r="DE171" s="263"/>
      <c r="DF171" s="263"/>
      <c r="DG171" s="263"/>
      <c r="DH171" s="263"/>
      <c r="DI171" s="263"/>
      <c r="DJ171" s="263"/>
      <c r="DK171" s="263"/>
      <c r="DL171" s="263"/>
      <c r="DM171" s="263"/>
      <c r="DN171" s="263"/>
      <c r="DO171" s="263"/>
      <c r="DP171" s="263"/>
      <c r="DQ171" s="263"/>
      <c r="DR171" s="263"/>
      <c r="DS171" s="263"/>
      <c r="DT171" s="263"/>
      <c r="DU171" s="263"/>
      <c r="DV171" s="263"/>
      <c r="DW171" s="263"/>
      <c r="DX171" s="263"/>
      <c r="DY171" s="263"/>
      <c r="DZ171" s="263"/>
      <c r="EA171" s="263"/>
      <c r="EB171" s="263"/>
      <c r="EC171" s="263"/>
      <c r="ED171" s="263"/>
      <c r="EE171" s="263"/>
      <c r="EF171" s="263"/>
      <c r="EG171" s="263"/>
      <c r="EH171" s="263"/>
      <c r="EI171" s="263"/>
      <c r="EJ171" s="263"/>
      <c r="EK171" s="263"/>
      <c r="EL171" s="263"/>
      <c r="EM171" s="263"/>
      <c r="EN171" s="263"/>
      <c r="EO171" s="263"/>
      <c r="EP171" s="263"/>
      <c r="EQ171" s="263"/>
      <c r="ER171" s="263"/>
      <c r="ES171" s="263"/>
      <c r="ET171" s="263"/>
      <c r="EU171" s="263"/>
      <c r="EV171" s="263"/>
      <c r="EW171" s="263"/>
      <c r="EX171" s="263"/>
      <c r="EY171" s="263"/>
      <c r="EZ171" s="263"/>
      <c r="FA171" s="263"/>
      <c r="FB171" s="263"/>
      <c r="FC171" s="263"/>
      <c r="FD171" s="263"/>
      <c r="FE171" s="263"/>
      <c r="FF171" s="263"/>
      <c r="FG171" s="263"/>
      <c r="FH171" s="263"/>
      <c r="FI171" s="263"/>
      <c r="FJ171" s="263"/>
      <c r="FK171" s="263"/>
      <c r="FL171" s="263"/>
      <c r="FM171" s="263"/>
      <c r="FN171" s="263"/>
      <c r="FO171" s="263"/>
      <c r="FP171" s="263"/>
      <c r="FQ171" s="263"/>
      <c r="FR171" s="263"/>
      <c r="FS171" s="263"/>
      <c r="FT171" s="263"/>
      <c r="FU171" s="263"/>
      <c r="FV171" s="263"/>
      <c r="FW171" s="263"/>
      <c r="FX171" s="263"/>
      <c r="FY171" s="263"/>
      <c r="FZ171" s="263"/>
      <c r="GA171" s="263"/>
      <c r="GB171" s="263"/>
      <c r="GC171" s="263"/>
      <c r="GD171" s="263"/>
      <c r="GE171" s="263"/>
      <c r="GF171" s="263"/>
      <c r="GG171" s="263"/>
      <c r="GH171" s="263"/>
      <c r="GI171" s="263"/>
      <c r="GJ171" s="263"/>
      <c r="GK171" s="263"/>
      <c r="GL171" s="263"/>
      <c r="GM171" s="263"/>
      <c r="GN171" s="263"/>
      <c r="GO171" s="263"/>
      <c r="GP171" s="263"/>
      <c r="GQ171" s="263"/>
      <c r="GR171" s="263"/>
      <c r="GS171" s="263"/>
      <c r="GT171" s="263"/>
      <c r="GU171" s="263"/>
      <c r="GV171" s="263"/>
      <c r="GW171" s="263"/>
      <c r="GX171" s="263"/>
      <c r="GY171" s="263"/>
      <c r="GZ171" s="263"/>
      <c r="HA171" s="263"/>
      <c r="HB171" s="263"/>
      <c r="HC171" s="263"/>
      <c r="HD171" s="263"/>
      <c r="HE171" s="263"/>
      <c r="HF171" s="263"/>
      <c r="HG171" s="263"/>
      <c r="HH171" s="263"/>
      <c r="HI171" s="263"/>
      <c r="HJ171" s="263"/>
      <c r="HK171" s="263"/>
      <c r="HL171" s="263"/>
      <c r="HM171" s="263"/>
      <c r="HN171" s="263"/>
      <c r="HO171" s="263"/>
      <c r="HP171" s="263"/>
      <c r="HQ171" s="263"/>
      <c r="HR171" s="263"/>
      <c r="HS171" s="263"/>
      <c r="HT171" s="263"/>
      <c r="HU171" s="263"/>
      <c r="HV171" s="263"/>
      <c r="HW171" s="263"/>
      <c r="HX171" s="263"/>
      <c r="HY171" s="263"/>
      <c r="HZ171" s="263"/>
      <c r="IA171" s="263"/>
      <c r="IB171" s="263"/>
      <c r="IC171" s="263"/>
      <c r="ID171" s="263"/>
      <c r="IE171" s="263"/>
      <c r="IF171" s="263"/>
      <c r="IG171" s="263"/>
      <c r="IH171" s="263"/>
      <c r="II171" s="263"/>
      <c r="IJ171" s="263"/>
      <c r="IK171" s="263"/>
      <c r="IL171" s="263"/>
      <c r="IM171" s="263"/>
      <c r="IN171" s="263"/>
      <c r="IO171" s="263"/>
      <c r="IP171" s="263"/>
      <c r="IQ171" s="263"/>
      <c r="IR171" s="263"/>
      <c r="IS171" s="263"/>
      <c r="IT171" s="263"/>
      <c r="IU171" s="263"/>
    </row>
    <row r="172" spans="1:255" ht="15.6">
      <c r="A172" s="263"/>
      <c r="B172" s="263"/>
      <c r="C172" s="263"/>
      <c r="D172" s="263"/>
      <c r="E172" s="263"/>
      <c r="F172" s="263"/>
      <c r="G172" s="263"/>
      <c r="H172" s="263"/>
      <c r="I172" s="263"/>
      <c r="J172" s="263"/>
      <c r="K172" s="263"/>
      <c r="L172" s="263"/>
      <c r="M172" s="263"/>
      <c r="N172" s="263"/>
      <c r="O172" s="263"/>
      <c r="P172" s="263"/>
      <c r="Q172" s="263"/>
      <c r="R172" s="263"/>
      <c r="S172" s="263"/>
      <c r="T172" s="263"/>
      <c r="U172" s="263"/>
      <c r="V172" s="263"/>
      <c r="W172" s="263"/>
      <c r="X172" s="263"/>
      <c r="Y172" s="263"/>
      <c r="Z172" s="263"/>
      <c r="AA172" s="263"/>
      <c r="AB172" s="263"/>
      <c r="AC172" s="263"/>
      <c r="AD172" s="263"/>
      <c r="AE172" s="263"/>
      <c r="AF172" s="263"/>
      <c r="AG172" s="263"/>
      <c r="AH172" s="263"/>
      <c r="AI172" s="263"/>
      <c r="AJ172" s="263"/>
      <c r="AK172" s="263"/>
      <c r="AL172" s="263"/>
      <c r="AM172" s="263"/>
      <c r="AN172" s="263"/>
      <c r="AO172" s="263"/>
      <c r="AP172" s="263"/>
      <c r="AQ172" s="263"/>
      <c r="AR172" s="263"/>
      <c r="AS172" s="263"/>
      <c r="AT172" s="263"/>
      <c r="AU172" s="263"/>
      <c r="AV172" s="263"/>
      <c r="AW172" s="263"/>
      <c r="AX172" s="263"/>
      <c r="AY172" s="263"/>
      <c r="AZ172" s="263"/>
      <c r="BA172" s="263"/>
      <c r="BB172" s="263"/>
      <c r="BC172" s="263"/>
      <c r="BD172" s="263"/>
      <c r="BE172" s="263"/>
      <c r="BF172" s="263"/>
      <c r="BG172" s="263"/>
      <c r="BH172" s="263"/>
      <c r="BI172" s="263"/>
      <c r="BJ172" s="263"/>
      <c r="BK172" s="263"/>
      <c r="BL172" s="263"/>
      <c r="BM172" s="263"/>
      <c r="BN172" s="263"/>
      <c r="BO172" s="263"/>
      <c r="BP172" s="263"/>
      <c r="BQ172" s="263"/>
      <c r="BR172" s="263"/>
      <c r="BS172" s="263"/>
      <c r="BT172" s="263"/>
      <c r="BU172" s="263"/>
      <c r="BV172" s="263"/>
      <c r="BW172" s="263"/>
      <c r="BX172" s="263"/>
      <c r="BY172" s="263"/>
      <c r="BZ172" s="263"/>
      <c r="CA172" s="263"/>
      <c r="CB172" s="263"/>
      <c r="CC172" s="263"/>
      <c r="CD172" s="263"/>
      <c r="CE172" s="263"/>
      <c r="CF172" s="263"/>
      <c r="CG172" s="263"/>
      <c r="CH172" s="263"/>
      <c r="CI172" s="263"/>
      <c r="CJ172" s="263"/>
      <c r="CK172" s="263"/>
      <c r="CL172" s="263"/>
      <c r="CM172" s="263"/>
      <c r="CN172" s="263"/>
      <c r="CO172" s="263"/>
      <c r="CP172" s="263"/>
      <c r="CQ172" s="263"/>
      <c r="CR172" s="263"/>
      <c r="CS172" s="263"/>
      <c r="CT172" s="263"/>
      <c r="CU172" s="263"/>
      <c r="CV172" s="263"/>
      <c r="CW172" s="263"/>
      <c r="CX172" s="263"/>
      <c r="CY172" s="263"/>
      <c r="CZ172" s="263"/>
      <c r="DA172" s="263"/>
      <c r="DB172" s="263"/>
      <c r="DC172" s="263"/>
      <c r="DD172" s="263"/>
      <c r="DE172" s="263"/>
      <c r="DF172" s="263"/>
      <c r="DG172" s="263"/>
      <c r="DH172" s="263"/>
      <c r="DI172" s="263"/>
      <c r="DJ172" s="263"/>
      <c r="DK172" s="263"/>
      <c r="DL172" s="263"/>
      <c r="DM172" s="263"/>
      <c r="DN172" s="263"/>
      <c r="DO172" s="263"/>
      <c r="DP172" s="263"/>
      <c r="DQ172" s="263"/>
      <c r="DR172" s="263"/>
      <c r="DS172" s="263"/>
      <c r="DT172" s="263"/>
      <c r="DU172" s="263"/>
      <c r="DV172" s="263"/>
      <c r="DW172" s="263"/>
      <c r="DX172" s="263"/>
      <c r="DY172" s="263"/>
      <c r="DZ172" s="263"/>
      <c r="EA172" s="263"/>
      <c r="EB172" s="263"/>
      <c r="EC172" s="263"/>
      <c r="ED172" s="263"/>
      <c r="EE172" s="263"/>
      <c r="EF172" s="263"/>
      <c r="EG172" s="263"/>
      <c r="EH172" s="263"/>
      <c r="EI172" s="263"/>
      <c r="EJ172" s="263"/>
      <c r="EK172" s="263"/>
      <c r="EL172" s="263"/>
      <c r="EM172" s="263"/>
      <c r="EN172" s="263"/>
      <c r="EO172" s="263"/>
      <c r="EP172" s="263"/>
      <c r="EQ172" s="263"/>
      <c r="ER172" s="263"/>
      <c r="ES172" s="263"/>
      <c r="ET172" s="263"/>
      <c r="EU172" s="263"/>
      <c r="EV172" s="263"/>
      <c r="EW172" s="263"/>
      <c r="EX172" s="263"/>
      <c r="EY172" s="263"/>
      <c r="EZ172" s="263"/>
      <c r="FA172" s="263"/>
      <c r="FB172" s="263"/>
      <c r="FC172" s="263"/>
      <c r="FD172" s="263"/>
      <c r="FE172" s="263"/>
      <c r="FF172" s="263"/>
      <c r="FG172" s="263"/>
      <c r="FH172" s="263"/>
      <c r="FI172" s="263"/>
      <c r="FJ172" s="263"/>
      <c r="FK172" s="263"/>
      <c r="FL172" s="263"/>
      <c r="FM172" s="263"/>
      <c r="FN172" s="263"/>
      <c r="FO172" s="263"/>
      <c r="FP172" s="263"/>
      <c r="FQ172" s="263"/>
      <c r="FR172" s="263"/>
      <c r="FS172" s="263"/>
      <c r="FT172" s="263"/>
      <c r="FU172" s="263"/>
      <c r="FV172" s="263"/>
      <c r="FW172" s="263"/>
      <c r="FX172" s="263"/>
      <c r="FY172" s="263"/>
      <c r="FZ172" s="263"/>
      <c r="GA172" s="263"/>
      <c r="GB172" s="263"/>
      <c r="GC172" s="263"/>
      <c r="GD172" s="263"/>
      <c r="GE172" s="263"/>
      <c r="GF172" s="263"/>
      <c r="GG172" s="263"/>
      <c r="GH172" s="263"/>
      <c r="GI172" s="263"/>
      <c r="GJ172" s="263"/>
      <c r="GK172" s="263"/>
      <c r="GL172" s="263"/>
      <c r="GM172" s="263"/>
      <c r="GN172" s="263"/>
      <c r="GO172" s="263"/>
      <c r="GP172" s="263"/>
      <c r="GQ172" s="263"/>
      <c r="GR172" s="263"/>
      <c r="GS172" s="263"/>
      <c r="GT172" s="263"/>
      <c r="GU172" s="263"/>
      <c r="GV172" s="263"/>
      <c r="GW172" s="263"/>
      <c r="GX172" s="263"/>
      <c r="GY172" s="263"/>
      <c r="GZ172" s="263"/>
      <c r="HA172" s="263"/>
      <c r="HB172" s="263"/>
      <c r="HC172" s="263"/>
      <c r="HD172" s="263"/>
      <c r="HE172" s="263"/>
      <c r="HF172" s="263"/>
      <c r="HG172" s="263"/>
      <c r="HH172" s="263"/>
      <c r="HI172" s="263"/>
      <c r="HJ172" s="263"/>
      <c r="HK172" s="263"/>
      <c r="HL172" s="263"/>
      <c r="HM172" s="263"/>
      <c r="HN172" s="263"/>
      <c r="HO172" s="263"/>
      <c r="HP172" s="263"/>
      <c r="HQ172" s="263"/>
      <c r="HR172" s="263"/>
      <c r="HS172" s="263"/>
      <c r="HT172" s="263"/>
      <c r="HU172" s="263"/>
      <c r="HV172" s="263"/>
      <c r="HW172" s="263"/>
      <c r="HX172" s="263"/>
      <c r="HY172" s="263"/>
      <c r="HZ172" s="263"/>
      <c r="IA172" s="263"/>
      <c r="IB172" s="263"/>
      <c r="IC172" s="263"/>
      <c r="ID172" s="263"/>
      <c r="IE172" s="263"/>
      <c r="IF172" s="263"/>
      <c r="IG172" s="263"/>
      <c r="IH172" s="263"/>
      <c r="II172" s="263"/>
      <c r="IJ172" s="263"/>
      <c r="IK172" s="263"/>
      <c r="IL172" s="263"/>
      <c r="IM172" s="263"/>
      <c r="IN172" s="263"/>
      <c r="IO172" s="263"/>
      <c r="IP172" s="263"/>
      <c r="IQ172" s="263"/>
      <c r="IR172" s="263"/>
      <c r="IS172" s="263"/>
      <c r="IT172" s="263"/>
      <c r="IU172" s="263"/>
    </row>
    <row r="173" spans="1:255" ht="15.6">
      <c r="A173" s="263"/>
      <c r="B173" s="263"/>
      <c r="C173" s="263"/>
      <c r="D173" s="263"/>
      <c r="E173" s="263"/>
      <c r="F173" s="263"/>
      <c r="G173" s="263"/>
      <c r="H173" s="263"/>
      <c r="I173" s="263"/>
      <c r="J173" s="263"/>
      <c r="K173" s="263"/>
      <c r="L173" s="263"/>
      <c r="M173" s="263"/>
      <c r="N173" s="263"/>
      <c r="O173" s="263"/>
      <c r="P173" s="263"/>
      <c r="Q173" s="263"/>
      <c r="R173" s="263"/>
      <c r="S173" s="263"/>
      <c r="T173" s="263"/>
      <c r="U173" s="263"/>
      <c r="V173" s="263"/>
      <c r="W173" s="263"/>
      <c r="X173" s="263"/>
      <c r="Y173" s="263"/>
      <c r="Z173" s="263"/>
      <c r="AA173" s="263"/>
      <c r="AB173" s="263"/>
      <c r="AC173" s="263"/>
      <c r="AD173" s="263"/>
      <c r="AE173" s="263"/>
      <c r="AF173" s="263"/>
      <c r="AG173" s="263"/>
      <c r="AH173" s="263"/>
      <c r="AI173" s="263"/>
      <c r="AJ173" s="263"/>
      <c r="AK173" s="263"/>
      <c r="AL173" s="263"/>
      <c r="AM173" s="263"/>
      <c r="AN173" s="263"/>
      <c r="AO173" s="263"/>
      <c r="AP173" s="263"/>
      <c r="AQ173" s="263"/>
      <c r="AR173" s="263"/>
      <c r="AS173" s="263"/>
      <c r="AT173" s="263"/>
      <c r="AU173" s="263"/>
      <c r="AV173" s="263"/>
      <c r="AW173" s="263"/>
      <c r="AX173" s="263"/>
      <c r="AY173" s="263"/>
      <c r="AZ173" s="263"/>
      <c r="BA173" s="263"/>
      <c r="BB173" s="263"/>
      <c r="BC173" s="263"/>
      <c r="BD173" s="263"/>
      <c r="BE173" s="263"/>
      <c r="BF173" s="263"/>
      <c r="BG173" s="263"/>
      <c r="BH173" s="263"/>
      <c r="BI173" s="263"/>
      <c r="BJ173" s="263"/>
      <c r="BK173" s="263"/>
      <c r="BL173" s="263"/>
      <c r="BM173" s="263"/>
      <c r="BN173" s="263"/>
      <c r="BO173" s="263"/>
      <c r="BP173" s="263"/>
      <c r="BQ173" s="263"/>
      <c r="BR173" s="263"/>
      <c r="BS173" s="263"/>
      <c r="BT173" s="263"/>
      <c r="BU173" s="263"/>
      <c r="BV173" s="263"/>
      <c r="BW173" s="263"/>
      <c r="BX173" s="263"/>
      <c r="BY173" s="263"/>
      <c r="BZ173" s="263"/>
      <c r="CA173" s="263"/>
      <c r="CB173" s="263"/>
      <c r="CC173" s="263"/>
      <c r="CD173" s="263"/>
      <c r="CE173" s="263"/>
      <c r="CF173" s="263"/>
      <c r="CG173" s="263"/>
      <c r="CH173" s="263"/>
      <c r="CI173" s="263"/>
      <c r="CJ173" s="263"/>
      <c r="CK173" s="263"/>
      <c r="CL173" s="263"/>
      <c r="CM173" s="263"/>
      <c r="CN173" s="263"/>
      <c r="CO173" s="263"/>
      <c r="CP173" s="263"/>
      <c r="CQ173" s="263"/>
      <c r="CR173" s="263"/>
      <c r="CS173" s="263"/>
      <c r="CT173" s="263"/>
      <c r="CU173" s="263"/>
      <c r="CV173" s="263"/>
      <c r="CW173" s="263"/>
      <c r="CX173" s="263"/>
      <c r="CY173" s="263"/>
      <c r="CZ173" s="263"/>
      <c r="DA173" s="263"/>
      <c r="DB173" s="263"/>
      <c r="DC173" s="263"/>
      <c r="DD173" s="263"/>
      <c r="DE173" s="263"/>
      <c r="DF173" s="263"/>
      <c r="DG173" s="263"/>
      <c r="DH173" s="263"/>
      <c r="DI173" s="263"/>
      <c r="DJ173" s="263"/>
      <c r="DK173" s="263"/>
      <c r="DL173" s="263"/>
      <c r="DM173" s="263"/>
      <c r="DN173" s="263"/>
      <c r="DO173" s="263"/>
      <c r="DP173" s="263"/>
      <c r="DQ173" s="263"/>
      <c r="DR173" s="263"/>
      <c r="DS173" s="263"/>
      <c r="DT173" s="263"/>
      <c r="DU173" s="263"/>
      <c r="DV173" s="263"/>
      <c r="DW173" s="263"/>
      <c r="DX173" s="263"/>
      <c r="DY173" s="263"/>
      <c r="DZ173" s="263"/>
      <c r="EA173" s="263"/>
      <c r="EB173" s="263"/>
      <c r="EC173" s="263"/>
      <c r="ED173" s="263"/>
      <c r="EE173" s="263"/>
      <c r="EF173" s="263"/>
      <c r="EG173" s="263"/>
      <c r="EH173" s="263"/>
      <c r="EI173" s="263"/>
      <c r="EJ173" s="263"/>
      <c r="EK173" s="263"/>
      <c r="EL173" s="263"/>
      <c r="EM173" s="263"/>
      <c r="EN173" s="263"/>
      <c r="EO173" s="263"/>
      <c r="EP173" s="263"/>
      <c r="EQ173" s="263"/>
      <c r="ER173" s="263"/>
      <c r="ES173" s="263"/>
      <c r="ET173" s="263"/>
      <c r="EU173" s="263"/>
      <c r="EV173" s="263"/>
      <c r="EW173" s="263"/>
      <c r="EX173" s="263"/>
      <c r="EY173" s="263"/>
      <c r="EZ173" s="263"/>
      <c r="FA173" s="263"/>
      <c r="FB173" s="263"/>
      <c r="FC173" s="263"/>
      <c r="FD173" s="263"/>
      <c r="FE173" s="263"/>
      <c r="FF173" s="263"/>
      <c r="FG173" s="263"/>
      <c r="FH173" s="263"/>
      <c r="FI173" s="263"/>
      <c r="FJ173" s="263"/>
      <c r="FK173" s="263"/>
      <c r="FL173" s="263"/>
      <c r="FM173" s="263"/>
      <c r="FN173" s="263"/>
      <c r="FO173" s="263"/>
      <c r="FP173" s="263"/>
      <c r="FQ173" s="263"/>
      <c r="FR173" s="263"/>
      <c r="FS173" s="263"/>
      <c r="FT173" s="263"/>
      <c r="FU173" s="263"/>
      <c r="FV173" s="263"/>
      <c r="FW173" s="263"/>
      <c r="FX173" s="263"/>
      <c r="FY173" s="263"/>
      <c r="FZ173" s="263"/>
      <c r="GA173" s="263"/>
      <c r="GB173" s="263"/>
      <c r="GC173" s="263"/>
      <c r="GD173" s="263"/>
      <c r="GE173" s="263"/>
      <c r="GF173" s="263"/>
      <c r="GG173" s="263"/>
      <c r="GH173" s="263"/>
      <c r="GI173" s="263"/>
      <c r="GJ173" s="263"/>
      <c r="GK173" s="263"/>
      <c r="GL173" s="263"/>
      <c r="GM173" s="263"/>
      <c r="GN173" s="263"/>
      <c r="GO173" s="263"/>
      <c r="GP173" s="263"/>
      <c r="GQ173" s="263"/>
      <c r="GR173" s="263"/>
      <c r="GS173" s="263"/>
      <c r="GT173" s="263"/>
      <c r="GU173" s="263"/>
      <c r="GV173" s="263"/>
      <c r="GW173" s="263"/>
      <c r="GX173" s="263"/>
      <c r="GY173" s="263"/>
      <c r="GZ173" s="263"/>
      <c r="HA173" s="263"/>
      <c r="HB173" s="263"/>
      <c r="HC173" s="263"/>
      <c r="HD173" s="263"/>
      <c r="HE173" s="263"/>
      <c r="HF173" s="263"/>
      <c r="HG173" s="263"/>
      <c r="HH173" s="263"/>
      <c r="HI173" s="263"/>
      <c r="HJ173" s="263"/>
      <c r="HK173" s="263"/>
      <c r="HL173" s="263"/>
      <c r="HM173" s="263"/>
      <c r="HN173" s="263"/>
      <c r="HO173" s="263"/>
      <c r="HP173" s="263"/>
      <c r="HQ173" s="263"/>
      <c r="HR173" s="263"/>
      <c r="HS173" s="263"/>
      <c r="HT173" s="263"/>
      <c r="HU173" s="263"/>
      <c r="HV173" s="263"/>
      <c r="HW173" s="263"/>
      <c r="HX173" s="263"/>
      <c r="HY173" s="263"/>
      <c r="HZ173" s="263"/>
      <c r="IA173" s="263"/>
      <c r="IB173" s="263"/>
      <c r="IC173" s="263"/>
      <c r="ID173" s="263"/>
      <c r="IE173" s="263"/>
      <c r="IF173" s="263"/>
      <c r="IG173" s="263"/>
      <c r="IH173" s="263"/>
      <c r="II173" s="263"/>
      <c r="IJ173" s="263"/>
      <c r="IK173" s="263"/>
      <c r="IL173" s="263"/>
      <c r="IM173" s="263"/>
      <c r="IN173" s="263"/>
      <c r="IO173" s="263"/>
      <c r="IP173" s="263"/>
      <c r="IQ173" s="263"/>
      <c r="IR173" s="263"/>
      <c r="IS173" s="263"/>
      <c r="IT173" s="263"/>
      <c r="IU173" s="263"/>
    </row>
    <row r="174" spans="1:255" ht="15.6">
      <c r="A174" s="263"/>
      <c r="B174" s="263"/>
      <c r="C174" s="263"/>
      <c r="D174" s="263"/>
      <c r="E174" s="263"/>
      <c r="F174" s="263"/>
      <c r="G174" s="263"/>
      <c r="H174" s="263"/>
      <c r="I174" s="263"/>
      <c r="J174" s="263"/>
      <c r="K174" s="263"/>
      <c r="L174" s="263"/>
      <c r="M174" s="263"/>
      <c r="N174" s="263"/>
      <c r="O174" s="263"/>
      <c r="P174" s="263"/>
      <c r="Q174" s="263"/>
      <c r="R174" s="263"/>
      <c r="S174" s="263"/>
      <c r="T174" s="263"/>
      <c r="U174" s="263"/>
      <c r="V174" s="263"/>
      <c r="W174" s="263"/>
      <c r="X174" s="263"/>
      <c r="Y174" s="263"/>
      <c r="Z174" s="263"/>
      <c r="AA174" s="263"/>
      <c r="AB174" s="263"/>
      <c r="AC174" s="263"/>
      <c r="AD174" s="263"/>
      <c r="AE174" s="263"/>
      <c r="AF174" s="263"/>
      <c r="AG174" s="263"/>
      <c r="AH174" s="263"/>
      <c r="AI174" s="263"/>
      <c r="AJ174" s="263"/>
      <c r="AK174" s="263"/>
      <c r="AL174" s="263"/>
      <c r="AM174" s="263"/>
      <c r="AN174" s="263"/>
      <c r="AO174" s="263"/>
      <c r="AP174" s="263"/>
      <c r="AQ174" s="263"/>
      <c r="AR174" s="263"/>
      <c r="AS174" s="263"/>
      <c r="AT174" s="263"/>
      <c r="AU174" s="263"/>
      <c r="AV174" s="263"/>
      <c r="AW174" s="263"/>
      <c r="AX174" s="263"/>
      <c r="AY174" s="263"/>
      <c r="AZ174" s="263"/>
      <c r="BA174" s="263"/>
      <c r="BB174" s="263"/>
      <c r="BC174" s="263"/>
      <c r="BD174" s="263"/>
      <c r="BE174" s="263"/>
      <c r="BF174" s="263"/>
      <c r="BG174" s="263"/>
      <c r="BH174" s="263"/>
      <c r="BI174" s="263"/>
      <c r="BJ174" s="263"/>
      <c r="BK174" s="263"/>
      <c r="BL174" s="263"/>
      <c r="BM174" s="263"/>
      <c r="BN174" s="263"/>
      <c r="BO174" s="263"/>
      <c r="BP174" s="263"/>
      <c r="BQ174" s="263"/>
      <c r="BR174" s="263"/>
      <c r="BS174" s="263"/>
      <c r="BT174" s="263"/>
      <c r="BU174" s="263"/>
      <c r="BV174" s="263"/>
      <c r="BW174" s="263"/>
      <c r="BX174" s="263"/>
      <c r="BY174" s="263"/>
      <c r="BZ174" s="263"/>
      <c r="CA174" s="263"/>
      <c r="CB174" s="263"/>
      <c r="CC174" s="263"/>
      <c r="CD174" s="263"/>
      <c r="CE174" s="263"/>
      <c r="CF174" s="263"/>
      <c r="CG174" s="263"/>
      <c r="CH174" s="263"/>
      <c r="CI174" s="263"/>
      <c r="CJ174" s="263"/>
      <c r="CK174" s="263"/>
      <c r="CL174" s="263"/>
      <c r="CM174" s="263"/>
      <c r="CN174" s="263"/>
      <c r="CO174" s="263"/>
      <c r="CP174" s="263"/>
      <c r="CQ174" s="263"/>
      <c r="CR174" s="263"/>
      <c r="CS174" s="263"/>
      <c r="CT174" s="263"/>
      <c r="CU174" s="263"/>
      <c r="CV174" s="263"/>
      <c r="CW174" s="263"/>
      <c r="CX174" s="263"/>
      <c r="CY174" s="263"/>
      <c r="CZ174" s="263"/>
      <c r="DA174" s="263"/>
      <c r="DB174" s="263"/>
      <c r="DC174" s="263"/>
      <c r="DD174" s="263"/>
      <c r="DE174" s="263"/>
      <c r="DF174" s="263"/>
      <c r="DG174" s="263"/>
      <c r="DH174" s="263"/>
      <c r="DI174" s="263"/>
      <c r="DJ174" s="263"/>
      <c r="DK174" s="263"/>
      <c r="DL174" s="263"/>
      <c r="DM174" s="263"/>
      <c r="DN174" s="263"/>
      <c r="DO174" s="263"/>
      <c r="DP174" s="263"/>
      <c r="DQ174" s="263"/>
      <c r="DR174" s="263"/>
      <c r="DS174" s="263"/>
      <c r="DT174" s="263"/>
      <c r="DU174" s="263"/>
      <c r="DV174" s="263"/>
      <c r="DW174" s="263"/>
      <c r="DX174" s="263"/>
      <c r="DY174" s="263"/>
      <c r="DZ174" s="263"/>
      <c r="EA174" s="263"/>
      <c r="EB174" s="263"/>
      <c r="EC174" s="263"/>
      <c r="ED174" s="263"/>
      <c r="EE174" s="263"/>
      <c r="EF174" s="263"/>
      <c r="EG174" s="263"/>
      <c r="EH174" s="263"/>
      <c r="EI174" s="263"/>
      <c r="EJ174" s="263"/>
      <c r="EK174" s="263"/>
      <c r="EL174" s="263"/>
      <c r="EM174" s="263"/>
      <c r="EN174" s="263"/>
      <c r="EO174" s="263"/>
      <c r="EP174" s="263"/>
      <c r="EQ174" s="263"/>
      <c r="ER174" s="263"/>
      <c r="ES174" s="263"/>
      <c r="ET174" s="263"/>
      <c r="EU174" s="263"/>
      <c r="EV174" s="263"/>
      <c r="EW174" s="263"/>
      <c r="EX174" s="263"/>
      <c r="EY174" s="263"/>
      <c r="EZ174" s="263"/>
      <c r="FA174" s="263"/>
      <c r="FB174" s="263"/>
      <c r="FC174" s="263"/>
      <c r="FD174" s="263"/>
      <c r="FE174" s="263"/>
      <c r="FF174" s="263"/>
      <c r="FG174" s="263"/>
      <c r="FH174" s="263"/>
      <c r="FI174" s="263"/>
      <c r="FJ174" s="263"/>
      <c r="FK174" s="263"/>
      <c r="FL174" s="263"/>
      <c r="FM174" s="263"/>
      <c r="FN174" s="263"/>
      <c r="FO174" s="263"/>
      <c r="FP174" s="263"/>
      <c r="FQ174" s="263"/>
      <c r="FR174" s="263"/>
      <c r="FS174" s="263"/>
      <c r="FT174" s="263"/>
      <c r="FU174" s="263"/>
      <c r="FV174" s="263"/>
      <c r="FW174" s="263"/>
      <c r="FX174" s="263"/>
      <c r="FY174" s="263"/>
      <c r="FZ174" s="263"/>
      <c r="GA174" s="263"/>
      <c r="GB174" s="263"/>
      <c r="GC174" s="263"/>
      <c r="GD174" s="263"/>
      <c r="GE174" s="263"/>
      <c r="GF174" s="263"/>
      <c r="GG174" s="263"/>
      <c r="GH174" s="263"/>
      <c r="GI174" s="263"/>
      <c r="GJ174" s="263"/>
      <c r="GK174" s="263"/>
      <c r="GL174" s="263"/>
      <c r="GM174" s="263"/>
      <c r="GN174" s="263"/>
      <c r="GO174" s="263"/>
      <c r="GP174" s="263"/>
      <c r="GQ174" s="263"/>
      <c r="GR174" s="263"/>
      <c r="GS174" s="263"/>
      <c r="GT174" s="263"/>
      <c r="GU174" s="263"/>
      <c r="GV174" s="263"/>
      <c r="GW174" s="263"/>
      <c r="GX174" s="263"/>
      <c r="GY174" s="263"/>
      <c r="GZ174" s="263"/>
      <c r="HA174" s="263"/>
      <c r="HB174" s="263"/>
      <c r="HC174" s="263"/>
      <c r="HD174" s="263"/>
      <c r="HE174" s="263"/>
      <c r="HF174" s="263"/>
      <c r="HG174" s="263"/>
      <c r="HH174" s="263"/>
      <c r="HI174" s="263"/>
      <c r="HJ174" s="263"/>
      <c r="HK174" s="263"/>
      <c r="HL174" s="263"/>
      <c r="HM174" s="263"/>
      <c r="HN174" s="263"/>
      <c r="HO174" s="263"/>
      <c r="HP174" s="263"/>
      <c r="HQ174" s="263"/>
      <c r="HR174" s="263"/>
      <c r="HS174" s="263"/>
      <c r="HT174" s="263"/>
      <c r="HU174" s="263"/>
      <c r="HV174" s="263"/>
      <c r="HW174" s="263"/>
      <c r="HX174" s="263"/>
      <c r="HY174" s="263"/>
      <c r="HZ174" s="263"/>
      <c r="IA174" s="263"/>
      <c r="IB174" s="263"/>
      <c r="IC174" s="263"/>
      <c r="ID174" s="263"/>
      <c r="IE174" s="263"/>
      <c r="IF174" s="263"/>
      <c r="IG174" s="263"/>
      <c r="IH174" s="263"/>
      <c r="II174" s="263"/>
      <c r="IJ174" s="263"/>
      <c r="IK174" s="263"/>
      <c r="IL174" s="263"/>
      <c r="IM174" s="263"/>
      <c r="IN174" s="263"/>
      <c r="IO174" s="263"/>
      <c r="IP174" s="263"/>
      <c r="IQ174" s="263"/>
      <c r="IR174" s="263"/>
      <c r="IS174" s="263"/>
      <c r="IT174" s="263"/>
      <c r="IU174" s="263"/>
    </row>
    <row r="175" spans="1:255" ht="15.6">
      <c r="A175" s="263"/>
      <c r="B175" s="263"/>
      <c r="C175" s="263"/>
      <c r="D175" s="263"/>
      <c r="E175" s="263"/>
      <c r="F175" s="263"/>
      <c r="G175" s="263"/>
      <c r="H175" s="263"/>
      <c r="I175" s="263"/>
      <c r="J175" s="263"/>
      <c r="K175" s="263"/>
      <c r="L175" s="263"/>
      <c r="M175" s="263"/>
      <c r="N175" s="263"/>
      <c r="O175" s="263"/>
      <c r="P175" s="263"/>
      <c r="Q175" s="263"/>
      <c r="R175" s="263"/>
      <c r="S175" s="263"/>
      <c r="T175" s="263"/>
      <c r="U175" s="263"/>
      <c r="V175" s="263"/>
      <c r="W175" s="263"/>
      <c r="X175" s="263"/>
      <c r="Y175" s="263"/>
      <c r="Z175" s="263"/>
      <c r="AA175" s="263"/>
      <c r="AB175" s="263"/>
      <c r="AC175" s="263"/>
      <c r="AD175" s="263"/>
      <c r="AE175" s="263"/>
      <c r="AF175" s="263"/>
      <c r="AG175" s="263"/>
      <c r="AH175" s="263"/>
      <c r="AI175" s="263"/>
      <c r="AJ175" s="263"/>
      <c r="AK175" s="263"/>
      <c r="AL175" s="263"/>
      <c r="AM175" s="263"/>
      <c r="AN175" s="263"/>
      <c r="AO175" s="263"/>
      <c r="AP175" s="263"/>
      <c r="AQ175" s="263"/>
      <c r="AR175" s="263"/>
      <c r="AS175" s="263"/>
      <c r="AT175" s="263"/>
      <c r="AU175" s="263"/>
      <c r="AV175" s="263"/>
      <c r="AW175" s="263"/>
      <c r="AX175" s="263"/>
      <c r="AY175" s="263"/>
      <c r="AZ175" s="263"/>
      <c r="BA175" s="263"/>
      <c r="BB175" s="263"/>
      <c r="BC175" s="263"/>
      <c r="BD175" s="263"/>
      <c r="BE175" s="263"/>
      <c r="BF175" s="263"/>
      <c r="BG175" s="263"/>
      <c r="BH175" s="263"/>
      <c r="BI175" s="263"/>
      <c r="BJ175" s="263"/>
      <c r="BK175" s="263"/>
      <c r="BL175" s="263"/>
      <c r="BM175" s="263"/>
      <c r="BN175" s="263"/>
      <c r="BO175" s="263"/>
      <c r="BP175" s="263"/>
      <c r="BQ175" s="263"/>
      <c r="BR175" s="263"/>
      <c r="BS175" s="263"/>
      <c r="BT175" s="263"/>
      <c r="BU175" s="263"/>
      <c r="BV175" s="263"/>
      <c r="BW175" s="263"/>
      <c r="BX175" s="263"/>
      <c r="BY175" s="263"/>
      <c r="BZ175" s="263"/>
      <c r="CA175" s="263"/>
      <c r="CB175" s="263"/>
      <c r="CC175" s="263"/>
      <c r="CD175" s="263"/>
      <c r="CE175" s="263"/>
      <c r="CF175" s="263"/>
      <c r="CG175" s="263"/>
      <c r="CH175" s="263"/>
      <c r="CI175" s="263"/>
      <c r="CJ175" s="263"/>
      <c r="CK175" s="263"/>
      <c r="CL175" s="263"/>
      <c r="CM175" s="263"/>
      <c r="CN175" s="263"/>
      <c r="CO175" s="263"/>
      <c r="CP175" s="263"/>
      <c r="CQ175" s="263"/>
      <c r="CR175" s="263"/>
      <c r="CS175" s="263"/>
      <c r="CT175" s="263"/>
      <c r="CU175" s="263"/>
      <c r="CV175" s="263"/>
      <c r="CW175" s="263"/>
      <c r="CX175" s="263"/>
      <c r="CY175" s="263"/>
      <c r="CZ175" s="263"/>
      <c r="DA175" s="263"/>
      <c r="DB175" s="263"/>
      <c r="DC175" s="263"/>
      <c r="DD175" s="263"/>
      <c r="DE175" s="263"/>
      <c r="DF175" s="263"/>
      <c r="DG175" s="263"/>
      <c r="DH175" s="263"/>
      <c r="DI175" s="263"/>
      <c r="DJ175" s="263"/>
      <c r="DK175" s="263"/>
      <c r="DL175" s="263"/>
      <c r="DM175" s="263"/>
      <c r="DN175" s="263"/>
      <c r="DO175" s="263"/>
      <c r="DP175" s="263"/>
      <c r="DQ175" s="263"/>
      <c r="DR175" s="263"/>
      <c r="DS175" s="263"/>
      <c r="DT175" s="263"/>
      <c r="DU175" s="263"/>
      <c r="DV175" s="263"/>
      <c r="DW175" s="263"/>
      <c r="DX175" s="263"/>
      <c r="DY175" s="263"/>
      <c r="DZ175" s="263"/>
      <c r="EA175" s="263"/>
      <c r="EB175" s="263"/>
      <c r="EC175" s="263"/>
      <c r="ED175" s="263"/>
      <c r="EE175" s="263"/>
      <c r="EF175" s="263"/>
      <c r="EG175" s="263"/>
      <c r="EH175" s="263"/>
      <c r="EI175" s="263"/>
      <c r="EJ175" s="263"/>
      <c r="EK175" s="263"/>
      <c r="EL175" s="263"/>
      <c r="EM175" s="263"/>
      <c r="EN175" s="263"/>
      <c r="EO175" s="263"/>
      <c r="EP175" s="263"/>
      <c r="EQ175" s="263"/>
      <c r="ER175" s="263"/>
      <c r="ES175" s="263"/>
      <c r="ET175" s="263"/>
      <c r="EU175" s="263"/>
      <c r="EV175" s="263"/>
      <c r="EW175" s="263"/>
      <c r="EX175" s="263"/>
      <c r="EY175" s="263"/>
      <c r="EZ175" s="263"/>
      <c r="FA175" s="263"/>
      <c r="FB175" s="263"/>
      <c r="FC175" s="263"/>
      <c r="FD175" s="263"/>
      <c r="FE175" s="263"/>
      <c r="FF175" s="263"/>
      <c r="FG175" s="263"/>
      <c r="FH175" s="263"/>
      <c r="FI175" s="263"/>
      <c r="FJ175" s="263"/>
      <c r="FK175" s="263"/>
      <c r="FL175" s="263"/>
      <c r="FM175" s="263"/>
      <c r="FN175" s="263"/>
      <c r="FO175" s="263"/>
      <c r="FP175" s="263"/>
      <c r="FQ175" s="263"/>
      <c r="FR175" s="263"/>
      <c r="FS175" s="263"/>
      <c r="FT175" s="263"/>
      <c r="FU175" s="263"/>
      <c r="FV175" s="263"/>
      <c r="FW175" s="263"/>
      <c r="FX175" s="263"/>
      <c r="FY175" s="263"/>
      <c r="FZ175" s="263"/>
      <c r="GA175" s="263"/>
      <c r="GB175" s="263"/>
      <c r="GC175" s="263"/>
      <c r="GD175" s="263"/>
      <c r="GE175" s="263"/>
      <c r="GF175" s="263"/>
      <c r="GG175" s="263"/>
      <c r="GH175" s="263"/>
      <c r="GI175" s="263"/>
      <c r="GJ175" s="263"/>
      <c r="GK175" s="263"/>
      <c r="GL175" s="263"/>
      <c r="GM175" s="263"/>
      <c r="GN175" s="263"/>
      <c r="GO175" s="263"/>
      <c r="GP175" s="263"/>
      <c r="GQ175" s="263"/>
      <c r="GR175" s="263"/>
      <c r="GS175" s="263"/>
      <c r="GT175" s="263"/>
      <c r="GU175" s="263"/>
      <c r="GV175" s="263"/>
      <c r="GW175" s="263"/>
      <c r="GX175" s="263"/>
      <c r="GY175" s="263"/>
      <c r="GZ175" s="263"/>
      <c r="HA175" s="263"/>
      <c r="HB175" s="263"/>
      <c r="HC175" s="263"/>
      <c r="HD175" s="263"/>
      <c r="HE175" s="263"/>
      <c r="HF175" s="263"/>
      <c r="HG175" s="263"/>
      <c r="HH175" s="263"/>
      <c r="HI175" s="263"/>
      <c r="HJ175" s="263"/>
      <c r="HK175" s="263"/>
      <c r="HL175" s="263"/>
      <c r="HM175" s="263"/>
      <c r="HN175" s="263"/>
      <c r="HO175" s="263"/>
      <c r="HP175" s="263"/>
      <c r="HQ175" s="263"/>
      <c r="HR175" s="263"/>
      <c r="HS175" s="263"/>
      <c r="HT175" s="263"/>
      <c r="HU175" s="263"/>
      <c r="HV175" s="263"/>
      <c r="HW175" s="263"/>
      <c r="HX175" s="263"/>
      <c r="HY175" s="263"/>
      <c r="HZ175" s="263"/>
      <c r="IA175" s="263"/>
      <c r="IB175" s="263"/>
      <c r="IC175" s="263"/>
      <c r="ID175" s="263"/>
      <c r="IE175" s="263"/>
      <c r="IF175" s="263"/>
      <c r="IG175" s="263"/>
      <c r="IH175" s="263"/>
      <c r="II175" s="263"/>
      <c r="IJ175" s="263"/>
      <c r="IK175" s="263"/>
      <c r="IL175" s="263"/>
      <c r="IM175" s="263"/>
      <c r="IN175" s="263"/>
      <c r="IO175" s="263"/>
      <c r="IP175" s="263"/>
      <c r="IQ175" s="263"/>
      <c r="IR175" s="263"/>
      <c r="IS175" s="263"/>
      <c r="IT175" s="263"/>
      <c r="IU175" s="263"/>
    </row>
    <row r="176" spans="1:255" ht="15.6">
      <c r="A176" s="263"/>
      <c r="B176" s="263"/>
      <c r="C176" s="263"/>
      <c r="D176" s="263"/>
      <c r="E176" s="263"/>
      <c r="F176" s="263"/>
      <c r="G176" s="263"/>
      <c r="H176" s="263"/>
      <c r="I176" s="263"/>
      <c r="J176" s="263"/>
      <c r="K176" s="263"/>
      <c r="L176" s="263"/>
      <c r="M176" s="263"/>
      <c r="N176" s="263"/>
      <c r="O176" s="263"/>
      <c r="P176" s="263"/>
      <c r="Q176" s="263"/>
      <c r="R176" s="263"/>
      <c r="S176" s="263"/>
      <c r="T176" s="263"/>
      <c r="U176" s="263"/>
      <c r="V176" s="263"/>
      <c r="W176" s="263"/>
      <c r="X176" s="263"/>
      <c r="Y176" s="263"/>
      <c r="Z176" s="263"/>
      <c r="AA176" s="263"/>
      <c r="AB176" s="263"/>
      <c r="AC176" s="263"/>
      <c r="AD176" s="263"/>
      <c r="AE176" s="263"/>
      <c r="AF176" s="263"/>
      <c r="AG176" s="263"/>
      <c r="AH176" s="263"/>
      <c r="AI176" s="263"/>
      <c r="AJ176" s="263"/>
      <c r="AK176" s="263"/>
      <c r="AL176" s="263"/>
      <c r="AM176" s="263"/>
      <c r="AN176" s="263"/>
      <c r="AO176" s="263"/>
      <c r="AP176" s="263"/>
      <c r="AQ176" s="263"/>
      <c r="AR176" s="263"/>
      <c r="AS176" s="263"/>
      <c r="AT176" s="263"/>
      <c r="AU176" s="263"/>
      <c r="AV176" s="263"/>
      <c r="AW176" s="263"/>
      <c r="AX176" s="263"/>
      <c r="AY176" s="263"/>
      <c r="AZ176" s="263"/>
      <c r="BA176" s="263"/>
      <c r="BB176" s="263"/>
      <c r="BC176" s="263"/>
      <c r="BD176" s="263"/>
      <c r="BE176" s="263"/>
      <c r="BF176" s="263"/>
      <c r="BG176" s="263"/>
      <c r="BH176" s="263"/>
      <c r="BI176" s="263"/>
      <c r="BJ176" s="263"/>
      <c r="BK176" s="263"/>
      <c r="BL176" s="263"/>
      <c r="BM176" s="263"/>
      <c r="BN176" s="263"/>
      <c r="BO176" s="263"/>
      <c r="BP176" s="263"/>
      <c r="BQ176" s="263"/>
      <c r="BR176" s="263"/>
      <c r="BS176" s="263"/>
      <c r="BT176" s="263"/>
      <c r="BU176" s="263"/>
      <c r="BV176" s="263"/>
      <c r="BW176" s="263"/>
      <c r="BX176" s="263"/>
      <c r="BY176" s="263"/>
      <c r="BZ176" s="263"/>
      <c r="CA176" s="263"/>
      <c r="CB176" s="263"/>
      <c r="CC176" s="263"/>
      <c r="CD176" s="263"/>
      <c r="CE176" s="263"/>
      <c r="CF176" s="263"/>
      <c r="CG176" s="263"/>
      <c r="CH176" s="263"/>
      <c r="CI176" s="263"/>
      <c r="CJ176" s="263"/>
      <c r="CK176" s="263"/>
      <c r="CL176" s="263"/>
      <c r="CM176" s="263"/>
      <c r="CN176" s="263"/>
      <c r="CO176" s="263"/>
      <c r="CP176" s="263"/>
      <c r="CQ176" s="263"/>
      <c r="CR176" s="263"/>
      <c r="CS176" s="263"/>
      <c r="CT176" s="263"/>
      <c r="CU176" s="263"/>
      <c r="CV176" s="263"/>
      <c r="CW176" s="263"/>
      <c r="CX176" s="263"/>
      <c r="CY176" s="263"/>
      <c r="CZ176" s="263"/>
      <c r="DA176" s="263"/>
      <c r="DB176" s="263"/>
      <c r="DC176" s="263"/>
      <c r="DD176" s="263"/>
      <c r="DE176" s="263"/>
      <c r="DF176" s="263"/>
      <c r="DG176" s="263"/>
      <c r="DH176" s="263"/>
      <c r="DI176" s="263"/>
      <c r="DJ176" s="263"/>
      <c r="DK176" s="263"/>
      <c r="DL176" s="263"/>
      <c r="DM176" s="263"/>
      <c r="DN176" s="263"/>
      <c r="DO176" s="263"/>
      <c r="DP176" s="263"/>
      <c r="DQ176" s="263"/>
      <c r="DR176" s="263"/>
      <c r="DS176" s="263"/>
      <c r="DT176" s="263"/>
      <c r="DU176" s="263"/>
      <c r="DV176" s="263"/>
      <c r="DW176" s="263"/>
      <c r="DX176" s="263"/>
      <c r="DY176" s="263"/>
      <c r="DZ176" s="263"/>
      <c r="EA176" s="263"/>
      <c r="EB176" s="263"/>
      <c r="EC176" s="263"/>
      <c r="ED176" s="263"/>
      <c r="EE176" s="263"/>
      <c r="EF176" s="263"/>
      <c r="EG176" s="263"/>
      <c r="EH176" s="263"/>
      <c r="EI176" s="263"/>
      <c r="EJ176" s="263"/>
      <c r="EK176" s="263"/>
      <c r="EL176" s="263"/>
      <c r="EM176" s="263"/>
      <c r="EN176" s="263"/>
      <c r="EO176" s="263"/>
      <c r="EP176" s="263"/>
      <c r="EQ176" s="263"/>
      <c r="ER176" s="263"/>
      <c r="ES176" s="263"/>
      <c r="ET176" s="263"/>
      <c r="EU176" s="263"/>
      <c r="EV176" s="263"/>
      <c r="EW176" s="263"/>
      <c r="EX176" s="263"/>
      <c r="EY176" s="263"/>
      <c r="EZ176" s="263"/>
      <c r="FA176" s="263"/>
      <c r="FB176" s="263"/>
      <c r="FC176" s="263"/>
      <c r="FD176" s="263"/>
      <c r="FE176" s="263"/>
      <c r="FF176" s="263"/>
      <c r="FG176" s="263"/>
      <c r="FH176" s="263"/>
      <c r="FI176" s="263"/>
      <c r="FJ176" s="263"/>
      <c r="FK176" s="263"/>
      <c r="FL176" s="263"/>
      <c r="FM176" s="263"/>
      <c r="FN176" s="263"/>
      <c r="FO176" s="263"/>
      <c r="FP176" s="263"/>
      <c r="FQ176" s="263"/>
      <c r="FR176" s="263"/>
      <c r="FS176" s="263"/>
      <c r="FT176" s="263"/>
      <c r="FU176" s="263"/>
      <c r="FV176" s="263"/>
      <c r="FW176" s="263"/>
      <c r="FX176" s="263"/>
      <c r="FY176" s="263"/>
      <c r="FZ176" s="263"/>
      <c r="GA176" s="263"/>
      <c r="GB176" s="263"/>
      <c r="GC176" s="263"/>
      <c r="GD176" s="263"/>
      <c r="GE176" s="263"/>
      <c r="GF176" s="263"/>
      <c r="GG176" s="263"/>
      <c r="GH176" s="263"/>
      <c r="GI176" s="263"/>
      <c r="GJ176" s="263"/>
      <c r="GK176" s="263"/>
      <c r="GL176" s="263"/>
      <c r="GM176" s="263"/>
      <c r="GN176" s="263"/>
      <c r="GO176" s="263"/>
      <c r="GP176" s="263"/>
      <c r="GQ176" s="263"/>
      <c r="GR176" s="263"/>
      <c r="GS176" s="263"/>
      <c r="GT176" s="263"/>
      <c r="GU176" s="263"/>
      <c r="GV176" s="263"/>
      <c r="GW176" s="263"/>
      <c r="GX176" s="263"/>
      <c r="GY176" s="263"/>
      <c r="GZ176" s="263"/>
      <c r="HA176" s="263"/>
      <c r="HB176" s="263"/>
      <c r="HC176" s="263"/>
      <c r="HD176" s="263"/>
      <c r="HE176" s="263"/>
      <c r="HF176" s="263"/>
      <c r="HG176" s="263"/>
      <c r="HH176" s="263"/>
      <c r="HI176" s="263"/>
      <c r="HJ176" s="263"/>
      <c r="HK176" s="263"/>
      <c r="HL176" s="263"/>
      <c r="HM176" s="263"/>
      <c r="HN176" s="263"/>
      <c r="HO176" s="263"/>
      <c r="HP176" s="263"/>
      <c r="HQ176" s="263"/>
      <c r="HR176" s="263"/>
      <c r="HS176" s="263"/>
      <c r="HT176" s="263"/>
      <c r="HU176" s="263"/>
      <c r="HV176" s="263"/>
      <c r="HW176" s="263"/>
      <c r="HX176" s="263"/>
      <c r="HY176" s="263"/>
      <c r="HZ176" s="263"/>
      <c r="IA176" s="263"/>
      <c r="IB176" s="263"/>
      <c r="IC176" s="263"/>
      <c r="ID176" s="263"/>
      <c r="IE176" s="263"/>
      <c r="IF176" s="263"/>
      <c r="IG176" s="263"/>
      <c r="IH176" s="263"/>
      <c r="II176" s="263"/>
      <c r="IJ176" s="263"/>
      <c r="IK176" s="263"/>
      <c r="IL176" s="263"/>
      <c r="IM176" s="263"/>
      <c r="IN176" s="263"/>
      <c r="IO176" s="263"/>
      <c r="IP176" s="263"/>
      <c r="IQ176" s="263"/>
      <c r="IR176" s="263"/>
      <c r="IS176" s="263"/>
      <c r="IT176" s="263"/>
      <c r="IU176" s="263"/>
    </row>
    <row r="177" spans="1:255" ht="15.6">
      <c r="A177" s="263"/>
      <c r="B177" s="263"/>
      <c r="C177" s="263"/>
      <c r="D177" s="263"/>
      <c r="E177" s="263"/>
      <c r="F177" s="263"/>
      <c r="G177" s="263"/>
      <c r="H177" s="263"/>
      <c r="I177" s="263"/>
      <c r="J177" s="263"/>
      <c r="K177" s="263"/>
      <c r="L177" s="263"/>
      <c r="M177" s="263"/>
      <c r="N177" s="263"/>
      <c r="O177" s="263"/>
      <c r="P177" s="263"/>
      <c r="Q177" s="263"/>
      <c r="R177" s="263"/>
      <c r="S177" s="263"/>
      <c r="T177" s="263"/>
      <c r="U177" s="263"/>
      <c r="V177" s="263"/>
      <c r="W177" s="263"/>
      <c r="X177" s="263"/>
      <c r="Y177" s="263"/>
      <c r="Z177" s="263"/>
      <c r="AA177" s="263"/>
      <c r="AB177" s="263"/>
      <c r="AC177" s="263"/>
      <c r="AD177" s="263"/>
      <c r="AE177" s="263"/>
      <c r="AF177" s="263"/>
      <c r="AG177" s="263"/>
      <c r="AH177" s="263"/>
      <c r="AI177" s="263"/>
      <c r="AJ177" s="263"/>
      <c r="AK177" s="263"/>
      <c r="AL177" s="263"/>
      <c r="AM177" s="263"/>
      <c r="AN177" s="263"/>
      <c r="AO177" s="263"/>
      <c r="AP177" s="263"/>
      <c r="AQ177" s="263"/>
      <c r="AR177" s="263"/>
      <c r="AS177" s="263"/>
      <c r="AT177" s="263"/>
      <c r="AU177" s="263"/>
      <c r="AV177" s="263"/>
      <c r="AW177" s="263"/>
      <c r="AX177" s="263"/>
      <c r="AY177" s="263"/>
      <c r="AZ177" s="263"/>
      <c r="BA177" s="263"/>
      <c r="BB177" s="263"/>
      <c r="BC177" s="263"/>
      <c r="BD177" s="263"/>
      <c r="BE177" s="263"/>
      <c r="BF177" s="263"/>
      <c r="BG177" s="263"/>
      <c r="BH177" s="263"/>
      <c r="BI177" s="263"/>
      <c r="BJ177" s="263"/>
      <c r="BK177" s="263"/>
      <c r="BL177" s="263"/>
      <c r="BM177" s="263"/>
      <c r="BN177" s="263"/>
      <c r="BO177" s="263"/>
      <c r="BP177" s="263"/>
      <c r="BQ177" s="263"/>
      <c r="BR177" s="263"/>
      <c r="BS177" s="263"/>
      <c r="BT177" s="263"/>
      <c r="BU177" s="263"/>
      <c r="BV177" s="263"/>
      <c r="BW177" s="263"/>
      <c r="BX177" s="263"/>
      <c r="BY177" s="263"/>
      <c r="BZ177" s="263"/>
      <c r="CA177" s="263"/>
      <c r="CB177" s="263"/>
      <c r="CC177" s="263"/>
      <c r="CD177" s="263"/>
      <c r="CE177" s="263"/>
      <c r="CF177" s="263"/>
      <c r="CG177" s="263"/>
      <c r="CH177" s="263"/>
      <c r="CI177" s="263"/>
      <c r="CJ177" s="263"/>
      <c r="CK177" s="263"/>
      <c r="CL177" s="263"/>
      <c r="CM177" s="263"/>
      <c r="CN177" s="263"/>
      <c r="CO177" s="263"/>
      <c r="CP177" s="263"/>
      <c r="CQ177" s="263"/>
      <c r="CR177" s="263"/>
      <c r="CS177" s="263"/>
      <c r="CT177" s="263"/>
      <c r="CU177" s="263"/>
      <c r="CV177" s="263"/>
      <c r="CW177" s="263"/>
      <c r="CX177" s="263"/>
      <c r="CY177" s="263"/>
      <c r="CZ177" s="263"/>
      <c r="DA177" s="263"/>
      <c r="DB177" s="263"/>
      <c r="DC177" s="263"/>
      <c r="DD177" s="263"/>
      <c r="DE177" s="263"/>
      <c r="DF177" s="263"/>
      <c r="DG177" s="263"/>
      <c r="DH177" s="263"/>
      <c r="DI177" s="263"/>
      <c r="DJ177" s="263"/>
      <c r="DK177" s="263"/>
      <c r="DL177" s="263"/>
      <c r="DM177" s="263"/>
      <c r="DN177" s="263"/>
      <c r="DO177" s="263"/>
      <c r="DP177" s="263"/>
      <c r="DQ177" s="263"/>
      <c r="DR177" s="263"/>
      <c r="DS177" s="263"/>
      <c r="DT177" s="263"/>
      <c r="DU177" s="263"/>
      <c r="DV177" s="263"/>
      <c r="DW177" s="263"/>
      <c r="DX177" s="263"/>
      <c r="DY177" s="263"/>
      <c r="DZ177" s="263"/>
      <c r="EA177" s="263"/>
      <c r="EB177" s="263"/>
      <c r="EC177" s="263"/>
      <c r="ED177" s="263"/>
      <c r="EE177" s="263"/>
      <c r="EF177" s="263"/>
      <c r="EG177" s="263"/>
      <c r="EH177" s="263"/>
      <c r="EI177" s="263"/>
      <c r="EJ177" s="263"/>
      <c r="EK177" s="263"/>
      <c r="EL177" s="263"/>
      <c r="EM177" s="263"/>
      <c r="EN177" s="263"/>
      <c r="EO177" s="263"/>
      <c r="EP177" s="263"/>
      <c r="EQ177" s="263"/>
      <c r="ER177" s="263"/>
      <c r="ES177" s="263"/>
      <c r="ET177" s="263"/>
      <c r="EU177" s="263"/>
      <c r="EV177" s="263"/>
      <c r="EW177" s="263"/>
      <c r="EX177" s="263"/>
      <c r="EY177" s="263"/>
      <c r="EZ177" s="263"/>
      <c r="FA177" s="263"/>
      <c r="FB177" s="263"/>
      <c r="FC177" s="263"/>
      <c r="FD177" s="263"/>
      <c r="FE177" s="263"/>
      <c r="FF177" s="263"/>
      <c r="FG177" s="263"/>
      <c r="FH177" s="263"/>
      <c r="FI177" s="263"/>
      <c r="FJ177" s="263"/>
      <c r="FK177" s="263"/>
      <c r="FL177" s="263"/>
      <c r="FM177" s="263"/>
      <c r="FN177" s="263"/>
      <c r="FO177" s="263"/>
      <c r="FP177" s="263"/>
      <c r="FQ177" s="263"/>
      <c r="FR177" s="263"/>
      <c r="FS177" s="263"/>
      <c r="FT177" s="263"/>
      <c r="FU177" s="263"/>
      <c r="FV177" s="263"/>
      <c r="FW177" s="263"/>
      <c r="FX177" s="263"/>
      <c r="FY177" s="263"/>
      <c r="FZ177" s="263"/>
      <c r="GA177" s="263"/>
      <c r="GB177" s="263"/>
      <c r="GC177" s="263"/>
      <c r="GD177" s="263"/>
      <c r="GE177" s="263"/>
      <c r="GF177" s="263"/>
      <c r="GG177" s="263"/>
      <c r="GH177" s="263"/>
      <c r="GI177" s="263"/>
      <c r="GJ177" s="263"/>
      <c r="GK177" s="263"/>
      <c r="GL177" s="263"/>
      <c r="GM177" s="263"/>
      <c r="GN177" s="263"/>
      <c r="GO177" s="263"/>
      <c r="GP177" s="263"/>
      <c r="GQ177" s="263"/>
      <c r="GR177" s="263"/>
      <c r="GS177" s="263"/>
      <c r="GT177" s="263"/>
      <c r="GU177" s="263"/>
      <c r="GV177" s="263"/>
      <c r="GW177" s="263"/>
      <c r="GX177" s="263"/>
      <c r="GY177" s="263"/>
      <c r="GZ177" s="263"/>
      <c r="HA177" s="263"/>
      <c r="HB177" s="263"/>
      <c r="HC177" s="263"/>
      <c r="HD177" s="263"/>
      <c r="HE177" s="263"/>
      <c r="HF177" s="263"/>
      <c r="HG177" s="263"/>
      <c r="HH177" s="263"/>
      <c r="HI177" s="263"/>
      <c r="HJ177" s="263"/>
      <c r="HK177" s="263"/>
      <c r="HL177" s="263"/>
      <c r="HM177" s="263"/>
      <c r="HN177" s="263"/>
      <c r="HO177" s="263"/>
      <c r="HP177" s="263"/>
      <c r="HQ177" s="263"/>
      <c r="HR177" s="263"/>
      <c r="HS177" s="263"/>
      <c r="HT177" s="263"/>
      <c r="HU177" s="263"/>
      <c r="HV177" s="263"/>
      <c r="HW177" s="263"/>
      <c r="HX177" s="263"/>
      <c r="HY177" s="263"/>
      <c r="HZ177" s="263"/>
      <c r="IA177" s="263"/>
      <c r="IB177" s="263"/>
      <c r="IC177" s="263"/>
      <c r="ID177" s="263"/>
      <c r="IE177" s="263"/>
      <c r="IF177" s="263"/>
      <c r="IG177" s="263"/>
      <c r="IH177" s="263"/>
      <c r="II177" s="263"/>
      <c r="IJ177" s="263"/>
      <c r="IK177" s="263"/>
      <c r="IL177" s="263"/>
      <c r="IM177" s="263"/>
      <c r="IN177" s="263"/>
      <c r="IO177" s="263"/>
      <c r="IP177" s="263"/>
      <c r="IQ177" s="263"/>
      <c r="IR177" s="263"/>
      <c r="IS177" s="263"/>
      <c r="IT177" s="263"/>
      <c r="IU177" s="263"/>
    </row>
    <row r="178" spans="1:255" ht="15.6">
      <c r="A178" s="263"/>
      <c r="B178" s="263"/>
      <c r="C178" s="263"/>
      <c r="D178" s="263"/>
      <c r="E178" s="263"/>
      <c r="F178" s="263"/>
      <c r="G178" s="263"/>
      <c r="H178" s="263"/>
      <c r="I178" s="263"/>
      <c r="J178" s="263"/>
      <c r="K178" s="263"/>
      <c r="L178" s="263"/>
      <c r="M178" s="263"/>
      <c r="N178" s="263"/>
      <c r="O178" s="263"/>
      <c r="P178" s="263"/>
      <c r="Q178" s="263"/>
      <c r="R178" s="263"/>
      <c r="S178" s="263"/>
      <c r="T178" s="263"/>
      <c r="U178" s="263"/>
      <c r="V178" s="263"/>
      <c r="W178" s="263"/>
      <c r="X178" s="263"/>
      <c r="Y178" s="263"/>
      <c r="Z178" s="263"/>
      <c r="AA178" s="263"/>
      <c r="AB178" s="263"/>
      <c r="AC178" s="263"/>
      <c r="AD178" s="263"/>
      <c r="AE178" s="263"/>
      <c r="AF178" s="263"/>
      <c r="AG178" s="263"/>
      <c r="AH178" s="263"/>
      <c r="AI178" s="263"/>
      <c r="AJ178" s="263"/>
      <c r="AK178" s="263"/>
      <c r="AL178" s="263"/>
      <c r="AM178" s="263"/>
      <c r="AN178" s="263"/>
      <c r="AO178" s="263"/>
      <c r="AP178" s="263"/>
      <c r="AQ178" s="263"/>
      <c r="AR178" s="263"/>
      <c r="AS178" s="263"/>
      <c r="AT178" s="263"/>
      <c r="AU178" s="263"/>
      <c r="AV178" s="263"/>
      <c r="AW178" s="263"/>
      <c r="AX178" s="263"/>
      <c r="AY178" s="263"/>
      <c r="AZ178" s="263"/>
      <c r="BA178" s="263"/>
      <c r="BB178" s="263"/>
      <c r="BC178" s="263"/>
      <c r="BD178" s="263"/>
      <c r="BE178" s="263"/>
      <c r="BF178" s="263"/>
      <c r="BG178" s="263"/>
      <c r="BH178" s="263"/>
      <c r="BI178" s="263"/>
      <c r="BJ178" s="263"/>
      <c r="BK178" s="263"/>
      <c r="BL178" s="263"/>
      <c r="BM178" s="263"/>
      <c r="BN178" s="263"/>
      <c r="BO178" s="263"/>
      <c r="BP178" s="263"/>
      <c r="BQ178" s="263"/>
      <c r="BR178" s="263"/>
      <c r="BS178" s="263"/>
      <c r="BT178" s="263"/>
      <c r="BU178" s="263"/>
      <c r="BV178" s="263"/>
      <c r="BW178" s="263"/>
      <c r="BX178" s="263"/>
      <c r="BY178" s="263"/>
      <c r="BZ178" s="263"/>
      <c r="CA178" s="263"/>
      <c r="CB178" s="263"/>
      <c r="CC178" s="263"/>
      <c r="CD178" s="263"/>
      <c r="CE178" s="263"/>
      <c r="CF178" s="263"/>
      <c r="CG178" s="263"/>
      <c r="CH178" s="263"/>
      <c r="CI178" s="263"/>
      <c r="CJ178" s="263"/>
      <c r="CK178" s="263"/>
      <c r="CL178" s="263"/>
      <c r="CM178" s="263"/>
      <c r="CN178" s="263"/>
      <c r="CO178" s="263"/>
      <c r="CP178" s="263"/>
      <c r="CQ178" s="263"/>
      <c r="CR178" s="263"/>
      <c r="CS178" s="263"/>
      <c r="CT178" s="263"/>
      <c r="CU178" s="263"/>
      <c r="CV178" s="263"/>
      <c r="CW178" s="263"/>
      <c r="CX178" s="263"/>
      <c r="CY178" s="263"/>
      <c r="CZ178" s="263"/>
      <c r="DA178" s="263"/>
      <c r="DB178" s="263"/>
      <c r="DC178" s="263"/>
      <c r="DD178" s="263"/>
      <c r="DE178" s="263"/>
      <c r="DF178" s="263"/>
      <c r="DG178" s="263"/>
      <c r="DH178" s="263"/>
      <c r="DI178" s="263"/>
      <c r="DJ178" s="263"/>
      <c r="DK178" s="263"/>
      <c r="DL178" s="263"/>
      <c r="DM178" s="263"/>
      <c r="DN178" s="263"/>
      <c r="DO178" s="263"/>
      <c r="DP178" s="263"/>
      <c r="DQ178" s="263"/>
      <c r="DR178" s="263"/>
      <c r="DS178" s="263"/>
      <c r="DT178" s="263"/>
      <c r="DU178" s="263"/>
      <c r="DV178" s="263"/>
      <c r="DW178" s="263"/>
      <c r="DX178" s="263"/>
      <c r="DY178" s="263"/>
      <c r="DZ178" s="263"/>
      <c r="EA178" s="263"/>
      <c r="EB178" s="263"/>
      <c r="EC178" s="263"/>
      <c r="ED178" s="263"/>
      <c r="EE178" s="263"/>
      <c r="EF178" s="263"/>
      <c r="EG178" s="263"/>
      <c r="EH178" s="263"/>
      <c r="EI178" s="263"/>
      <c r="EJ178" s="263"/>
      <c r="EK178" s="263"/>
      <c r="EL178" s="263"/>
      <c r="EM178" s="263"/>
      <c r="EN178" s="263"/>
      <c r="EO178" s="263"/>
      <c r="EP178" s="263"/>
      <c r="EQ178" s="263"/>
      <c r="ER178" s="263"/>
      <c r="ES178" s="263"/>
      <c r="ET178" s="263"/>
      <c r="EU178" s="263"/>
      <c r="EV178" s="263"/>
      <c r="EW178" s="263"/>
      <c r="EX178" s="263"/>
      <c r="EY178" s="263"/>
      <c r="EZ178" s="263"/>
      <c r="FA178" s="263"/>
      <c r="FB178" s="263"/>
      <c r="FC178" s="263"/>
      <c r="FD178" s="263"/>
      <c r="FE178" s="263"/>
      <c r="FF178" s="263"/>
      <c r="FG178" s="263"/>
      <c r="FH178" s="263"/>
      <c r="FI178" s="263"/>
      <c r="FJ178" s="263"/>
      <c r="FK178" s="263"/>
      <c r="FL178" s="263"/>
      <c r="FM178" s="263"/>
      <c r="FN178" s="263"/>
      <c r="FO178" s="263"/>
      <c r="FP178" s="263"/>
      <c r="FQ178" s="263"/>
      <c r="FR178" s="263"/>
      <c r="FS178" s="263"/>
      <c r="FT178" s="263"/>
      <c r="FU178" s="263"/>
      <c r="FV178" s="263"/>
      <c r="FW178" s="263"/>
      <c r="FX178" s="263"/>
      <c r="FY178" s="263"/>
      <c r="FZ178" s="263"/>
      <c r="GA178" s="263"/>
      <c r="GB178" s="263"/>
      <c r="GC178" s="263"/>
      <c r="GD178" s="263"/>
      <c r="GE178" s="263"/>
      <c r="GF178" s="263"/>
      <c r="GG178" s="263"/>
      <c r="GH178" s="263"/>
      <c r="GI178" s="263"/>
      <c r="GJ178" s="263"/>
      <c r="GK178" s="263"/>
      <c r="GL178" s="263"/>
      <c r="GM178" s="263"/>
      <c r="GN178" s="263"/>
      <c r="GO178" s="263"/>
      <c r="GP178" s="263"/>
      <c r="GQ178" s="263"/>
      <c r="GR178" s="263"/>
      <c r="GS178" s="263"/>
      <c r="GT178" s="263"/>
      <c r="GU178" s="263"/>
      <c r="GV178" s="263"/>
      <c r="GW178" s="263"/>
      <c r="GX178" s="263"/>
      <c r="GY178" s="263"/>
      <c r="GZ178" s="263"/>
      <c r="HA178" s="263"/>
      <c r="HB178" s="263"/>
      <c r="HC178" s="263"/>
      <c r="HD178" s="263"/>
      <c r="HE178" s="263"/>
      <c r="HF178" s="263"/>
      <c r="HG178" s="263"/>
      <c r="HH178" s="263"/>
      <c r="HI178" s="263"/>
      <c r="HJ178" s="263"/>
      <c r="HK178" s="263"/>
      <c r="HL178" s="263"/>
      <c r="HM178" s="263"/>
      <c r="HN178" s="263"/>
      <c r="HO178" s="263"/>
      <c r="HP178" s="263"/>
      <c r="HQ178" s="263"/>
      <c r="HR178" s="263"/>
      <c r="HS178" s="263"/>
      <c r="HT178" s="263"/>
      <c r="HU178" s="263"/>
      <c r="HV178" s="263"/>
      <c r="HW178" s="263"/>
      <c r="HX178" s="263"/>
      <c r="HY178" s="263"/>
      <c r="HZ178" s="263"/>
      <c r="IA178" s="263"/>
      <c r="IB178" s="263"/>
      <c r="IC178" s="263"/>
      <c r="ID178" s="263"/>
      <c r="IE178" s="263"/>
      <c r="IF178" s="263"/>
      <c r="IG178" s="263"/>
      <c r="IH178" s="263"/>
      <c r="II178" s="263"/>
      <c r="IJ178" s="263"/>
      <c r="IK178" s="263"/>
      <c r="IL178" s="263"/>
      <c r="IM178" s="263"/>
      <c r="IN178" s="263"/>
      <c r="IO178" s="263"/>
      <c r="IP178" s="263"/>
      <c r="IQ178" s="263"/>
      <c r="IR178" s="263"/>
      <c r="IS178" s="263"/>
      <c r="IT178" s="263"/>
      <c r="IU178" s="263"/>
    </row>
    <row r="179" spans="1:255" ht="15.6">
      <c r="A179" s="263"/>
      <c r="B179" s="263"/>
      <c r="C179" s="263"/>
      <c r="D179" s="263"/>
      <c r="E179" s="263"/>
      <c r="F179" s="263"/>
      <c r="G179" s="263"/>
      <c r="H179" s="263"/>
      <c r="I179" s="263"/>
      <c r="J179" s="263"/>
      <c r="K179" s="263"/>
      <c r="L179" s="263"/>
      <c r="M179" s="263"/>
      <c r="N179" s="263"/>
      <c r="O179" s="263"/>
      <c r="P179" s="263"/>
      <c r="Q179" s="263"/>
      <c r="R179" s="263"/>
      <c r="S179" s="263"/>
      <c r="T179" s="263"/>
      <c r="U179" s="263"/>
      <c r="V179" s="263"/>
      <c r="W179" s="263"/>
      <c r="X179" s="263"/>
      <c r="Y179" s="263"/>
      <c r="Z179" s="263"/>
      <c r="AA179" s="263"/>
      <c r="AB179" s="263"/>
      <c r="AC179" s="263"/>
      <c r="AD179" s="263"/>
      <c r="AE179" s="263"/>
      <c r="AF179" s="263"/>
      <c r="AG179" s="263"/>
      <c r="AH179" s="263"/>
      <c r="AI179" s="263"/>
      <c r="AJ179" s="263"/>
      <c r="AK179" s="263"/>
      <c r="AL179" s="263"/>
      <c r="AM179" s="263"/>
      <c r="AN179" s="263"/>
      <c r="AO179" s="263"/>
      <c r="AP179" s="263"/>
      <c r="AQ179" s="263"/>
      <c r="AR179" s="263"/>
      <c r="AS179" s="263"/>
      <c r="AT179" s="263"/>
      <c r="AU179" s="263"/>
      <c r="AV179" s="263"/>
      <c r="AW179" s="263"/>
      <c r="AX179" s="263"/>
      <c r="AY179" s="263"/>
      <c r="AZ179" s="263"/>
      <c r="BA179" s="263"/>
      <c r="BB179" s="263"/>
      <c r="BC179" s="263"/>
      <c r="BD179" s="263"/>
      <c r="BE179" s="263"/>
      <c r="BF179" s="263"/>
      <c r="BG179" s="263"/>
      <c r="BH179" s="263"/>
      <c r="BI179" s="263"/>
      <c r="BJ179" s="263"/>
      <c r="BK179" s="263"/>
      <c r="BL179" s="263"/>
      <c r="BM179" s="263"/>
      <c r="BN179" s="263"/>
      <c r="BO179" s="263"/>
      <c r="BP179" s="263"/>
      <c r="BQ179" s="263"/>
      <c r="BR179" s="263"/>
      <c r="BS179" s="263"/>
      <c r="BT179" s="263"/>
      <c r="BU179" s="263"/>
      <c r="BV179" s="263"/>
      <c r="BW179" s="263"/>
      <c r="BX179" s="263"/>
      <c r="BY179" s="263"/>
      <c r="BZ179" s="263"/>
      <c r="CA179" s="263"/>
      <c r="CB179" s="263"/>
      <c r="CC179" s="263"/>
      <c r="CD179" s="263"/>
      <c r="CE179" s="263"/>
      <c r="CF179" s="263"/>
      <c r="CG179" s="263"/>
      <c r="CH179" s="263"/>
      <c r="CI179" s="263"/>
      <c r="CJ179" s="263"/>
      <c r="CK179" s="263"/>
      <c r="CL179" s="263"/>
      <c r="CM179" s="263"/>
      <c r="CN179" s="263"/>
      <c r="CO179" s="263"/>
      <c r="CP179" s="263"/>
      <c r="CQ179" s="263"/>
      <c r="CR179" s="263"/>
      <c r="CS179" s="263"/>
      <c r="CT179" s="263"/>
      <c r="CU179" s="263"/>
      <c r="CV179" s="263"/>
      <c r="CW179" s="263"/>
      <c r="CX179" s="263"/>
      <c r="CY179" s="263"/>
      <c r="CZ179" s="263"/>
      <c r="DA179" s="263"/>
      <c r="DB179" s="263"/>
      <c r="DC179" s="263"/>
      <c r="DD179" s="263"/>
      <c r="DE179" s="263"/>
      <c r="DF179" s="263"/>
      <c r="DG179" s="263"/>
      <c r="DH179" s="263"/>
      <c r="DI179" s="263"/>
      <c r="DJ179" s="263"/>
      <c r="DK179" s="263"/>
      <c r="DL179" s="263"/>
      <c r="DM179" s="263"/>
      <c r="DN179" s="263"/>
      <c r="DO179" s="263"/>
      <c r="DP179" s="263"/>
      <c r="DQ179" s="263"/>
      <c r="DR179" s="263"/>
      <c r="DS179" s="263"/>
      <c r="DT179" s="263"/>
      <c r="DU179" s="263"/>
      <c r="DV179" s="263"/>
      <c r="DW179" s="263"/>
      <c r="DX179" s="263"/>
      <c r="DY179" s="263"/>
      <c r="DZ179" s="263"/>
      <c r="EA179" s="263"/>
      <c r="EB179" s="263"/>
      <c r="EC179" s="263"/>
      <c r="ED179" s="263"/>
      <c r="EE179" s="263"/>
      <c r="EF179" s="263"/>
      <c r="EG179" s="263"/>
      <c r="EH179" s="263"/>
      <c r="EI179" s="263"/>
      <c r="EJ179" s="263"/>
      <c r="EK179" s="263"/>
      <c r="EL179" s="263"/>
      <c r="EM179" s="263"/>
      <c r="EN179" s="263"/>
      <c r="EO179" s="263"/>
      <c r="EP179" s="263"/>
      <c r="EQ179" s="263"/>
      <c r="ER179" s="263"/>
      <c r="ES179" s="263"/>
      <c r="ET179" s="263"/>
      <c r="EU179" s="263"/>
      <c r="EV179" s="263"/>
      <c r="EW179" s="263"/>
      <c r="EX179" s="263"/>
      <c r="EY179" s="263"/>
      <c r="EZ179" s="263"/>
      <c r="FA179" s="263"/>
      <c r="FB179" s="263"/>
      <c r="FC179" s="263"/>
      <c r="FD179" s="263"/>
      <c r="FE179" s="263"/>
      <c r="FF179" s="263"/>
      <c r="FG179" s="263"/>
      <c r="FH179" s="263"/>
      <c r="FI179" s="263"/>
      <c r="FJ179" s="263"/>
      <c r="FK179" s="263"/>
      <c r="FL179" s="263"/>
      <c r="FM179" s="263"/>
      <c r="FN179" s="263"/>
      <c r="FO179" s="263"/>
      <c r="FP179" s="263"/>
      <c r="FQ179" s="263"/>
      <c r="FR179" s="263"/>
      <c r="FS179" s="263"/>
      <c r="FT179" s="263"/>
      <c r="FU179" s="263"/>
      <c r="FV179" s="263"/>
      <c r="FW179" s="263"/>
      <c r="FX179" s="263"/>
      <c r="FY179" s="263"/>
      <c r="FZ179" s="263"/>
      <c r="GA179" s="263"/>
      <c r="GB179" s="263"/>
      <c r="GC179" s="263"/>
      <c r="GD179" s="263"/>
      <c r="GE179" s="263"/>
      <c r="GF179" s="263"/>
      <c r="GG179" s="263"/>
      <c r="GH179" s="263"/>
      <c r="GI179" s="263"/>
      <c r="GJ179" s="263"/>
      <c r="GK179" s="263"/>
      <c r="GL179" s="263"/>
      <c r="GM179" s="263"/>
      <c r="GN179" s="263"/>
      <c r="GO179" s="263"/>
      <c r="GP179" s="263"/>
      <c r="GQ179" s="263"/>
      <c r="GR179" s="263"/>
      <c r="GS179" s="263"/>
      <c r="GT179" s="263"/>
      <c r="GU179" s="263"/>
      <c r="GV179" s="263"/>
      <c r="GW179" s="263"/>
      <c r="GX179" s="263"/>
      <c r="GY179" s="263"/>
      <c r="GZ179" s="263"/>
      <c r="HA179" s="263"/>
      <c r="HB179" s="263"/>
      <c r="HC179" s="263"/>
      <c r="HD179" s="263"/>
      <c r="HE179" s="263"/>
      <c r="HF179" s="263"/>
      <c r="HG179" s="263"/>
      <c r="HH179" s="263"/>
      <c r="HI179" s="263"/>
      <c r="HJ179" s="263"/>
      <c r="HK179" s="263"/>
      <c r="HL179" s="263"/>
      <c r="HM179" s="263"/>
      <c r="HN179" s="263"/>
      <c r="HO179" s="263"/>
      <c r="HP179" s="263"/>
      <c r="HQ179" s="263"/>
      <c r="HR179" s="263"/>
      <c r="HS179" s="263"/>
      <c r="HT179" s="263"/>
      <c r="HU179" s="263"/>
      <c r="HV179" s="263"/>
      <c r="HW179" s="263"/>
      <c r="HX179" s="263"/>
      <c r="HY179" s="263"/>
      <c r="HZ179" s="263"/>
      <c r="IA179" s="263"/>
      <c r="IB179" s="263"/>
      <c r="IC179" s="263"/>
      <c r="ID179" s="263"/>
      <c r="IE179" s="263"/>
      <c r="IF179" s="263"/>
      <c r="IG179" s="263"/>
      <c r="IH179" s="263"/>
      <c r="II179" s="263"/>
      <c r="IJ179" s="263"/>
      <c r="IK179" s="263"/>
      <c r="IL179" s="263"/>
      <c r="IM179" s="263"/>
      <c r="IN179" s="263"/>
      <c r="IO179" s="263"/>
      <c r="IP179" s="263"/>
      <c r="IQ179" s="263"/>
      <c r="IR179" s="263"/>
      <c r="IS179" s="263"/>
      <c r="IT179" s="263"/>
      <c r="IU179" s="263"/>
    </row>
    <row r="180" spans="1:255" ht="15.6">
      <c r="A180" s="263"/>
      <c r="B180" s="263"/>
      <c r="C180" s="263"/>
      <c r="D180" s="263"/>
      <c r="E180" s="263"/>
      <c r="F180" s="263"/>
      <c r="G180" s="263"/>
      <c r="H180" s="263"/>
      <c r="I180" s="263"/>
      <c r="J180" s="263"/>
      <c r="K180" s="263"/>
      <c r="L180" s="263"/>
      <c r="M180" s="263"/>
      <c r="N180" s="263"/>
      <c r="O180" s="263"/>
      <c r="P180" s="263"/>
      <c r="Q180" s="263"/>
      <c r="R180" s="263"/>
      <c r="S180" s="263"/>
      <c r="T180" s="263"/>
      <c r="U180" s="263"/>
      <c r="V180" s="263"/>
      <c r="W180" s="263"/>
      <c r="X180" s="263"/>
      <c r="Y180" s="263"/>
      <c r="Z180" s="263"/>
      <c r="AA180" s="263"/>
      <c r="AB180" s="263"/>
      <c r="AC180" s="263"/>
      <c r="AD180" s="263"/>
      <c r="AE180" s="263"/>
      <c r="AF180" s="263"/>
      <c r="AG180" s="263"/>
      <c r="AH180" s="263"/>
      <c r="AI180" s="263"/>
      <c r="AJ180" s="263"/>
      <c r="AK180" s="263"/>
      <c r="AL180" s="263"/>
      <c r="AM180" s="263"/>
      <c r="AN180" s="263"/>
      <c r="AO180" s="263"/>
      <c r="AP180" s="263"/>
      <c r="AQ180" s="263"/>
      <c r="AR180" s="263"/>
      <c r="AS180" s="263"/>
      <c r="AT180" s="263"/>
      <c r="AU180" s="263"/>
      <c r="AV180" s="263"/>
      <c r="AW180" s="263"/>
      <c r="AX180" s="263"/>
      <c r="AY180" s="263"/>
      <c r="AZ180" s="263"/>
      <c r="BA180" s="263"/>
      <c r="BB180" s="263"/>
      <c r="BC180" s="263"/>
      <c r="BD180" s="263"/>
      <c r="BE180" s="263"/>
      <c r="BF180" s="263"/>
      <c r="BG180" s="263"/>
      <c r="BH180" s="263"/>
      <c r="BI180" s="263"/>
      <c r="BJ180" s="263"/>
      <c r="BK180" s="263"/>
      <c r="BL180" s="263"/>
      <c r="BM180" s="263"/>
      <c r="BN180" s="263"/>
      <c r="BO180" s="263"/>
      <c r="BP180" s="263"/>
      <c r="BQ180" s="263"/>
      <c r="BR180" s="263"/>
      <c r="BS180" s="263"/>
      <c r="BT180" s="263"/>
      <c r="BU180" s="263"/>
      <c r="BV180" s="263"/>
      <c r="BW180" s="263"/>
      <c r="BX180" s="263"/>
      <c r="BY180" s="263"/>
      <c r="BZ180" s="263"/>
      <c r="CA180" s="263"/>
      <c r="CB180" s="263"/>
      <c r="CC180" s="263"/>
      <c r="CD180" s="263"/>
      <c r="CE180" s="263"/>
      <c r="CF180" s="263"/>
      <c r="CG180" s="263"/>
      <c r="CH180" s="263"/>
      <c r="CI180" s="263"/>
      <c r="CJ180" s="263"/>
      <c r="CK180" s="263"/>
      <c r="CL180" s="263"/>
      <c r="CM180" s="263"/>
      <c r="CN180" s="263"/>
      <c r="CO180" s="263"/>
      <c r="CP180" s="263"/>
      <c r="CQ180" s="263"/>
      <c r="CR180" s="263"/>
      <c r="CS180" s="263"/>
      <c r="CT180" s="263"/>
      <c r="CU180" s="263"/>
      <c r="CV180" s="263"/>
      <c r="CW180" s="263"/>
      <c r="CX180" s="263"/>
      <c r="CY180" s="263"/>
      <c r="CZ180" s="263"/>
      <c r="DA180" s="263"/>
      <c r="DB180" s="263"/>
      <c r="DC180" s="263"/>
      <c r="DD180" s="263"/>
      <c r="DE180" s="263"/>
      <c r="DF180" s="263"/>
      <c r="DG180" s="263"/>
      <c r="DH180" s="263"/>
      <c r="DI180" s="263"/>
      <c r="DJ180" s="263"/>
      <c r="DK180" s="263"/>
      <c r="DL180" s="263"/>
      <c r="DM180" s="263"/>
      <c r="DN180" s="263"/>
      <c r="DO180" s="263"/>
      <c r="DP180" s="263"/>
      <c r="DQ180" s="263"/>
      <c r="DR180" s="263"/>
      <c r="DS180" s="263"/>
      <c r="DT180" s="263"/>
      <c r="DU180" s="263"/>
      <c r="DV180" s="263"/>
      <c r="DW180" s="263"/>
      <c r="DX180" s="263"/>
      <c r="DY180" s="263"/>
      <c r="DZ180" s="263"/>
      <c r="EA180" s="263"/>
      <c r="EB180" s="263"/>
      <c r="EC180" s="263"/>
      <c r="ED180" s="263"/>
      <c r="EE180" s="263"/>
      <c r="EF180" s="263"/>
      <c r="EG180" s="263"/>
      <c r="EH180" s="263"/>
      <c r="EI180" s="263"/>
      <c r="EJ180" s="263"/>
      <c r="EK180" s="263"/>
      <c r="EL180" s="263"/>
      <c r="EM180" s="263"/>
      <c r="EN180" s="263"/>
      <c r="EO180" s="263"/>
      <c r="EP180" s="263"/>
      <c r="EQ180" s="263"/>
      <c r="ER180" s="263"/>
      <c r="ES180" s="263"/>
      <c r="ET180" s="263"/>
      <c r="EU180" s="263"/>
      <c r="EV180" s="263"/>
      <c r="EW180" s="263"/>
      <c r="EX180" s="263"/>
      <c r="EY180" s="263"/>
      <c r="EZ180" s="263"/>
      <c r="FA180" s="263"/>
      <c r="FB180" s="263"/>
      <c r="FC180" s="263"/>
      <c r="FD180" s="263"/>
      <c r="FE180" s="263"/>
      <c r="FF180" s="263"/>
      <c r="FG180" s="263"/>
      <c r="FH180" s="263"/>
      <c r="FI180" s="263"/>
      <c r="FJ180" s="263"/>
      <c r="FK180" s="263"/>
      <c r="FL180" s="263"/>
      <c r="FM180" s="263"/>
      <c r="FN180" s="263"/>
      <c r="FO180" s="263"/>
      <c r="FP180" s="263"/>
      <c r="FQ180" s="263"/>
      <c r="FR180" s="263"/>
      <c r="FS180" s="263"/>
      <c r="FT180" s="263"/>
      <c r="FU180" s="263"/>
      <c r="FV180" s="263"/>
      <c r="FW180" s="263"/>
      <c r="FX180" s="263"/>
      <c r="FY180" s="263"/>
      <c r="FZ180" s="263"/>
      <c r="GA180" s="263"/>
      <c r="GB180" s="263"/>
      <c r="GC180" s="263"/>
      <c r="GD180" s="263"/>
      <c r="GE180" s="263"/>
      <c r="GF180" s="263"/>
      <c r="GG180" s="263"/>
      <c r="GH180" s="263"/>
      <c r="GI180" s="263"/>
      <c r="GJ180" s="263"/>
      <c r="GK180" s="263"/>
      <c r="GL180" s="263"/>
      <c r="GM180" s="263"/>
      <c r="GN180" s="263"/>
      <c r="GO180" s="263"/>
      <c r="GP180" s="263"/>
      <c r="GQ180" s="263"/>
      <c r="GR180" s="263"/>
      <c r="GS180" s="263"/>
      <c r="GT180" s="263"/>
      <c r="GU180" s="263"/>
      <c r="GV180" s="263"/>
      <c r="GW180" s="263"/>
      <c r="GX180" s="263"/>
      <c r="GY180" s="263"/>
      <c r="GZ180" s="263"/>
      <c r="HA180" s="263"/>
      <c r="HB180" s="263"/>
      <c r="HC180" s="263"/>
      <c r="HD180" s="263"/>
      <c r="HE180" s="263"/>
      <c r="HF180" s="263"/>
      <c r="HG180" s="263"/>
      <c r="HH180" s="263"/>
      <c r="HI180" s="263"/>
      <c r="HJ180" s="263"/>
      <c r="HK180" s="263"/>
      <c r="HL180" s="263"/>
      <c r="HM180" s="263"/>
      <c r="HN180" s="263"/>
      <c r="HO180" s="263"/>
      <c r="HP180" s="263"/>
      <c r="HQ180" s="263"/>
      <c r="HR180" s="263"/>
      <c r="HS180" s="263"/>
      <c r="HT180" s="263"/>
      <c r="HU180" s="263"/>
      <c r="HV180" s="263"/>
      <c r="HW180" s="263"/>
      <c r="HX180" s="263"/>
      <c r="HY180" s="263"/>
      <c r="HZ180" s="263"/>
      <c r="IA180" s="263"/>
      <c r="IB180" s="263"/>
      <c r="IC180" s="263"/>
      <c r="ID180" s="263"/>
      <c r="IE180" s="263"/>
      <c r="IF180" s="263"/>
      <c r="IG180" s="263"/>
      <c r="IH180" s="263"/>
      <c r="II180" s="263"/>
      <c r="IJ180" s="263"/>
      <c r="IK180" s="263"/>
      <c r="IL180" s="263"/>
      <c r="IM180" s="263"/>
      <c r="IN180" s="263"/>
      <c r="IO180" s="263"/>
      <c r="IP180" s="263"/>
      <c r="IQ180" s="263"/>
      <c r="IR180" s="263"/>
      <c r="IS180" s="263"/>
      <c r="IT180" s="263"/>
      <c r="IU180" s="263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R154"/>
  <sheetViews>
    <sheetView showOutlineSymbols="0" view="pageBreakPreview" zoomScale="60" zoomScaleNormal="75" workbookViewId="0">
      <selection activeCell="F21" sqref="F21"/>
    </sheetView>
  </sheetViews>
  <sheetFormatPr defaultColWidth="8.81640625" defaultRowHeight="15"/>
  <cols>
    <col min="1" max="1" width="21.81640625" style="286" customWidth="1"/>
    <col min="2" max="2" width="6.81640625" style="286" customWidth="1"/>
    <col min="3" max="17" width="9.81640625" style="286" customWidth="1"/>
    <col min="18" max="26" width="8.81640625" style="286" customWidth="1"/>
    <col min="27" max="27" width="11.81640625" style="286" customWidth="1"/>
    <col min="28" max="28" width="10.81640625" style="286" customWidth="1"/>
    <col min="29" max="29" width="8.81640625" style="286" customWidth="1"/>
    <col min="30" max="31" width="10.81640625" style="286" customWidth="1"/>
    <col min="32" max="57" width="8.81640625" style="286" customWidth="1"/>
    <col min="58" max="58" width="11.81640625" style="286" customWidth="1"/>
    <col min="59" max="59" width="8.81640625" style="286" customWidth="1"/>
    <col min="60" max="60" width="10.81640625" style="286" customWidth="1"/>
    <col min="61" max="61" width="8.81640625" style="286" customWidth="1"/>
    <col min="62" max="62" width="11.81640625" style="286" customWidth="1"/>
    <col min="63" max="16384" width="8.81640625" style="286"/>
  </cols>
  <sheetData>
    <row r="1" spans="1:96" ht="21.9" customHeight="1">
      <c r="A1" s="282" t="str">
        <f ca="1">'Co IS'!A1</f>
        <v>DELMARVA, VA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4"/>
      <c r="R1" s="284"/>
      <c r="S1" s="284"/>
      <c r="T1" s="284"/>
      <c r="U1" s="284"/>
      <c r="V1" s="284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285"/>
      <c r="AT1" s="285"/>
      <c r="AU1" s="285"/>
      <c r="AV1" s="285"/>
      <c r="AW1" s="285"/>
      <c r="AX1" s="285"/>
      <c r="AY1" s="285"/>
      <c r="AZ1" s="285"/>
      <c r="BA1" s="285"/>
      <c r="BB1" s="285"/>
      <c r="BC1" s="285"/>
      <c r="BD1" s="285"/>
      <c r="BE1" s="285"/>
      <c r="BF1" s="285"/>
      <c r="BG1" s="285"/>
      <c r="BH1" s="285"/>
      <c r="BI1" s="285"/>
      <c r="BJ1" s="285"/>
      <c r="BK1" s="285"/>
      <c r="BL1" s="285"/>
      <c r="BM1" s="285"/>
      <c r="BN1" s="285"/>
      <c r="BO1" s="285"/>
      <c r="BP1" s="285"/>
      <c r="BQ1" s="285"/>
      <c r="BR1" s="285"/>
      <c r="BS1" s="285"/>
      <c r="BT1" s="285"/>
      <c r="BU1" s="285"/>
      <c r="BV1" s="285"/>
      <c r="BW1" s="285"/>
      <c r="BX1" s="285"/>
      <c r="BY1" s="285"/>
      <c r="BZ1" s="285"/>
      <c r="CA1" s="285"/>
      <c r="CB1" s="285"/>
      <c r="CC1" s="285"/>
      <c r="CD1" s="285"/>
      <c r="CE1" s="285"/>
      <c r="CF1" s="285"/>
      <c r="CG1" s="285"/>
      <c r="CH1" s="285"/>
      <c r="CI1" s="285"/>
      <c r="CJ1" s="285"/>
      <c r="CK1" s="285"/>
      <c r="CL1" s="285"/>
      <c r="CM1" s="285"/>
      <c r="CN1" s="285"/>
      <c r="CO1" s="285"/>
      <c r="CP1" s="285"/>
      <c r="CQ1" s="285"/>
      <c r="CR1" s="285"/>
    </row>
    <row r="2" spans="1:96" ht="15.6">
      <c r="A2" s="287" t="s">
        <v>280</v>
      </c>
      <c r="B2" s="288"/>
      <c r="C2" s="289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90"/>
      <c r="R2" s="290"/>
      <c r="S2" s="290"/>
      <c r="T2" s="290"/>
      <c r="U2" s="290"/>
      <c r="V2" s="290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5"/>
      <c r="AN2" s="285"/>
      <c r="AO2" s="285"/>
      <c r="AP2" s="285"/>
      <c r="AQ2" s="285"/>
      <c r="AR2" s="285"/>
      <c r="AS2" s="285"/>
      <c r="AT2" s="285"/>
      <c r="AU2" s="285"/>
      <c r="AV2" s="285"/>
      <c r="AW2" s="285"/>
      <c r="AX2" s="285"/>
      <c r="AY2" s="285"/>
      <c r="AZ2" s="285"/>
      <c r="BA2" s="285"/>
      <c r="BB2" s="285"/>
      <c r="BC2" s="285"/>
      <c r="BD2" s="285"/>
      <c r="BE2" s="285"/>
      <c r="BF2" s="285"/>
      <c r="BG2" s="285"/>
      <c r="BH2" s="285"/>
      <c r="BI2" s="285"/>
      <c r="BJ2" s="285"/>
      <c r="BK2" s="285"/>
      <c r="BL2" s="285"/>
      <c r="BM2" s="285"/>
      <c r="BN2" s="285"/>
      <c r="BO2" s="285"/>
      <c r="BP2" s="285"/>
      <c r="BQ2" s="285"/>
      <c r="BR2" s="285"/>
      <c r="BS2" s="285"/>
      <c r="BT2" s="285"/>
      <c r="BU2" s="285"/>
      <c r="BV2" s="285"/>
      <c r="BW2" s="285"/>
      <c r="BX2" s="285"/>
      <c r="BY2" s="285"/>
      <c r="BZ2" s="285"/>
      <c r="CA2" s="285"/>
      <c r="CB2" s="285"/>
      <c r="CC2" s="285"/>
      <c r="CD2" s="285"/>
      <c r="CE2" s="285"/>
      <c r="CF2" s="285"/>
      <c r="CG2" s="285"/>
      <c r="CH2" s="285"/>
      <c r="CI2" s="285"/>
      <c r="CJ2" s="285"/>
      <c r="CK2" s="285"/>
      <c r="CL2" s="285"/>
      <c r="CM2" s="285"/>
      <c r="CN2" s="285"/>
      <c r="CO2" s="285"/>
      <c r="CP2" s="285"/>
      <c r="CQ2" s="285"/>
      <c r="CR2" s="285"/>
    </row>
    <row r="3" spans="1:96" ht="12.75" customHeight="1">
      <c r="A3" s="291"/>
      <c r="B3" s="292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4"/>
      <c r="R3" s="294"/>
      <c r="S3" s="294"/>
      <c r="T3" s="294"/>
      <c r="U3" s="294"/>
      <c r="V3" s="294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  <c r="AL3" s="285"/>
      <c r="AM3" s="285"/>
      <c r="AN3" s="285"/>
      <c r="AO3" s="285"/>
      <c r="AP3" s="285"/>
      <c r="AQ3" s="285"/>
      <c r="AR3" s="285"/>
      <c r="AS3" s="285"/>
      <c r="AT3" s="285"/>
      <c r="AU3" s="285"/>
      <c r="AV3" s="285"/>
      <c r="AW3" s="285"/>
      <c r="AX3" s="285"/>
      <c r="AY3" s="285"/>
      <c r="AZ3" s="285"/>
      <c r="BA3" s="285"/>
      <c r="BB3" s="285"/>
      <c r="BC3" s="285"/>
      <c r="BD3" s="285"/>
      <c r="BE3" s="285"/>
      <c r="BF3" s="285"/>
      <c r="BG3" s="285"/>
      <c r="BH3" s="285"/>
      <c r="BI3" s="285"/>
      <c r="BJ3" s="285"/>
      <c r="BK3" s="285"/>
      <c r="BL3" s="285"/>
      <c r="BM3" s="285"/>
      <c r="BN3" s="285"/>
      <c r="BO3" s="285"/>
      <c r="BP3" s="285"/>
      <c r="BQ3" s="285"/>
      <c r="BR3" s="285"/>
      <c r="BS3" s="285"/>
      <c r="BT3" s="285"/>
      <c r="BU3" s="285"/>
      <c r="BV3" s="285"/>
      <c r="BW3" s="285"/>
      <c r="BX3" s="285"/>
      <c r="BY3" s="285"/>
      <c r="BZ3" s="285"/>
      <c r="CA3" s="285"/>
      <c r="CB3" s="285"/>
      <c r="CC3" s="285"/>
      <c r="CD3" s="285"/>
      <c r="CE3" s="285"/>
      <c r="CF3" s="285"/>
      <c r="CG3" s="285"/>
      <c r="CH3" s="285"/>
      <c r="CI3" s="285"/>
      <c r="CJ3" s="285"/>
      <c r="CK3" s="285"/>
      <c r="CL3" s="285"/>
      <c r="CM3" s="285"/>
      <c r="CN3" s="285"/>
      <c r="CO3" s="285"/>
      <c r="CP3" s="285"/>
      <c r="CQ3" s="285"/>
      <c r="CR3" s="285"/>
    </row>
    <row r="4" spans="1:96" ht="15.6">
      <c r="A4" s="295"/>
      <c r="B4" s="295"/>
      <c r="C4" s="283"/>
      <c r="D4" s="283"/>
      <c r="E4" s="283"/>
      <c r="F4" s="283"/>
      <c r="G4" s="283"/>
      <c r="H4" s="283"/>
      <c r="I4" s="283"/>
      <c r="J4" s="283"/>
      <c r="K4" s="283"/>
      <c r="L4" s="296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5"/>
      <c r="X4" s="285"/>
      <c r="Y4" s="285"/>
      <c r="Z4" s="285"/>
      <c r="AA4" s="285"/>
      <c r="AB4" s="285"/>
      <c r="AC4" s="285"/>
      <c r="AD4" s="285"/>
      <c r="AE4" s="285"/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5"/>
      <c r="AQ4" s="285"/>
      <c r="AR4" s="285"/>
      <c r="AS4" s="285"/>
      <c r="AT4" s="285"/>
      <c r="AU4" s="285"/>
      <c r="AV4" s="285"/>
      <c r="AW4" s="285"/>
      <c r="AX4" s="285"/>
      <c r="AY4" s="285"/>
      <c r="AZ4" s="285"/>
      <c r="BA4" s="285"/>
      <c r="BB4" s="285"/>
      <c r="BC4" s="285"/>
      <c r="BD4" s="285"/>
      <c r="BE4" s="285"/>
      <c r="BF4" s="285"/>
      <c r="BG4" s="285"/>
      <c r="BH4" s="285"/>
      <c r="BI4" s="285"/>
      <c r="BJ4" s="285"/>
      <c r="BK4" s="285"/>
      <c r="BL4" s="285"/>
      <c r="BM4" s="285"/>
      <c r="BN4" s="285"/>
      <c r="BO4" s="285"/>
      <c r="BP4" s="285"/>
      <c r="BQ4" s="285"/>
      <c r="BR4" s="285"/>
      <c r="BS4" s="285"/>
      <c r="BT4" s="285"/>
      <c r="BU4" s="285"/>
      <c r="BV4" s="285"/>
      <c r="BW4" s="285"/>
      <c r="BX4" s="285"/>
      <c r="BY4" s="285"/>
      <c r="BZ4" s="285"/>
      <c r="CA4" s="285"/>
      <c r="CB4" s="285"/>
      <c r="CC4" s="285"/>
      <c r="CD4" s="285"/>
      <c r="CE4" s="285"/>
      <c r="CF4" s="285"/>
      <c r="CG4" s="285"/>
      <c r="CH4" s="285"/>
      <c r="CI4" s="285"/>
      <c r="CJ4" s="285"/>
      <c r="CK4" s="285"/>
      <c r="CL4" s="285"/>
      <c r="CM4" s="285"/>
      <c r="CN4" s="285"/>
      <c r="CO4" s="285"/>
      <c r="CP4" s="285"/>
      <c r="CQ4" s="285"/>
      <c r="CR4" s="285"/>
    </row>
    <row r="5" spans="1:96" ht="15.6">
      <c r="A5" s="283" t="str">
        <f ca="1">'Co IS'!A5</f>
        <v>US $ 000s</v>
      </c>
      <c r="B5" s="283"/>
      <c r="C5" s="297">
        <f ca="1">'Co IS'!C5</f>
        <v>2000</v>
      </c>
      <c r="D5" s="297">
        <f ca="1">'Co IS'!D5</f>
        <v>2001</v>
      </c>
      <c r="E5" s="297">
        <f ca="1">'Co IS'!E5</f>
        <v>2002</v>
      </c>
      <c r="F5" s="297">
        <f ca="1">'Co IS'!F5</f>
        <v>2003</v>
      </c>
      <c r="G5" s="297">
        <f ca="1">'Co IS'!G5</f>
        <v>2004</v>
      </c>
      <c r="H5" s="297">
        <f ca="1">'Co IS'!H5</f>
        <v>2005</v>
      </c>
      <c r="I5" s="297">
        <f ca="1">'Co IS'!I5</f>
        <v>2006</v>
      </c>
      <c r="J5" s="297">
        <f ca="1">'Co IS'!J5</f>
        <v>2007</v>
      </c>
      <c r="K5" s="297">
        <f ca="1">'Co IS'!K5</f>
        <v>2008</v>
      </c>
      <c r="L5" s="297">
        <f ca="1">'Co IS'!L5</f>
        <v>2009</v>
      </c>
      <c r="M5" s="297">
        <f ca="1">'Co IS'!M5</f>
        <v>2010</v>
      </c>
      <c r="N5" s="297">
        <f ca="1">'Co IS'!N5</f>
        <v>2011</v>
      </c>
      <c r="O5" s="297">
        <f ca="1">'Co IS'!O5</f>
        <v>2012</v>
      </c>
      <c r="P5" s="297">
        <f ca="1">'Co IS'!P5</f>
        <v>2013</v>
      </c>
      <c r="Q5" s="297">
        <f ca="1">'Co IS'!Q5</f>
        <v>2014</v>
      </c>
      <c r="R5" s="297">
        <f ca="1">'Co IS'!R5</f>
        <v>2015</v>
      </c>
      <c r="S5" s="297">
        <f ca="1">'Co IS'!S5</f>
        <v>2016</v>
      </c>
      <c r="T5" s="297">
        <f ca="1">'Co IS'!T5</f>
        <v>2017</v>
      </c>
      <c r="U5" s="297">
        <f ca="1">'Co IS'!U5</f>
        <v>2018</v>
      </c>
      <c r="V5" s="297">
        <f ca="1">'Co IS'!V5</f>
        <v>2019</v>
      </c>
      <c r="W5" s="285"/>
      <c r="X5" s="285"/>
      <c r="Y5" s="285"/>
      <c r="Z5" s="285"/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5"/>
      <c r="AR5" s="285"/>
      <c r="AS5" s="285"/>
      <c r="AT5" s="285"/>
      <c r="AU5" s="285"/>
      <c r="AV5" s="285"/>
      <c r="AW5" s="285"/>
      <c r="AX5" s="285"/>
      <c r="AY5" s="285"/>
      <c r="AZ5" s="285"/>
      <c r="BA5" s="285"/>
      <c r="BB5" s="285"/>
      <c r="BC5" s="285"/>
      <c r="BD5" s="285"/>
      <c r="BE5" s="285"/>
      <c r="BF5" s="285"/>
      <c r="BG5" s="285"/>
      <c r="BH5" s="285"/>
      <c r="BI5" s="285"/>
      <c r="BJ5" s="285"/>
      <c r="BK5" s="285"/>
      <c r="BL5" s="285"/>
      <c r="BM5" s="285"/>
      <c r="BN5" s="285"/>
      <c r="BO5" s="285"/>
      <c r="BP5" s="285"/>
      <c r="BQ5" s="285"/>
      <c r="BR5" s="285"/>
      <c r="BS5" s="285"/>
      <c r="BT5" s="285"/>
      <c r="BU5" s="285"/>
      <c r="BV5" s="285"/>
      <c r="BW5" s="285"/>
      <c r="BX5" s="285"/>
      <c r="BY5" s="285"/>
      <c r="BZ5" s="285"/>
      <c r="CA5" s="285"/>
      <c r="CB5" s="285"/>
      <c r="CC5" s="285"/>
      <c r="CD5" s="285"/>
      <c r="CE5" s="285"/>
      <c r="CF5" s="285"/>
      <c r="CG5" s="285"/>
      <c r="CH5" s="285"/>
      <c r="CI5" s="285"/>
      <c r="CJ5" s="285"/>
      <c r="CK5" s="285"/>
      <c r="CL5" s="285"/>
      <c r="CM5" s="285"/>
      <c r="CN5" s="285"/>
      <c r="CO5" s="285"/>
      <c r="CP5" s="285"/>
      <c r="CQ5" s="285"/>
      <c r="CR5" s="285"/>
    </row>
    <row r="6" spans="1:96" ht="15.6">
      <c r="A6" s="295" t="str">
        <f ca="1">'Co IS'!A6</f>
        <v>Year</v>
      </c>
      <c r="B6" s="283"/>
      <c r="C6" s="298">
        <f ca="1">'Co IS'!C6</f>
        <v>1</v>
      </c>
      <c r="D6" s="298">
        <f ca="1">'Co IS'!D6</f>
        <v>2</v>
      </c>
      <c r="E6" s="298">
        <f ca="1">'Co IS'!E6</f>
        <v>3</v>
      </c>
      <c r="F6" s="298">
        <f ca="1">'Co IS'!F6</f>
        <v>4</v>
      </c>
      <c r="G6" s="298">
        <f ca="1">'Co IS'!G6</f>
        <v>5</v>
      </c>
      <c r="H6" s="298">
        <f ca="1">'Co IS'!H6</f>
        <v>6</v>
      </c>
      <c r="I6" s="298">
        <f ca="1">'Co IS'!I6</f>
        <v>7</v>
      </c>
      <c r="J6" s="298">
        <f ca="1">'Co IS'!J6</f>
        <v>8</v>
      </c>
      <c r="K6" s="298">
        <f ca="1">'Co IS'!K6</f>
        <v>9</v>
      </c>
      <c r="L6" s="298">
        <f ca="1">'Co IS'!L6</f>
        <v>10</v>
      </c>
      <c r="M6" s="298">
        <f ca="1">'Co IS'!M6</f>
        <v>11</v>
      </c>
      <c r="N6" s="298">
        <f ca="1">'Co IS'!N6</f>
        <v>12</v>
      </c>
      <c r="O6" s="298">
        <f ca="1">'Co IS'!O6</f>
        <v>13</v>
      </c>
      <c r="P6" s="298">
        <f ca="1">'Co IS'!P6</f>
        <v>14</v>
      </c>
      <c r="Q6" s="298">
        <f ca="1">'Co IS'!Q6</f>
        <v>15</v>
      </c>
      <c r="R6" s="298">
        <f ca="1">'Co IS'!R6</f>
        <v>16</v>
      </c>
      <c r="S6" s="298">
        <f ca="1">'Co IS'!S6</f>
        <v>17</v>
      </c>
      <c r="T6" s="298">
        <f ca="1">'Co IS'!T6</f>
        <v>18</v>
      </c>
      <c r="U6" s="298">
        <f ca="1">'Co IS'!U6</f>
        <v>19</v>
      </c>
      <c r="V6" s="298">
        <f ca="1">'Co IS'!V6</f>
        <v>20</v>
      </c>
      <c r="W6" s="285"/>
      <c r="X6" s="285"/>
      <c r="Y6" s="285"/>
      <c r="Z6" s="285"/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  <c r="AM6" s="285"/>
      <c r="AN6" s="285"/>
      <c r="AO6" s="285"/>
      <c r="AP6" s="285"/>
      <c r="AQ6" s="285"/>
      <c r="AR6" s="285"/>
      <c r="AS6" s="285"/>
      <c r="AT6" s="285"/>
      <c r="AU6" s="285"/>
      <c r="AV6" s="285"/>
      <c r="AW6" s="285"/>
      <c r="AX6" s="285"/>
      <c r="AY6" s="285"/>
      <c r="AZ6" s="285"/>
      <c r="BA6" s="285"/>
      <c r="BB6" s="285"/>
      <c r="BC6" s="285"/>
      <c r="BD6" s="285"/>
      <c r="BE6" s="285"/>
      <c r="BF6" s="285"/>
      <c r="BG6" s="285"/>
      <c r="BH6" s="285"/>
      <c r="BI6" s="285"/>
      <c r="BJ6" s="285"/>
      <c r="BK6" s="285"/>
      <c r="BL6" s="285"/>
      <c r="BM6" s="285"/>
      <c r="BN6" s="285"/>
      <c r="BO6" s="285"/>
      <c r="BP6" s="285"/>
      <c r="BQ6" s="285"/>
      <c r="BR6" s="285"/>
      <c r="BS6" s="285"/>
      <c r="BT6" s="285"/>
      <c r="BU6" s="285"/>
      <c r="BV6" s="285"/>
      <c r="BW6" s="285"/>
      <c r="BX6" s="285"/>
      <c r="BY6" s="285"/>
      <c r="BZ6" s="285"/>
      <c r="CA6" s="285"/>
      <c r="CB6" s="285"/>
      <c r="CC6" s="285"/>
      <c r="CD6" s="285"/>
      <c r="CE6" s="285"/>
      <c r="CF6" s="285"/>
      <c r="CG6" s="285"/>
      <c r="CH6" s="285"/>
      <c r="CI6" s="285"/>
      <c r="CJ6" s="285"/>
      <c r="CK6" s="285"/>
      <c r="CL6" s="285"/>
      <c r="CM6" s="285"/>
      <c r="CN6" s="285"/>
      <c r="CO6" s="285"/>
      <c r="CP6" s="285"/>
      <c r="CQ6" s="285"/>
      <c r="CR6" s="285"/>
    </row>
    <row r="7" spans="1:96" ht="15.6">
      <c r="A7" s="295" t="str">
        <f ca="1">'Co IS'!A7</f>
        <v>Months of Operation</v>
      </c>
      <c r="B7" s="283"/>
      <c r="C7" s="298">
        <f ca="1">'Co IS'!C7</f>
        <v>7</v>
      </c>
      <c r="D7" s="298">
        <f ca="1">'Co IS'!D7</f>
        <v>12</v>
      </c>
      <c r="E7" s="298">
        <f ca="1">'Co IS'!E7</f>
        <v>12</v>
      </c>
      <c r="F7" s="298">
        <f ca="1">'Co IS'!F7</f>
        <v>12</v>
      </c>
      <c r="G7" s="298">
        <f ca="1">'Co IS'!G7</f>
        <v>12</v>
      </c>
      <c r="H7" s="298">
        <f ca="1">'Co IS'!H7</f>
        <v>12</v>
      </c>
      <c r="I7" s="298">
        <f ca="1">'Co IS'!I7</f>
        <v>12</v>
      </c>
      <c r="J7" s="298">
        <f ca="1">'Co IS'!J7</f>
        <v>12</v>
      </c>
      <c r="K7" s="298">
        <f ca="1">'Co IS'!K7</f>
        <v>12</v>
      </c>
      <c r="L7" s="298">
        <f ca="1">'Co IS'!L7</f>
        <v>12</v>
      </c>
      <c r="M7" s="298">
        <f ca="1">'Co IS'!M7</f>
        <v>12</v>
      </c>
      <c r="N7" s="298">
        <f ca="1">'Co IS'!N7</f>
        <v>12</v>
      </c>
      <c r="O7" s="298">
        <f ca="1">'Co IS'!O7</f>
        <v>12</v>
      </c>
      <c r="P7" s="298">
        <f ca="1">'Co IS'!P7</f>
        <v>12</v>
      </c>
      <c r="Q7" s="298">
        <f ca="1">'Co IS'!Q7</f>
        <v>12</v>
      </c>
      <c r="R7" s="298">
        <f ca="1">'Co IS'!R7</f>
        <v>12</v>
      </c>
      <c r="S7" s="298">
        <f ca="1">'Co IS'!S7</f>
        <v>12</v>
      </c>
      <c r="T7" s="298">
        <f ca="1">'Co IS'!T7</f>
        <v>12</v>
      </c>
      <c r="U7" s="298">
        <f ca="1">'Co IS'!U7</f>
        <v>12</v>
      </c>
      <c r="V7" s="298">
        <f ca="1">'Co IS'!V7</f>
        <v>12</v>
      </c>
      <c r="W7" s="285"/>
      <c r="X7" s="285"/>
      <c r="Y7" s="285"/>
      <c r="Z7" s="285"/>
      <c r="AA7" s="285"/>
      <c r="AB7" s="285"/>
      <c r="AC7" s="285"/>
      <c r="AD7" s="285"/>
      <c r="AE7" s="285"/>
      <c r="AF7" s="285"/>
      <c r="AG7" s="285"/>
      <c r="AH7" s="285"/>
      <c r="AI7" s="285"/>
      <c r="AJ7" s="285"/>
      <c r="AK7" s="285"/>
      <c r="AL7" s="285"/>
      <c r="AM7" s="285"/>
      <c r="AN7" s="285"/>
      <c r="AO7" s="285"/>
      <c r="AP7" s="285"/>
      <c r="AQ7" s="285"/>
      <c r="AR7" s="285"/>
      <c r="AS7" s="285"/>
      <c r="AT7" s="285"/>
      <c r="AU7" s="285"/>
      <c r="AV7" s="285"/>
      <c r="AW7" s="285"/>
      <c r="AX7" s="285"/>
      <c r="AY7" s="285"/>
      <c r="AZ7" s="285"/>
      <c r="BA7" s="285"/>
      <c r="BB7" s="285"/>
      <c r="BC7" s="285"/>
      <c r="BD7" s="285"/>
      <c r="BE7" s="285"/>
      <c r="BF7" s="285"/>
      <c r="BG7" s="285"/>
      <c r="BH7" s="285"/>
      <c r="BI7" s="285"/>
      <c r="BJ7" s="285"/>
      <c r="BK7" s="285"/>
      <c r="BL7" s="285"/>
      <c r="BM7" s="285"/>
      <c r="BN7" s="285"/>
      <c r="BO7" s="285"/>
      <c r="BP7" s="285"/>
      <c r="BQ7" s="285"/>
      <c r="BR7" s="285"/>
      <c r="BS7" s="285"/>
      <c r="BT7" s="285"/>
      <c r="BU7" s="285"/>
      <c r="BV7" s="285"/>
      <c r="BW7" s="285"/>
      <c r="BX7" s="285"/>
      <c r="BY7" s="285"/>
      <c r="BZ7" s="285"/>
      <c r="CA7" s="285"/>
      <c r="CB7" s="285"/>
      <c r="CC7" s="285"/>
      <c r="CD7" s="285"/>
      <c r="CE7" s="285"/>
      <c r="CF7" s="285"/>
      <c r="CG7" s="285"/>
      <c r="CH7" s="285"/>
      <c r="CI7" s="285"/>
      <c r="CJ7" s="285"/>
      <c r="CK7" s="285"/>
      <c r="CL7" s="285"/>
      <c r="CM7" s="285"/>
      <c r="CN7" s="285"/>
      <c r="CO7" s="285"/>
      <c r="CP7" s="285"/>
      <c r="CQ7" s="285"/>
      <c r="CR7" s="285"/>
    </row>
    <row r="8" spans="1:96" ht="16.2" thickBot="1">
      <c r="A8" s="299"/>
      <c r="B8" s="283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285"/>
      <c r="X8" s="285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5"/>
      <c r="AJ8" s="285"/>
      <c r="AK8" s="285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5"/>
      <c r="AX8" s="285"/>
      <c r="AY8" s="285"/>
      <c r="AZ8" s="285"/>
      <c r="BA8" s="285"/>
      <c r="BB8" s="285"/>
      <c r="BC8" s="285"/>
      <c r="BD8" s="285"/>
      <c r="BE8" s="285"/>
      <c r="BF8" s="285"/>
      <c r="BG8" s="285"/>
      <c r="BH8" s="285"/>
      <c r="BI8" s="285"/>
      <c r="BJ8" s="285"/>
      <c r="BK8" s="285"/>
      <c r="BL8" s="285"/>
      <c r="BM8" s="285"/>
      <c r="BN8" s="285"/>
      <c r="BO8" s="285"/>
      <c r="BP8" s="285"/>
      <c r="BQ8" s="285"/>
      <c r="BR8" s="285"/>
      <c r="BS8" s="285"/>
      <c r="BT8" s="285"/>
      <c r="BU8" s="285"/>
      <c r="BV8" s="285"/>
      <c r="BW8" s="285"/>
      <c r="BX8" s="285"/>
      <c r="BY8" s="285"/>
      <c r="BZ8" s="285"/>
      <c r="CA8" s="285"/>
      <c r="CB8" s="285"/>
      <c r="CC8" s="285"/>
      <c r="CD8" s="285"/>
      <c r="CE8" s="285"/>
      <c r="CF8" s="285"/>
      <c r="CG8" s="285"/>
      <c r="CH8" s="285"/>
      <c r="CI8" s="285"/>
      <c r="CJ8" s="285"/>
      <c r="CK8" s="285"/>
      <c r="CL8" s="285"/>
      <c r="CM8" s="285"/>
      <c r="CN8" s="285"/>
      <c r="CO8" s="285"/>
      <c r="CP8" s="285"/>
      <c r="CQ8" s="285"/>
      <c r="CR8" s="285"/>
    </row>
    <row r="9" spans="1:96" ht="16.2" thickTop="1">
      <c r="A9" s="301" t="s">
        <v>281</v>
      </c>
      <c r="B9" s="302"/>
      <c r="C9" s="732"/>
      <c r="D9" s="733"/>
      <c r="E9" s="733"/>
      <c r="F9" s="733"/>
      <c r="G9" s="733"/>
      <c r="H9" s="733"/>
      <c r="I9" s="733"/>
      <c r="J9" s="733"/>
      <c r="K9" s="733"/>
      <c r="L9" s="733"/>
      <c r="M9" s="733"/>
      <c r="N9" s="733"/>
      <c r="O9" s="733"/>
      <c r="P9" s="733"/>
      <c r="Q9" s="733"/>
      <c r="R9" s="733"/>
      <c r="S9" s="733"/>
      <c r="T9" s="733"/>
      <c r="U9" s="733"/>
      <c r="V9" s="734"/>
      <c r="W9" s="731"/>
      <c r="X9" s="285"/>
      <c r="Y9" s="285"/>
      <c r="Z9" s="285"/>
      <c r="AA9" s="285"/>
      <c r="AB9" s="285"/>
      <c r="AC9" s="285"/>
      <c r="AD9" s="285"/>
      <c r="AE9" s="285"/>
      <c r="AF9" s="285"/>
      <c r="AG9" s="285"/>
      <c r="AH9" s="285"/>
      <c r="AI9" s="285"/>
      <c r="AJ9" s="285"/>
      <c r="AK9" s="285"/>
      <c r="AL9" s="285"/>
      <c r="AM9" s="285"/>
      <c r="AN9" s="285"/>
      <c r="AO9" s="285"/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5"/>
      <c r="BB9" s="285"/>
      <c r="BC9" s="285"/>
      <c r="BD9" s="285"/>
      <c r="BE9" s="285"/>
      <c r="BF9" s="285"/>
      <c r="BG9" s="285"/>
      <c r="BH9" s="285"/>
      <c r="BI9" s="285"/>
      <c r="BJ9" s="285"/>
      <c r="BK9" s="285"/>
      <c r="BL9" s="285"/>
      <c r="BM9" s="285"/>
      <c r="BN9" s="285"/>
      <c r="BO9" s="285"/>
      <c r="BP9" s="285"/>
      <c r="BQ9" s="285"/>
      <c r="BR9" s="285"/>
      <c r="BS9" s="285"/>
      <c r="BT9" s="285"/>
      <c r="BU9" s="285"/>
      <c r="BV9" s="285"/>
      <c r="BW9" s="285"/>
      <c r="BX9" s="285"/>
      <c r="BY9" s="285"/>
      <c r="BZ9" s="285"/>
      <c r="CA9" s="285"/>
      <c r="CB9" s="285"/>
      <c r="CC9" s="285"/>
      <c r="CD9" s="285"/>
      <c r="CE9" s="285"/>
      <c r="CF9" s="285"/>
      <c r="CG9" s="285"/>
      <c r="CH9" s="285"/>
      <c r="CI9" s="285"/>
      <c r="CJ9" s="285"/>
      <c r="CK9" s="285"/>
      <c r="CL9" s="285"/>
      <c r="CM9" s="285"/>
      <c r="CN9" s="285"/>
      <c r="CO9" s="285"/>
      <c r="CP9" s="285"/>
      <c r="CQ9" s="285"/>
      <c r="CR9" s="285"/>
    </row>
    <row r="10" spans="1:96" ht="15.6">
      <c r="A10" s="304" t="s">
        <v>282</v>
      </c>
      <c r="B10" s="300"/>
      <c r="C10" s="735">
        <f>Tariff!C23</f>
        <v>2670.6019857725</v>
      </c>
      <c r="D10" s="736">
        <f>Tariff!D23</f>
        <v>8535.1460549557978</v>
      </c>
      <c r="E10" s="736">
        <f>Tariff!E23</f>
        <v>8634.5230131309399</v>
      </c>
      <c r="F10" s="736">
        <f>Tariff!F23</f>
        <v>8843.4511175181378</v>
      </c>
      <c r="G10" s="736">
        <f>Tariff!G23</f>
        <v>9040.6333562818381</v>
      </c>
      <c r="H10" s="736">
        <f>Tariff!H23</f>
        <v>6618.2577418592673</v>
      </c>
      <c r="I10" s="736">
        <f>Tariff!I23</f>
        <v>8589.7344052949211</v>
      </c>
      <c r="J10" s="736">
        <f>Tariff!J23</f>
        <v>10759.145310641588</v>
      </c>
      <c r="K10" s="736">
        <f>Tariff!K23</f>
        <v>11016.859465760257</v>
      </c>
      <c r="L10" s="736">
        <f>Tariff!L23</f>
        <v>10402.806145686296</v>
      </c>
      <c r="M10" s="736">
        <f>Tariff!M23</f>
        <v>10613.950496424512</v>
      </c>
      <c r="N10" s="736">
        <f>Tariff!N23</f>
        <v>10065.807689282616</v>
      </c>
      <c r="O10" s="736">
        <f>Tariff!O23</f>
        <v>9828.1842643041964</v>
      </c>
      <c r="P10" s="736">
        <f>Tariff!P23</f>
        <v>9002.0239312495087</v>
      </c>
      <c r="Q10" s="736">
        <f>Tariff!Q23</f>
        <v>10633.654779665956</v>
      </c>
      <c r="R10" s="736">
        <f>Tariff!R23</f>
        <v>12213.685674306913</v>
      </c>
      <c r="S10" s="736">
        <f>Tariff!S23</f>
        <v>13797.396491410733</v>
      </c>
      <c r="T10" s="736">
        <f>Tariff!T23</f>
        <v>13904.796814559999</v>
      </c>
      <c r="U10" s="736">
        <f>Tariff!U23</f>
        <v>14388.47460655525</v>
      </c>
      <c r="V10" s="737">
        <f>Tariff!V23</f>
        <v>12153.671265220351</v>
      </c>
      <c r="W10" s="731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  <c r="AM10" s="285"/>
      <c r="AN10" s="285"/>
      <c r="AO10" s="285"/>
      <c r="AP10" s="285"/>
      <c r="AQ10" s="285"/>
      <c r="AR10" s="285"/>
      <c r="AS10" s="285"/>
      <c r="AT10" s="285"/>
      <c r="AU10" s="285"/>
      <c r="AV10" s="285"/>
      <c r="AW10" s="285"/>
      <c r="AX10" s="285"/>
      <c r="AY10" s="285"/>
      <c r="AZ10" s="285"/>
      <c r="BA10" s="285"/>
      <c r="BB10" s="285"/>
      <c r="BC10" s="285"/>
      <c r="BD10" s="285"/>
      <c r="BE10" s="285"/>
      <c r="BF10" s="285"/>
      <c r="BG10" s="285"/>
      <c r="BH10" s="285"/>
      <c r="BI10" s="285"/>
      <c r="BJ10" s="285"/>
      <c r="BK10" s="285"/>
      <c r="BL10" s="285"/>
      <c r="BM10" s="285"/>
      <c r="BN10" s="285"/>
      <c r="BO10" s="285"/>
      <c r="BP10" s="285"/>
      <c r="BQ10" s="285"/>
      <c r="BR10" s="285"/>
      <c r="BS10" s="285"/>
      <c r="BT10" s="285"/>
      <c r="BU10" s="285"/>
      <c r="BV10" s="285"/>
      <c r="BW10" s="285"/>
      <c r="BX10" s="285"/>
      <c r="BY10" s="285"/>
      <c r="BZ10" s="285"/>
      <c r="CA10" s="285"/>
      <c r="CB10" s="285"/>
      <c r="CC10" s="285"/>
      <c r="CD10" s="285"/>
      <c r="CE10" s="285"/>
      <c r="CF10" s="285"/>
      <c r="CG10" s="285"/>
      <c r="CH10" s="285"/>
      <c r="CI10" s="285"/>
      <c r="CJ10" s="285"/>
      <c r="CK10" s="285"/>
      <c r="CL10" s="285"/>
      <c r="CM10" s="285"/>
      <c r="CN10" s="285"/>
      <c r="CO10" s="285"/>
      <c r="CP10" s="285"/>
      <c r="CQ10" s="285"/>
      <c r="CR10" s="285"/>
    </row>
    <row r="11" spans="1:96" ht="15.6">
      <c r="A11" s="304" t="s">
        <v>283</v>
      </c>
      <c r="B11" s="300"/>
      <c r="C11" s="735">
        <f>Tariff!C29</f>
        <v>3028.465486322194</v>
      </c>
      <c r="D11" s="736">
        <f>Tariff!D29</f>
        <v>7912.7499637431865</v>
      </c>
      <c r="E11" s="736">
        <f>Tariff!E29</f>
        <v>7655.4394924636754</v>
      </c>
      <c r="F11" s="736">
        <f>Tariff!F29</f>
        <v>8061.4198831599469</v>
      </c>
      <c r="G11" s="736">
        <f>Tariff!G29</f>
        <v>8083.526717476715</v>
      </c>
      <c r="H11" s="736">
        <f>Tariff!H29</f>
        <v>5828.1366763630331</v>
      </c>
      <c r="I11" s="736">
        <f>Tariff!I29</f>
        <v>7637.9174252096363</v>
      </c>
      <c r="J11" s="736">
        <f>Tariff!J29</f>
        <v>9845.3570906857767</v>
      </c>
      <c r="K11" s="736">
        <f>Tariff!K29</f>
        <v>9955.0231008411083</v>
      </c>
      <c r="L11" s="736">
        <f>Tariff!L29</f>
        <v>9220.6198012628774</v>
      </c>
      <c r="M11" s="736">
        <f>Tariff!M29</f>
        <v>9354.9875191446135</v>
      </c>
      <c r="N11" s="736">
        <f>Tariff!N29</f>
        <v>8831.3797809957505</v>
      </c>
      <c r="O11" s="736">
        <f>Tariff!O29</f>
        <v>8892.4466391200676</v>
      </c>
      <c r="P11" s="736">
        <f>Tariff!P29</f>
        <v>8043.9230909434364</v>
      </c>
      <c r="Q11" s="736">
        <f>Tariff!Q29</f>
        <v>9481.7601106008115</v>
      </c>
      <c r="R11" s="736">
        <f>Tariff!R29</f>
        <v>11224.822459980584</v>
      </c>
      <c r="S11" s="736">
        <f>Tariff!S29</f>
        <v>12855.472668114626</v>
      </c>
      <c r="T11" s="736">
        <f>Tariff!T29</f>
        <v>13011.623076007696</v>
      </c>
      <c r="U11" s="736">
        <f>Tariff!U29</f>
        <v>13549.976479515202</v>
      </c>
      <c r="V11" s="737">
        <f>Tariff!V29</f>
        <v>11043.297311110464</v>
      </c>
      <c r="W11" s="731"/>
      <c r="X11" s="285"/>
      <c r="Y11" s="285"/>
      <c r="Z11" s="285"/>
      <c r="AA11" s="285"/>
      <c r="AB11" s="285"/>
      <c r="AC11" s="285"/>
      <c r="AD11" s="285"/>
      <c r="AE11" s="285"/>
      <c r="AF11" s="285"/>
      <c r="AG11" s="285"/>
      <c r="AH11" s="285"/>
      <c r="AI11" s="285"/>
      <c r="AJ11" s="285"/>
      <c r="AK11" s="285"/>
      <c r="AL11" s="285"/>
      <c r="AM11" s="285"/>
      <c r="AN11" s="285"/>
      <c r="AO11" s="285"/>
      <c r="AP11" s="285"/>
      <c r="AQ11" s="285"/>
      <c r="AR11" s="285"/>
      <c r="AS11" s="285"/>
      <c r="AT11" s="285"/>
      <c r="AU11" s="285"/>
      <c r="AV11" s="285"/>
      <c r="AW11" s="285"/>
      <c r="AX11" s="285"/>
      <c r="AY11" s="285"/>
      <c r="AZ11" s="285"/>
      <c r="BA11" s="285"/>
      <c r="BB11" s="285"/>
      <c r="BC11" s="285"/>
      <c r="BD11" s="285"/>
      <c r="BE11" s="285"/>
      <c r="BF11" s="285"/>
      <c r="BG11" s="285"/>
      <c r="BH11" s="285"/>
      <c r="BI11" s="285"/>
      <c r="BJ11" s="285"/>
      <c r="BK11" s="285"/>
      <c r="BL11" s="285"/>
      <c r="BM11" s="285"/>
      <c r="BN11" s="285"/>
      <c r="BO11" s="285"/>
      <c r="BP11" s="285"/>
      <c r="BQ11" s="285"/>
      <c r="BR11" s="285"/>
      <c r="BS11" s="285"/>
      <c r="BT11" s="285"/>
      <c r="BU11" s="285"/>
      <c r="BV11" s="285"/>
      <c r="BW11" s="285"/>
      <c r="BX11" s="285"/>
      <c r="BY11" s="285"/>
      <c r="BZ11" s="285"/>
      <c r="CA11" s="285"/>
      <c r="CB11" s="285"/>
      <c r="CC11" s="285"/>
      <c r="CD11" s="285"/>
      <c r="CE11" s="285"/>
      <c r="CF11" s="285"/>
      <c r="CG11" s="285"/>
      <c r="CH11" s="285"/>
      <c r="CI11" s="285"/>
      <c r="CJ11" s="285"/>
      <c r="CK11" s="285"/>
      <c r="CL11" s="285"/>
      <c r="CM11" s="285"/>
      <c r="CN11" s="285"/>
      <c r="CO11" s="285"/>
      <c r="CP11" s="285"/>
      <c r="CQ11" s="285"/>
      <c r="CR11" s="285"/>
    </row>
    <row r="12" spans="1:96" ht="15.6">
      <c r="A12" s="304" t="s">
        <v>284</v>
      </c>
      <c r="B12" s="300"/>
      <c r="C12" s="738">
        <f>Tariff!C34</f>
        <v>9096.9885575593562</v>
      </c>
      <c r="D12" s="739">
        <f>Tariff!D34</f>
        <v>24969.329618222044</v>
      </c>
      <c r="E12" s="739">
        <f>Tariff!E34</f>
        <v>24953.239630039927</v>
      </c>
      <c r="F12" s="739">
        <f>Tariff!F34</f>
        <v>25916.861991501624</v>
      </c>
      <c r="G12" s="739">
        <f>Tariff!G34</f>
        <v>26004.163136320436</v>
      </c>
      <c r="H12" s="739">
        <f>Tariff!H34</f>
        <v>22029.730420557811</v>
      </c>
      <c r="I12" s="739">
        <f>Tariff!I34</f>
        <v>25832.444698313033</v>
      </c>
      <c r="J12" s="739">
        <f>Tariff!J34</f>
        <v>29838.48549015119</v>
      </c>
      <c r="K12" s="739">
        <f>Tariff!K34</f>
        <v>30212.118526126778</v>
      </c>
      <c r="L12" s="739">
        <f>Tariff!L34</f>
        <v>29552.425024262608</v>
      </c>
      <c r="M12" s="739">
        <f>Tariff!M34</f>
        <v>30145.191414116238</v>
      </c>
      <c r="N12" s="739">
        <f>Tariff!N34</f>
        <v>29608.482059286162</v>
      </c>
      <c r="O12" s="739">
        <f>Tariff!O34</f>
        <v>30318.421751258113</v>
      </c>
      <c r="P12" s="739">
        <f>Tariff!P34</f>
        <v>29037.647071435193</v>
      </c>
      <c r="Q12" s="739">
        <f>Tariff!Q34</f>
        <v>31932.069320129191</v>
      </c>
      <c r="R12" s="739">
        <f>Tariff!R34</f>
        <v>34619.491899677727</v>
      </c>
      <c r="S12" s="739">
        <f>Tariff!S34</f>
        <v>37491.533048382487</v>
      </c>
      <c r="T12" s="739">
        <f>Tariff!T34</f>
        <v>38148.972588033845</v>
      </c>
      <c r="U12" s="739">
        <f>Tariff!U34</f>
        <v>39594.909535552164</v>
      </c>
      <c r="V12" s="740">
        <f>Tariff!V34</f>
        <v>36082.035749385941</v>
      </c>
      <c r="W12" s="731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5"/>
      <c r="AM12" s="285"/>
      <c r="AN12" s="285"/>
      <c r="AO12" s="285"/>
      <c r="AP12" s="285"/>
      <c r="AQ12" s="285"/>
      <c r="AR12" s="285"/>
      <c r="AS12" s="285"/>
      <c r="AT12" s="285"/>
      <c r="AU12" s="285"/>
      <c r="AV12" s="285"/>
      <c r="AW12" s="285"/>
      <c r="AX12" s="285"/>
      <c r="AY12" s="285"/>
      <c r="AZ12" s="285"/>
      <c r="BA12" s="285"/>
      <c r="BB12" s="285"/>
      <c r="BC12" s="285"/>
      <c r="BD12" s="285"/>
      <c r="BE12" s="285"/>
      <c r="BF12" s="285"/>
      <c r="BG12" s="285"/>
      <c r="BH12" s="285"/>
      <c r="BI12" s="285"/>
      <c r="BJ12" s="285"/>
      <c r="BK12" s="285"/>
      <c r="BL12" s="285"/>
      <c r="BM12" s="285"/>
      <c r="BN12" s="285"/>
      <c r="BO12" s="285"/>
      <c r="BP12" s="285"/>
      <c r="BQ12" s="285"/>
      <c r="BR12" s="285"/>
      <c r="BS12" s="285"/>
      <c r="BT12" s="285"/>
      <c r="BU12" s="285"/>
      <c r="BV12" s="285"/>
      <c r="BW12" s="285"/>
      <c r="BX12" s="285"/>
      <c r="BY12" s="285"/>
      <c r="BZ12" s="285"/>
      <c r="CA12" s="285"/>
      <c r="CB12" s="285"/>
      <c r="CC12" s="285"/>
      <c r="CD12" s="285"/>
      <c r="CE12" s="285"/>
      <c r="CF12" s="285"/>
      <c r="CG12" s="285"/>
      <c r="CH12" s="285"/>
      <c r="CI12" s="285"/>
      <c r="CJ12" s="285"/>
      <c r="CK12" s="285"/>
      <c r="CL12" s="285"/>
      <c r="CM12" s="285"/>
      <c r="CN12" s="285"/>
      <c r="CO12" s="285"/>
      <c r="CP12" s="285"/>
      <c r="CQ12" s="285"/>
      <c r="CR12" s="285"/>
    </row>
    <row r="13" spans="1:96" ht="15.6">
      <c r="A13" s="306" t="s">
        <v>285</v>
      </c>
      <c r="B13" s="300"/>
      <c r="C13" s="735">
        <f t="shared" ref="C13:V13" si="0">SUM(C10:C12)</f>
        <v>14796.05602965405</v>
      </c>
      <c r="D13" s="736">
        <f t="shared" si="0"/>
        <v>41417.22563692103</v>
      </c>
      <c r="E13" s="736">
        <f t="shared" si="0"/>
        <v>41243.202135634543</v>
      </c>
      <c r="F13" s="736">
        <f t="shared" si="0"/>
        <v>42821.732992179706</v>
      </c>
      <c r="G13" s="736">
        <f t="shared" si="0"/>
        <v>43128.32321007899</v>
      </c>
      <c r="H13" s="736">
        <f t="shared" si="0"/>
        <v>34476.12483878011</v>
      </c>
      <c r="I13" s="736">
        <f t="shared" si="0"/>
        <v>42060.096528817594</v>
      </c>
      <c r="J13" s="736">
        <f t="shared" si="0"/>
        <v>50442.987891478551</v>
      </c>
      <c r="K13" s="736">
        <f t="shared" si="0"/>
        <v>51184.00109272814</v>
      </c>
      <c r="L13" s="736">
        <f t="shared" si="0"/>
        <v>49175.850971211781</v>
      </c>
      <c r="M13" s="736">
        <f t="shared" si="0"/>
        <v>50114.129429685359</v>
      </c>
      <c r="N13" s="736">
        <f t="shared" si="0"/>
        <v>48505.669529564533</v>
      </c>
      <c r="O13" s="736">
        <f t="shared" si="0"/>
        <v>49039.052654682382</v>
      </c>
      <c r="P13" s="736">
        <f t="shared" si="0"/>
        <v>46083.59409362814</v>
      </c>
      <c r="Q13" s="736">
        <f t="shared" si="0"/>
        <v>52047.484210395953</v>
      </c>
      <c r="R13" s="736">
        <f t="shared" si="0"/>
        <v>58058.000033965225</v>
      </c>
      <c r="S13" s="736">
        <f t="shared" si="0"/>
        <v>64144.402207907842</v>
      </c>
      <c r="T13" s="736">
        <f t="shared" si="0"/>
        <v>65065.392478601541</v>
      </c>
      <c r="U13" s="736">
        <f t="shared" si="0"/>
        <v>67533.360621622618</v>
      </c>
      <c r="V13" s="737">
        <f t="shared" si="0"/>
        <v>59279.004325716756</v>
      </c>
      <c r="W13" s="731"/>
      <c r="X13" s="285"/>
      <c r="Y13" s="285"/>
      <c r="Z13" s="285"/>
      <c r="AA13" s="285"/>
      <c r="AB13" s="285"/>
      <c r="AC13" s="285"/>
      <c r="AD13" s="285"/>
      <c r="AE13" s="285"/>
      <c r="AF13" s="285"/>
      <c r="AG13" s="285"/>
      <c r="AH13" s="285"/>
      <c r="AI13" s="285"/>
      <c r="AJ13" s="285"/>
      <c r="AK13" s="285"/>
      <c r="AL13" s="285"/>
      <c r="AM13" s="285"/>
      <c r="AN13" s="285"/>
      <c r="AO13" s="285"/>
      <c r="AP13" s="285"/>
      <c r="AQ13" s="285"/>
      <c r="AR13" s="285"/>
      <c r="AS13" s="285"/>
      <c r="AT13" s="285"/>
      <c r="AU13" s="285"/>
      <c r="AV13" s="285"/>
      <c r="AW13" s="285"/>
      <c r="AX13" s="285"/>
      <c r="AY13" s="285"/>
      <c r="AZ13" s="285"/>
      <c r="BA13" s="285"/>
      <c r="BB13" s="285"/>
      <c r="BC13" s="285"/>
      <c r="BD13" s="285"/>
      <c r="BE13" s="285"/>
      <c r="BF13" s="285"/>
      <c r="BG13" s="285"/>
      <c r="BH13" s="285"/>
      <c r="BI13" s="285"/>
      <c r="BJ13" s="285"/>
      <c r="BK13" s="285"/>
      <c r="BL13" s="285"/>
      <c r="BM13" s="285"/>
      <c r="BN13" s="285"/>
      <c r="BO13" s="285"/>
      <c r="BP13" s="285"/>
      <c r="BQ13" s="285"/>
      <c r="BR13" s="285"/>
      <c r="BS13" s="285"/>
      <c r="BT13" s="285"/>
      <c r="BU13" s="285"/>
      <c r="BV13" s="285"/>
      <c r="BW13" s="285"/>
      <c r="BX13" s="285"/>
      <c r="BY13" s="285"/>
      <c r="BZ13" s="285"/>
      <c r="CA13" s="285"/>
      <c r="CB13" s="285"/>
      <c r="CC13" s="285"/>
      <c r="CD13" s="285"/>
      <c r="CE13" s="285"/>
      <c r="CF13" s="285"/>
      <c r="CG13" s="285"/>
      <c r="CH13" s="285"/>
      <c r="CI13" s="285"/>
      <c r="CJ13" s="285"/>
      <c r="CK13" s="285"/>
      <c r="CL13" s="285"/>
      <c r="CM13" s="285"/>
      <c r="CN13" s="285"/>
      <c r="CO13" s="285"/>
      <c r="CP13" s="285"/>
      <c r="CQ13" s="285"/>
      <c r="CR13" s="285"/>
    </row>
    <row r="14" spans="1:96" ht="15.6">
      <c r="A14" s="307"/>
      <c r="B14" s="283"/>
      <c r="C14" s="741"/>
      <c r="D14" s="742"/>
      <c r="E14" s="742"/>
      <c r="F14" s="742"/>
      <c r="G14" s="742"/>
      <c r="H14" s="743"/>
      <c r="I14" s="742"/>
      <c r="J14" s="742"/>
      <c r="K14" s="742"/>
      <c r="L14" s="742"/>
      <c r="M14" s="742"/>
      <c r="N14" s="742"/>
      <c r="O14" s="742"/>
      <c r="P14" s="742"/>
      <c r="Q14" s="742"/>
      <c r="R14" s="742"/>
      <c r="S14" s="742"/>
      <c r="T14" s="742"/>
      <c r="U14" s="742"/>
      <c r="V14" s="744"/>
      <c r="W14" s="731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5"/>
      <c r="BI14" s="285"/>
      <c r="BJ14" s="285"/>
      <c r="BK14" s="285"/>
      <c r="BL14" s="285"/>
      <c r="BM14" s="285"/>
      <c r="BN14" s="285"/>
      <c r="BO14" s="285"/>
      <c r="BP14" s="285"/>
      <c r="BQ14" s="285"/>
      <c r="BR14" s="285"/>
      <c r="BS14" s="285"/>
      <c r="BT14" s="285"/>
      <c r="BU14" s="285"/>
      <c r="BV14" s="285"/>
      <c r="BW14" s="285"/>
      <c r="BX14" s="285"/>
      <c r="BY14" s="285"/>
      <c r="BZ14" s="285"/>
      <c r="CA14" s="285"/>
      <c r="CB14" s="285"/>
      <c r="CC14" s="285"/>
      <c r="CD14" s="285"/>
      <c r="CE14" s="285"/>
      <c r="CF14" s="285"/>
      <c r="CG14" s="285"/>
      <c r="CH14" s="285"/>
      <c r="CI14" s="285"/>
      <c r="CJ14" s="285"/>
      <c r="CK14" s="285"/>
      <c r="CL14" s="285"/>
      <c r="CM14" s="285"/>
      <c r="CN14" s="285"/>
      <c r="CO14" s="285"/>
      <c r="CP14" s="285"/>
      <c r="CQ14" s="285"/>
      <c r="CR14" s="285"/>
    </row>
    <row r="15" spans="1:96" ht="15.6">
      <c r="A15" s="307" t="s">
        <v>286</v>
      </c>
      <c r="B15" s="283"/>
      <c r="C15" s="745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6"/>
      <c r="O15" s="746"/>
      <c r="P15" s="746"/>
      <c r="Q15" s="746"/>
      <c r="R15" s="746"/>
      <c r="S15" s="746"/>
      <c r="T15" s="746"/>
      <c r="U15" s="746"/>
      <c r="V15" s="747"/>
      <c r="W15" s="731"/>
      <c r="X15" s="285"/>
      <c r="Y15" s="285"/>
      <c r="Z15" s="285"/>
      <c r="AA15" s="285"/>
      <c r="AB15" s="285"/>
      <c r="AC15" s="285"/>
      <c r="AD15" s="285"/>
      <c r="AE15" s="285"/>
      <c r="AF15" s="285"/>
      <c r="AG15" s="285"/>
      <c r="AH15" s="285"/>
      <c r="AI15" s="285"/>
      <c r="AJ15" s="285"/>
      <c r="AK15" s="285"/>
      <c r="AL15" s="285"/>
      <c r="AM15" s="285"/>
      <c r="AN15" s="285"/>
      <c r="AO15" s="285"/>
      <c r="AP15" s="285"/>
      <c r="AQ15" s="285"/>
      <c r="AR15" s="285"/>
      <c r="AS15" s="285"/>
      <c r="AT15" s="285"/>
      <c r="AU15" s="285"/>
      <c r="AV15" s="285"/>
      <c r="AW15" s="285"/>
      <c r="AX15" s="285"/>
      <c r="AY15" s="285"/>
      <c r="AZ15" s="285"/>
      <c r="BA15" s="285"/>
      <c r="BB15" s="285"/>
      <c r="BC15" s="285"/>
      <c r="BD15" s="285"/>
      <c r="BE15" s="285"/>
      <c r="BF15" s="285"/>
      <c r="BG15" s="285"/>
      <c r="BH15" s="285"/>
      <c r="BI15" s="285"/>
      <c r="BJ15" s="285"/>
      <c r="BK15" s="285"/>
      <c r="BL15" s="285"/>
      <c r="BM15" s="285"/>
      <c r="BN15" s="285"/>
      <c r="BO15" s="285"/>
      <c r="BP15" s="285"/>
      <c r="BQ15" s="285"/>
      <c r="BR15" s="285"/>
      <c r="BS15" s="285"/>
      <c r="BT15" s="285"/>
      <c r="BU15" s="285"/>
      <c r="BV15" s="285"/>
      <c r="BW15" s="285"/>
      <c r="BX15" s="285"/>
      <c r="BY15" s="285"/>
      <c r="BZ15" s="285"/>
      <c r="CA15" s="285"/>
      <c r="CB15" s="285"/>
      <c r="CC15" s="285"/>
      <c r="CD15" s="285"/>
      <c r="CE15" s="285"/>
      <c r="CF15" s="285"/>
      <c r="CG15" s="285"/>
      <c r="CH15" s="285"/>
      <c r="CI15" s="285"/>
      <c r="CJ15" s="285"/>
      <c r="CK15" s="285"/>
      <c r="CL15" s="285"/>
      <c r="CM15" s="285"/>
      <c r="CN15" s="285"/>
      <c r="CO15" s="285"/>
      <c r="CP15" s="285"/>
      <c r="CQ15" s="285"/>
      <c r="CR15" s="285"/>
    </row>
    <row r="16" spans="1:96" ht="15.6">
      <c r="A16" s="308" t="s">
        <v>287</v>
      </c>
      <c r="B16" s="283"/>
      <c r="C16" s="735">
        <f ca="1">FUEL!C88</f>
        <v>2422.5367338246688</v>
      </c>
      <c r="D16" s="736">
        <f ca="1">FUEL!D88</f>
        <v>7479.5135160014624</v>
      </c>
      <c r="E16" s="736">
        <f ca="1">FUEL!E88</f>
        <v>8363.3032782439604</v>
      </c>
      <c r="F16" s="736">
        <f ca="1">FUEL!F88</f>
        <v>8858.1597919343876</v>
      </c>
      <c r="G16" s="736">
        <f ca="1">FUEL!G88</f>
        <v>8649.2037442468663</v>
      </c>
      <c r="H16" s="736">
        <f ca="1">FUEL!H88</f>
        <v>8438.6746983976063</v>
      </c>
      <c r="I16" s="736">
        <f ca="1">FUEL!I88</f>
        <v>8939.7586871747171</v>
      </c>
      <c r="J16" s="736">
        <f ca="1">FUEL!J88</f>
        <v>9415.9209751249382</v>
      </c>
      <c r="K16" s="736">
        <f ca="1">FUEL!K88</f>
        <v>9597.1475971032123</v>
      </c>
      <c r="L16" s="736">
        <f ca="1">FUEL!L88</f>
        <v>9695.6894349314152</v>
      </c>
      <c r="M16" s="736">
        <f ca="1">FUEL!M88</f>
        <v>9878.0146321325083</v>
      </c>
      <c r="N16" s="736">
        <f ca="1">FUEL!N88</f>
        <v>10000.673485074472</v>
      </c>
      <c r="O16" s="736">
        <f ca="1">FUEL!O88</f>
        <v>10565.153439807755</v>
      </c>
      <c r="P16" s="736">
        <f ca="1">FUEL!P88</f>
        <v>10658.67603260217</v>
      </c>
      <c r="Q16" s="736">
        <f ca="1">FUEL!Q88</f>
        <v>11079.901920796188</v>
      </c>
      <c r="R16" s="736">
        <f ca="1">FUEL!R88</f>
        <v>11354.189170162097</v>
      </c>
      <c r="S16" s="736">
        <f ca="1">FUEL!S88</f>
        <v>11768.693325210694</v>
      </c>
      <c r="T16" s="736">
        <f ca="1">FUEL!T88</f>
        <v>12013.159254115955</v>
      </c>
      <c r="U16" s="736">
        <f ca="1">FUEL!U88</f>
        <v>12362.516756547986</v>
      </c>
      <c r="V16" s="737">
        <f ca="1">FUEL!V88</f>
        <v>12274.783414374866</v>
      </c>
      <c r="W16" s="731"/>
      <c r="X16" s="285"/>
      <c r="Y16" s="285"/>
      <c r="Z16" s="285"/>
      <c r="AA16" s="285"/>
      <c r="AB16" s="285"/>
      <c r="AC16" s="285"/>
      <c r="AD16" s="285"/>
      <c r="AE16" s="285"/>
      <c r="AF16" s="285"/>
      <c r="AG16" s="285"/>
      <c r="AH16" s="285"/>
      <c r="AI16" s="285"/>
      <c r="AJ16" s="285"/>
      <c r="AK16" s="285"/>
      <c r="AL16" s="285"/>
      <c r="AM16" s="285"/>
      <c r="AN16" s="285"/>
      <c r="AO16" s="285"/>
      <c r="AP16" s="285"/>
      <c r="AQ16" s="285"/>
      <c r="AR16" s="285"/>
      <c r="AS16" s="285"/>
      <c r="AT16" s="285"/>
      <c r="AU16" s="285"/>
      <c r="AV16" s="285"/>
      <c r="AW16" s="285"/>
      <c r="AX16" s="285"/>
      <c r="AY16" s="285"/>
      <c r="AZ16" s="285"/>
      <c r="BA16" s="285"/>
      <c r="BB16" s="285"/>
      <c r="BC16" s="285"/>
      <c r="BD16" s="285"/>
      <c r="BE16" s="285"/>
      <c r="BF16" s="285"/>
      <c r="BG16" s="285"/>
      <c r="BH16" s="285"/>
      <c r="BI16" s="285"/>
      <c r="BJ16" s="285"/>
      <c r="BK16" s="285"/>
      <c r="BL16" s="285"/>
      <c r="BM16" s="285"/>
      <c r="BN16" s="285"/>
      <c r="BO16" s="285"/>
      <c r="BP16" s="285"/>
      <c r="BQ16" s="285"/>
      <c r="BR16" s="285"/>
      <c r="BS16" s="285"/>
      <c r="BT16" s="285"/>
      <c r="BU16" s="285"/>
      <c r="BV16" s="285"/>
      <c r="BW16" s="285"/>
      <c r="BX16" s="285"/>
      <c r="BY16" s="285"/>
      <c r="BZ16" s="285"/>
      <c r="CA16" s="285"/>
      <c r="CB16" s="285"/>
      <c r="CC16" s="285"/>
      <c r="CD16" s="285"/>
      <c r="CE16" s="285"/>
      <c r="CF16" s="285"/>
      <c r="CG16" s="285"/>
      <c r="CH16" s="285"/>
      <c r="CI16" s="285"/>
      <c r="CJ16" s="285"/>
      <c r="CK16" s="285"/>
      <c r="CL16" s="285"/>
      <c r="CM16" s="285"/>
      <c r="CN16" s="285"/>
      <c r="CO16" s="285"/>
      <c r="CP16" s="285"/>
      <c r="CQ16" s="285"/>
      <c r="CR16" s="285"/>
    </row>
    <row r="17" spans="1:96" ht="15.6">
      <c r="A17" s="308" t="s">
        <v>288</v>
      </c>
      <c r="B17" s="283"/>
      <c r="C17" s="735">
        <f ca="1">OandM!C18</f>
        <v>2061.1030478623411</v>
      </c>
      <c r="D17" s="736">
        <f ca="1">OandM!D18</f>
        <v>4979.7354441333791</v>
      </c>
      <c r="E17" s="736">
        <f ca="1">OandM!E18</f>
        <v>5135.5445725448271</v>
      </c>
      <c r="F17" s="736">
        <f ca="1">OandM!F18</f>
        <v>5273.9894022795052</v>
      </c>
      <c r="G17" s="736">
        <f ca="1">OandM!G18</f>
        <v>5376.8765778589532</v>
      </c>
      <c r="H17" s="736">
        <f ca="1">OandM!H18</f>
        <v>5482.6549400119911</v>
      </c>
      <c r="I17" s="736">
        <f ca="1">OandM!I18</f>
        <v>5630.6645354992579</v>
      </c>
      <c r="J17" s="736">
        <f ca="1">OandM!J18</f>
        <v>5780.5280022931474</v>
      </c>
      <c r="K17" s="736">
        <f ca="1">OandM!K18</f>
        <v>5917.4266243063003</v>
      </c>
      <c r="L17" s="736">
        <f ca="1">OandM!L18</f>
        <v>6053.339559167588</v>
      </c>
      <c r="M17" s="736">
        <f ca="1">OandM!M18</f>
        <v>6197.3795394248273</v>
      </c>
      <c r="N17" s="736">
        <f ca="1">OandM!N18</f>
        <v>6341.7743378657533</v>
      </c>
      <c r="O17" s="736">
        <f ca="1">OandM!O18</f>
        <v>6514.1935527845626</v>
      </c>
      <c r="P17" s="736">
        <f ca="1">OandM!P18</f>
        <v>6664.4097214151043</v>
      </c>
      <c r="Q17" s="736">
        <f ca="1">OandM!Q18</f>
        <v>6836.5693008623712</v>
      </c>
      <c r="R17" s="736">
        <f ca="1">OandM!R18</f>
        <v>6988.5864669146094</v>
      </c>
      <c r="S17" s="736">
        <f ca="1">OandM!S18</f>
        <v>7168.0447029391062</v>
      </c>
      <c r="T17" s="736">
        <f ca="1">OandM!T18</f>
        <v>7342.6304141428946</v>
      </c>
      <c r="U17" s="736">
        <f ca="1">OandM!U18</f>
        <v>7527.1740338114059</v>
      </c>
      <c r="V17" s="737">
        <f ca="1">OandM!V18</f>
        <v>7692.7422445834436</v>
      </c>
      <c r="W17" s="731"/>
      <c r="X17" s="285"/>
      <c r="Y17" s="285"/>
      <c r="Z17" s="285"/>
      <c r="AA17" s="285"/>
      <c r="AB17" s="285"/>
      <c r="AC17" s="285"/>
      <c r="AD17" s="285"/>
      <c r="AE17" s="285"/>
      <c r="AF17" s="285"/>
      <c r="AG17" s="285"/>
      <c r="AH17" s="285"/>
      <c r="AI17" s="285"/>
      <c r="AJ17" s="285"/>
      <c r="AK17" s="285"/>
      <c r="AL17" s="285"/>
      <c r="AM17" s="285"/>
      <c r="AN17" s="285"/>
      <c r="AO17" s="285"/>
      <c r="AP17" s="285"/>
      <c r="AQ17" s="285"/>
      <c r="AR17" s="285"/>
      <c r="AS17" s="285"/>
      <c r="AT17" s="285"/>
      <c r="AU17" s="285"/>
      <c r="AV17" s="285"/>
      <c r="AW17" s="285"/>
      <c r="AX17" s="285"/>
      <c r="AY17" s="285"/>
      <c r="AZ17" s="285"/>
      <c r="BA17" s="285"/>
      <c r="BB17" s="285"/>
      <c r="BC17" s="285"/>
      <c r="BD17" s="285"/>
      <c r="BE17" s="285"/>
      <c r="BF17" s="285"/>
      <c r="BG17" s="285"/>
      <c r="BH17" s="285"/>
      <c r="BI17" s="285"/>
      <c r="BJ17" s="285"/>
      <c r="BK17" s="285"/>
      <c r="BL17" s="285"/>
      <c r="BM17" s="285"/>
      <c r="BN17" s="285"/>
      <c r="BO17" s="285"/>
      <c r="BP17" s="285"/>
      <c r="BQ17" s="285"/>
      <c r="BR17" s="285"/>
      <c r="BS17" s="285"/>
      <c r="BT17" s="285"/>
      <c r="BU17" s="285"/>
      <c r="BV17" s="285"/>
      <c r="BW17" s="285"/>
      <c r="BX17" s="285"/>
      <c r="BY17" s="285"/>
      <c r="BZ17" s="285"/>
      <c r="CA17" s="285"/>
      <c r="CB17" s="285"/>
      <c r="CC17" s="285"/>
      <c r="CD17" s="285"/>
      <c r="CE17" s="285"/>
      <c r="CF17" s="285"/>
      <c r="CG17" s="285"/>
      <c r="CH17" s="285"/>
      <c r="CI17" s="285"/>
      <c r="CJ17" s="285"/>
      <c r="CK17" s="285"/>
      <c r="CL17" s="285"/>
      <c r="CM17" s="285"/>
      <c r="CN17" s="285"/>
      <c r="CO17" s="285"/>
      <c r="CP17" s="285"/>
      <c r="CQ17" s="285"/>
      <c r="CR17" s="285"/>
    </row>
    <row r="18" spans="1:96" ht="15.6">
      <c r="A18" s="308" t="s">
        <v>289</v>
      </c>
      <c r="B18" s="283"/>
      <c r="C18" s="738">
        <f ca="1">OandM!C32</f>
        <v>180.5138361779243</v>
      </c>
      <c r="D18" s="739">
        <f ca="1">OandM!D32</f>
        <v>1019.4494150267261</v>
      </c>
      <c r="E18" s="739">
        <f ca="1">OandM!E32</f>
        <v>1022.6769264690072</v>
      </c>
      <c r="F18" s="739">
        <f ca="1">OandM!F32</f>
        <v>789.19843846399613</v>
      </c>
      <c r="G18" s="739">
        <f ca="1">OandM!G32</f>
        <v>795.54341548832792</v>
      </c>
      <c r="H18" s="739">
        <f ca="1">OandM!H32</f>
        <v>748.25730774182796</v>
      </c>
      <c r="I18" s="739">
        <f ca="1">OandM!I32</f>
        <v>798.51315159034107</v>
      </c>
      <c r="J18" s="739">
        <f ca="1">OandM!J32</f>
        <v>853.69081784471882</v>
      </c>
      <c r="K18" s="739">
        <f ca="1">OandM!K32</f>
        <v>863.14898371874551</v>
      </c>
      <c r="L18" s="739">
        <f ca="1">OandM!L32</f>
        <v>856.2474959961728</v>
      </c>
      <c r="M18" s="739">
        <f ca="1">OandM!M32</f>
        <v>867.16355990471584</v>
      </c>
      <c r="N18" s="739">
        <f ca="1">OandM!N32</f>
        <v>862.94192627695031</v>
      </c>
      <c r="O18" s="739">
        <f ca="1">OandM!O32</f>
        <v>871.7179371964869</v>
      </c>
      <c r="P18" s="739">
        <f ca="1">OandM!P32</f>
        <v>859.71144222754924</v>
      </c>
      <c r="Q18" s="739">
        <f ca="1">OandM!Q32</f>
        <v>901.37564824827359</v>
      </c>
      <c r="R18" s="739">
        <f ca="1">OandM!R32</f>
        <v>943.47839187344971</v>
      </c>
      <c r="S18" s="739">
        <f ca="1">OandM!S32</f>
        <v>986.19952411532734</v>
      </c>
      <c r="T18" s="739">
        <f ca="1">OandM!T32</f>
        <v>998.0956583560635</v>
      </c>
      <c r="U18" s="739">
        <f ca="1">OandM!U32</f>
        <v>1019.4456550314117</v>
      </c>
      <c r="V18" s="740">
        <f ca="1">OandM!V32</f>
        <v>976.63834414426287</v>
      </c>
      <c r="W18" s="731"/>
      <c r="X18" s="285"/>
      <c r="Y18" s="285"/>
      <c r="Z18" s="285"/>
      <c r="AA18" s="285"/>
      <c r="AB18" s="285"/>
      <c r="AC18" s="285"/>
      <c r="AD18" s="285"/>
      <c r="AE18" s="285"/>
      <c r="AF18" s="285"/>
      <c r="AG18" s="285"/>
      <c r="AH18" s="285"/>
      <c r="AI18" s="285"/>
      <c r="AJ18" s="285"/>
      <c r="AK18" s="285"/>
      <c r="AL18" s="285"/>
      <c r="AM18" s="285"/>
      <c r="AN18" s="285"/>
      <c r="AO18" s="285"/>
      <c r="AP18" s="285"/>
      <c r="AQ18" s="285"/>
      <c r="AR18" s="285"/>
      <c r="AS18" s="285"/>
      <c r="AT18" s="285"/>
      <c r="AU18" s="285"/>
      <c r="AV18" s="285"/>
      <c r="AW18" s="285"/>
      <c r="AX18" s="285"/>
      <c r="AY18" s="285"/>
      <c r="AZ18" s="285"/>
      <c r="BA18" s="285"/>
      <c r="BB18" s="285"/>
      <c r="BC18" s="285"/>
      <c r="BD18" s="285"/>
      <c r="BE18" s="285"/>
      <c r="BF18" s="285"/>
      <c r="BG18" s="285"/>
      <c r="BH18" s="285"/>
      <c r="BI18" s="285"/>
      <c r="BJ18" s="285"/>
      <c r="BK18" s="285"/>
      <c r="BL18" s="285"/>
      <c r="BM18" s="285"/>
      <c r="BN18" s="285"/>
      <c r="BO18" s="285"/>
      <c r="BP18" s="285"/>
      <c r="BQ18" s="285"/>
      <c r="BR18" s="285"/>
      <c r="BS18" s="285"/>
      <c r="BT18" s="285"/>
      <c r="BU18" s="285"/>
      <c r="BV18" s="285"/>
      <c r="BW18" s="285"/>
      <c r="BX18" s="285"/>
      <c r="BY18" s="285"/>
      <c r="BZ18" s="285"/>
      <c r="CA18" s="285"/>
      <c r="CB18" s="285"/>
      <c r="CC18" s="285"/>
      <c r="CD18" s="285"/>
      <c r="CE18" s="285"/>
      <c r="CF18" s="285"/>
      <c r="CG18" s="285"/>
      <c r="CH18" s="285"/>
      <c r="CI18" s="285"/>
      <c r="CJ18" s="285"/>
      <c r="CK18" s="285"/>
      <c r="CL18" s="285"/>
      <c r="CM18" s="285"/>
      <c r="CN18" s="285"/>
      <c r="CO18" s="285"/>
      <c r="CP18" s="285"/>
      <c r="CQ18" s="285"/>
      <c r="CR18" s="285"/>
    </row>
    <row r="19" spans="1:96" ht="15.6">
      <c r="A19" s="307" t="s">
        <v>290</v>
      </c>
      <c r="B19" s="283"/>
      <c r="C19" s="735">
        <f t="shared" ref="C19:V19" ca="1" si="1">SUM(C16:C18)</f>
        <v>4664.1536178649349</v>
      </c>
      <c r="D19" s="736">
        <f t="shared" ca="1" si="1"/>
        <v>13478.698375161568</v>
      </c>
      <c r="E19" s="736">
        <f t="shared" ca="1" si="1"/>
        <v>14521.524777257795</v>
      </c>
      <c r="F19" s="736">
        <f t="shared" ca="1" si="1"/>
        <v>14921.347632677889</v>
      </c>
      <c r="G19" s="736">
        <f t="shared" ca="1" si="1"/>
        <v>14821.623737594147</v>
      </c>
      <c r="H19" s="736">
        <f t="shared" ca="1" si="1"/>
        <v>14669.586946151425</v>
      </c>
      <c r="I19" s="736">
        <f t="shared" ca="1" si="1"/>
        <v>15368.936374264316</v>
      </c>
      <c r="J19" s="736">
        <f t="shared" ca="1" si="1"/>
        <v>16050.139795262805</v>
      </c>
      <c r="K19" s="736">
        <f t="shared" ca="1" si="1"/>
        <v>16377.723205128257</v>
      </c>
      <c r="L19" s="736">
        <f t="shared" ca="1" si="1"/>
        <v>16605.276490095177</v>
      </c>
      <c r="M19" s="736">
        <f t="shared" ca="1" si="1"/>
        <v>16942.55773146205</v>
      </c>
      <c r="N19" s="736">
        <f t="shared" ca="1" si="1"/>
        <v>17205.389749217178</v>
      </c>
      <c r="O19" s="736">
        <f t="shared" ca="1" si="1"/>
        <v>17951.064929788805</v>
      </c>
      <c r="P19" s="736">
        <f t="shared" ca="1" si="1"/>
        <v>18182.797196244821</v>
      </c>
      <c r="Q19" s="736">
        <f t="shared" ca="1" si="1"/>
        <v>18817.846869906836</v>
      </c>
      <c r="R19" s="736">
        <f t="shared" ca="1" si="1"/>
        <v>19286.254028950156</v>
      </c>
      <c r="S19" s="736">
        <f t="shared" ca="1" si="1"/>
        <v>19922.937552265128</v>
      </c>
      <c r="T19" s="736">
        <f t="shared" ca="1" si="1"/>
        <v>20353.885326614913</v>
      </c>
      <c r="U19" s="736">
        <f t="shared" ca="1" si="1"/>
        <v>20909.136445390803</v>
      </c>
      <c r="V19" s="737">
        <f t="shared" ca="1" si="1"/>
        <v>20944.164003102571</v>
      </c>
      <c r="W19" s="731"/>
      <c r="X19" s="285"/>
      <c r="Y19" s="285"/>
      <c r="Z19" s="285"/>
      <c r="AA19" s="285"/>
      <c r="AB19" s="285"/>
      <c r="AC19" s="285"/>
      <c r="AD19" s="285"/>
      <c r="AE19" s="285"/>
      <c r="AF19" s="285"/>
      <c r="AG19" s="285"/>
      <c r="AH19" s="285"/>
      <c r="AI19" s="285"/>
      <c r="AJ19" s="285"/>
      <c r="AK19" s="285"/>
      <c r="AL19" s="285"/>
      <c r="AM19" s="285"/>
      <c r="AN19" s="285"/>
      <c r="AO19" s="285"/>
      <c r="AP19" s="285"/>
      <c r="AQ19" s="285"/>
      <c r="AR19" s="285"/>
      <c r="AS19" s="285"/>
      <c r="AT19" s="285"/>
      <c r="AU19" s="285"/>
      <c r="AV19" s="285"/>
      <c r="AW19" s="285"/>
      <c r="AX19" s="285"/>
      <c r="AY19" s="285"/>
      <c r="AZ19" s="285"/>
      <c r="BA19" s="285"/>
      <c r="BB19" s="285"/>
      <c r="BC19" s="285"/>
      <c r="BD19" s="285"/>
      <c r="BE19" s="285"/>
      <c r="BF19" s="285"/>
      <c r="BG19" s="285"/>
      <c r="BH19" s="285"/>
      <c r="BI19" s="285"/>
      <c r="BJ19" s="285"/>
      <c r="BK19" s="285"/>
      <c r="BL19" s="285"/>
      <c r="BM19" s="285"/>
      <c r="BN19" s="285"/>
      <c r="BO19" s="285"/>
      <c r="BP19" s="285"/>
      <c r="BQ19" s="285"/>
      <c r="BR19" s="285"/>
      <c r="BS19" s="285"/>
      <c r="BT19" s="285"/>
      <c r="BU19" s="285"/>
      <c r="BV19" s="285"/>
      <c r="BW19" s="285"/>
      <c r="BX19" s="285"/>
      <c r="BY19" s="285"/>
      <c r="BZ19" s="285"/>
      <c r="CA19" s="285"/>
      <c r="CB19" s="285"/>
      <c r="CC19" s="285"/>
      <c r="CD19" s="285"/>
      <c r="CE19" s="285"/>
      <c r="CF19" s="285"/>
      <c r="CG19" s="285"/>
      <c r="CH19" s="285"/>
      <c r="CI19" s="285"/>
      <c r="CJ19" s="285"/>
      <c r="CK19" s="285"/>
      <c r="CL19" s="285"/>
      <c r="CM19" s="285"/>
      <c r="CN19" s="285"/>
      <c r="CO19" s="285"/>
      <c r="CP19" s="285"/>
      <c r="CQ19" s="285"/>
      <c r="CR19" s="285"/>
    </row>
    <row r="20" spans="1:96" ht="15.6">
      <c r="A20" s="308"/>
      <c r="B20" s="283"/>
      <c r="C20" s="748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7"/>
      <c r="W20" s="731"/>
      <c r="X20" s="285"/>
      <c r="Y20" s="285"/>
      <c r="Z20" s="285"/>
      <c r="AA20" s="285"/>
      <c r="AB20" s="285"/>
      <c r="AC20" s="285"/>
      <c r="AD20" s="285"/>
      <c r="AE20" s="285"/>
      <c r="AF20" s="285"/>
      <c r="AG20" s="285"/>
      <c r="AH20" s="285"/>
      <c r="AI20" s="285"/>
      <c r="AJ20" s="285"/>
      <c r="AK20" s="285"/>
      <c r="AL20" s="285"/>
      <c r="AM20" s="285"/>
      <c r="AN20" s="285"/>
      <c r="AO20" s="285"/>
      <c r="AP20" s="285"/>
      <c r="AQ20" s="285"/>
      <c r="AR20" s="285"/>
      <c r="AS20" s="285"/>
      <c r="AT20" s="285"/>
      <c r="AU20" s="285"/>
      <c r="AV20" s="285"/>
      <c r="AW20" s="285"/>
      <c r="AX20" s="285"/>
      <c r="AY20" s="285"/>
      <c r="AZ20" s="285"/>
      <c r="BA20" s="285"/>
      <c r="BB20" s="285"/>
      <c r="BC20" s="285"/>
      <c r="BD20" s="285"/>
      <c r="BE20" s="285"/>
      <c r="BF20" s="285"/>
      <c r="BG20" s="285"/>
      <c r="BH20" s="285"/>
      <c r="BI20" s="285"/>
      <c r="BJ20" s="285"/>
      <c r="BK20" s="285"/>
      <c r="BL20" s="285"/>
      <c r="BM20" s="285"/>
      <c r="BN20" s="285"/>
      <c r="BO20" s="285"/>
      <c r="BP20" s="285"/>
      <c r="BQ20" s="285"/>
      <c r="BR20" s="285"/>
      <c r="BS20" s="285"/>
      <c r="BT20" s="285"/>
      <c r="BU20" s="285"/>
      <c r="BV20" s="285"/>
      <c r="BW20" s="285"/>
      <c r="BX20" s="285"/>
      <c r="BY20" s="285"/>
      <c r="BZ20" s="285"/>
      <c r="CA20" s="285"/>
      <c r="CB20" s="285"/>
      <c r="CC20" s="285"/>
      <c r="CD20" s="285"/>
      <c r="CE20" s="285"/>
      <c r="CF20" s="285"/>
      <c r="CG20" s="285"/>
      <c r="CH20" s="285"/>
      <c r="CI20" s="285"/>
      <c r="CJ20" s="285"/>
      <c r="CK20" s="285"/>
      <c r="CL20" s="285"/>
      <c r="CM20" s="285"/>
      <c r="CN20" s="285"/>
      <c r="CO20" s="285"/>
      <c r="CP20" s="285"/>
      <c r="CQ20" s="285"/>
      <c r="CR20" s="285"/>
    </row>
    <row r="21" spans="1:96" ht="15.6">
      <c r="A21" s="307" t="s">
        <v>291</v>
      </c>
      <c r="B21" s="283"/>
      <c r="C21" s="735">
        <f t="shared" ref="C21:V21" ca="1" si="2">C13-C19</f>
        <v>10131.902411789115</v>
      </c>
      <c r="D21" s="736">
        <f t="shared" ca="1" si="2"/>
        <v>27938.52726175946</v>
      </c>
      <c r="E21" s="736">
        <f t="shared" ca="1" si="2"/>
        <v>26721.67735837675</v>
      </c>
      <c r="F21" s="736">
        <f t="shared" ca="1" si="2"/>
        <v>27900.385359501815</v>
      </c>
      <c r="G21" s="736">
        <f t="shared" ca="1" si="2"/>
        <v>28306.699472484841</v>
      </c>
      <c r="H21" s="736">
        <f t="shared" ca="1" si="2"/>
        <v>19806.537892628687</v>
      </c>
      <c r="I21" s="736">
        <f t="shared" ca="1" si="2"/>
        <v>26691.160154553276</v>
      </c>
      <c r="J21" s="736">
        <f t="shared" ca="1" si="2"/>
        <v>34392.848096215748</v>
      </c>
      <c r="K21" s="736">
        <f t="shared" ca="1" si="2"/>
        <v>34806.277887599885</v>
      </c>
      <c r="L21" s="736">
        <f t="shared" ca="1" si="2"/>
        <v>32570.574481116604</v>
      </c>
      <c r="M21" s="736">
        <f t="shared" ca="1" si="2"/>
        <v>33171.571698223313</v>
      </c>
      <c r="N21" s="736">
        <f t="shared" ca="1" si="2"/>
        <v>31300.279780347355</v>
      </c>
      <c r="O21" s="736">
        <f t="shared" ca="1" si="2"/>
        <v>31087.987724893577</v>
      </c>
      <c r="P21" s="736">
        <f t="shared" ca="1" si="2"/>
        <v>27900.796897383319</v>
      </c>
      <c r="Q21" s="736">
        <f t="shared" ca="1" si="2"/>
        <v>33229.63734048912</v>
      </c>
      <c r="R21" s="736">
        <f t="shared" ca="1" si="2"/>
        <v>38771.746005015069</v>
      </c>
      <c r="S21" s="736">
        <f t="shared" ca="1" si="2"/>
        <v>44221.464655642718</v>
      </c>
      <c r="T21" s="736">
        <f t="shared" ca="1" si="2"/>
        <v>44711.507151986632</v>
      </c>
      <c r="U21" s="736">
        <f t="shared" ca="1" si="2"/>
        <v>46624.224176231815</v>
      </c>
      <c r="V21" s="737">
        <f t="shared" ca="1" si="2"/>
        <v>38334.840322614182</v>
      </c>
      <c r="W21" s="731"/>
      <c r="X21" s="285"/>
      <c r="Y21" s="285"/>
      <c r="Z21" s="285"/>
      <c r="AA21" s="285"/>
      <c r="AB21" s="285"/>
      <c r="AC21" s="285"/>
      <c r="AD21" s="285"/>
      <c r="AE21" s="285"/>
      <c r="AF21" s="285"/>
      <c r="AG21" s="285"/>
      <c r="AH21" s="285"/>
      <c r="AI21" s="285"/>
      <c r="AJ21" s="285"/>
      <c r="AK21" s="285"/>
      <c r="AL21" s="285"/>
      <c r="AM21" s="285"/>
      <c r="AN21" s="285"/>
      <c r="AO21" s="285"/>
      <c r="AP21" s="285"/>
      <c r="AQ21" s="285"/>
      <c r="AR21" s="285"/>
      <c r="AS21" s="285"/>
      <c r="AT21" s="285"/>
      <c r="AU21" s="285"/>
      <c r="AV21" s="285"/>
      <c r="AW21" s="285"/>
      <c r="AX21" s="285"/>
      <c r="AY21" s="285"/>
      <c r="AZ21" s="285"/>
      <c r="BA21" s="285"/>
      <c r="BB21" s="285"/>
      <c r="BC21" s="285"/>
      <c r="BD21" s="285"/>
      <c r="BE21" s="285"/>
      <c r="BF21" s="285"/>
      <c r="BG21" s="285"/>
      <c r="BH21" s="285"/>
      <c r="BI21" s="285"/>
      <c r="BJ21" s="285"/>
      <c r="BK21" s="285"/>
      <c r="BL21" s="285"/>
      <c r="BM21" s="285"/>
      <c r="BN21" s="285"/>
      <c r="BO21" s="285"/>
      <c r="BP21" s="285"/>
      <c r="BQ21" s="285"/>
      <c r="BR21" s="285"/>
      <c r="BS21" s="285"/>
      <c r="BT21" s="285"/>
      <c r="BU21" s="285"/>
      <c r="BV21" s="285"/>
      <c r="BW21" s="285"/>
      <c r="BX21" s="285"/>
      <c r="BY21" s="285"/>
      <c r="BZ21" s="285"/>
      <c r="CA21" s="285"/>
      <c r="CB21" s="285"/>
      <c r="CC21" s="285"/>
      <c r="CD21" s="285"/>
      <c r="CE21" s="285"/>
      <c r="CF21" s="285"/>
      <c r="CG21" s="285"/>
      <c r="CH21" s="285"/>
      <c r="CI21" s="285"/>
      <c r="CJ21" s="285"/>
      <c r="CK21" s="285"/>
      <c r="CL21" s="285"/>
      <c r="CM21" s="285"/>
      <c r="CN21" s="285"/>
      <c r="CO21" s="285"/>
      <c r="CP21" s="285"/>
      <c r="CQ21" s="285"/>
      <c r="CR21" s="285"/>
    </row>
    <row r="22" spans="1:96" ht="15.6">
      <c r="A22" s="308"/>
      <c r="B22" s="295"/>
      <c r="C22" s="749"/>
      <c r="D22" s="750"/>
      <c r="E22" s="750"/>
      <c r="F22" s="750"/>
      <c r="G22" s="750"/>
      <c r="H22" s="750"/>
      <c r="I22" s="750"/>
      <c r="J22" s="750"/>
      <c r="K22" s="750"/>
      <c r="L22" s="750"/>
      <c r="M22" s="750"/>
      <c r="N22" s="750"/>
      <c r="O22" s="750"/>
      <c r="P22" s="750"/>
      <c r="Q22" s="750"/>
      <c r="R22" s="750"/>
      <c r="S22" s="750"/>
      <c r="T22" s="750"/>
      <c r="U22" s="750"/>
      <c r="V22" s="751"/>
      <c r="W22" s="731"/>
      <c r="X22" s="285"/>
      <c r="Y22" s="285"/>
      <c r="Z22" s="285"/>
      <c r="AA22" s="285"/>
      <c r="AB22" s="285"/>
      <c r="AC22" s="285"/>
      <c r="AD22" s="285"/>
      <c r="AE22" s="285"/>
      <c r="AF22" s="285"/>
      <c r="AG22" s="285"/>
      <c r="AH22" s="285"/>
      <c r="AI22" s="285"/>
      <c r="AJ22" s="285"/>
      <c r="AK22" s="285"/>
      <c r="AL22" s="285"/>
      <c r="AM22" s="285"/>
      <c r="AN22" s="285"/>
      <c r="AO22" s="285"/>
      <c r="AP22" s="285"/>
      <c r="AQ22" s="285"/>
      <c r="AR22" s="285"/>
      <c r="AS22" s="285"/>
      <c r="AT22" s="285"/>
      <c r="AU22" s="285"/>
      <c r="AV22" s="285"/>
      <c r="AW22" s="285"/>
      <c r="AX22" s="285"/>
      <c r="AY22" s="285"/>
      <c r="AZ22" s="285"/>
      <c r="BA22" s="285"/>
      <c r="BB22" s="285"/>
      <c r="BC22" s="285"/>
      <c r="BD22" s="285"/>
      <c r="BE22" s="285"/>
      <c r="BF22" s="285"/>
      <c r="BG22" s="285"/>
      <c r="BH22" s="285"/>
      <c r="BI22" s="285"/>
      <c r="BJ22" s="285"/>
      <c r="BK22" s="285"/>
      <c r="BL22" s="285"/>
      <c r="BM22" s="285"/>
      <c r="BN22" s="285"/>
      <c r="BO22" s="285"/>
      <c r="BP22" s="285"/>
      <c r="BQ22" s="285"/>
      <c r="BR22" s="285"/>
      <c r="BS22" s="285"/>
      <c r="BT22" s="285"/>
      <c r="BU22" s="285"/>
      <c r="BV22" s="285"/>
      <c r="BW22" s="285"/>
      <c r="BX22" s="285"/>
      <c r="BY22" s="285"/>
      <c r="BZ22" s="285"/>
      <c r="CA22" s="285"/>
      <c r="CB22" s="285"/>
      <c r="CC22" s="285"/>
      <c r="CD22" s="285"/>
      <c r="CE22" s="285"/>
      <c r="CF22" s="285"/>
      <c r="CG22" s="285"/>
      <c r="CH22" s="285"/>
      <c r="CI22" s="285"/>
      <c r="CJ22" s="285"/>
      <c r="CK22" s="285"/>
      <c r="CL22" s="285"/>
      <c r="CM22" s="285"/>
      <c r="CN22" s="285"/>
      <c r="CO22" s="285"/>
      <c r="CP22" s="285"/>
      <c r="CQ22" s="285"/>
      <c r="CR22" s="285"/>
    </row>
    <row r="23" spans="1:96" ht="15.6">
      <c r="A23" s="307" t="s">
        <v>292</v>
      </c>
      <c r="B23" s="295"/>
      <c r="C23" s="749"/>
      <c r="D23" s="750"/>
      <c r="E23" s="750"/>
      <c r="F23" s="750"/>
      <c r="G23" s="750"/>
      <c r="H23" s="750"/>
      <c r="I23" s="750"/>
      <c r="J23" s="750"/>
      <c r="K23" s="750"/>
      <c r="L23" s="750"/>
      <c r="M23" s="750"/>
      <c r="N23" s="750"/>
      <c r="O23" s="750"/>
      <c r="P23" s="750"/>
      <c r="Q23" s="750"/>
      <c r="R23" s="750"/>
      <c r="S23" s="750"/>
      <c r="T23" s="750"/>
      <c r="U23" s="750"/>
      <c r="V23" s="751"/>
      <c r="W23" s="731"/>
      <c r="X23" s="285"/>
      <c r="Y23" s="285"/>
      <c r="Z23" s="285"/>
      <c r="AA23" s="285"/>
      <c r="AB23" s="285"/>
      <c r="AC23" s="285"/>
      <c r="AD23" s="285"/>
      <c r="AE23" s="285"/>
      <c r="AF23" s="285"/>
      <c r="AG23" s="285"/>
      <c r="AH23" s="285"/>
      <c r="AI23" s="285"/>
      <c r="AJ23" s="285"/>
      <c r="AK23" s="285"/>
      <c r="AL23" s="285"/>
      <c r="AM23" s="285"/>
      <c r="AN23" s="285"/>
      <c r="AO23" s="285"/>
      <c r="AP23" s="285"/>
      <c r="AQ23" s="285"/>
      <c r="AR23" s="285"/>
      <c r="AS23" s="285"/>
      <c r="AT23" s="285"/>
      <c r="AU23" s="285"/>
      <c r="AV23" s="285"/>
      <c r="AW23" s="285"/>
      <c r="AX23" s="285"/>
      <c r="AY23" s="285"/>
      <c r="AZ23" s="285"/>
      <c r="BA23" s="285"/>
      <c r="BB23" s="285"/>
      <c r="BC23" s="285"/>
      <c r="BD23" s="285"/>
      <c r="BE23" s="285"/>
      <c r="BF23" s="285"/>
      <c r="BG23" s="285"/>
      <c r="BH23" s="285"/>
      <c r="BI23" s="285"/>
      <c r="BJ23" s="285"/>
      <c r="BK23" s="285"/>
      <c r="BL23" s="285"/>
      <c r="BM23" s="285"/>
      <c r="BN23" s="285"/>
      <c r="BO23" s="285"/>
      <c r="BP23" s="285"/>
      <c r="BQ23" s="285"/>
      <c r="BR23" s="285"/>
      <c r="BS23" s="285"/>
      <c r="BT23" s="285"/>
      <c r="BU23" s="285"/>
      <c r="BV23" s="285"/>
      <c r="BW23" s="285"/>
      <c r="BX23" s="285"/>
      <c r="BY23" s="285"/>
      <c r="BZ23" s="285"/>
      <c r="CA23" s="285"/>
      <c r="CB23" s="285"/>
      <c r="CC23" s="285"/>
      <c r="CD23" s="285"/>
      <c r="CE23" s="285"/>
      <c r="CF23" s="285"/>
      <c r="CG23" s="285"/>
      <c r="CH23" s="285"/>
      <c r="CI23" s="285"/>
      <c r="CJ23" s="285"/>
      <c r="CK23" s="285"/>
      <c r="CL23" s="285"/>
      <c r="CM23" s="285"/>
      <c r="CN23" s="285"/>
      <c r="CO23" s="285"/>
      <c r="CP23" s="285"/>
      <c r="CQ23" s="285"/>
      <c r="CR23" s="285"/>
    </row>
    <row r="24" spans="1:96" ht="15.6">
      <c r="A24" s="308" t="s">
        <v>293</v>
      </c>
      <c r="B24" s="295"/>
      <c r="C24" s="735">
        <f ca="1">'144A DEBT'!C34</f>
        <v>0</v>
      </c>
      <c r="D24" s="736">
        <f ca="1">'144A DEBT'!D34</f>
        <v>7138.8</v>
      </c>
      <c r="E24" s="736">
        <f ca="1">'144A DEBT'!E34</f>
        <v>6899.4</v>
      </c>
      <c r="F24" s="736">
        <f ca="1">'144A DEBT'!F34</f>
        <v>6659.1</v>
      </c>
      <c r="G24" s="736">
        <f ca="1">'144A DEBT'!G34</f>
        <v>6355.62</v>
      </c>
      <c r="H24" s="736">
        <f ca="1">'144A DEBT'!H34</f>
        <v>6085.08</v>
      </c>
      <c r="I24" s="736">
        <f ca="1">'144A DEBT'!I34</f>
        <v>5956.38</v>
      </c>
      <c r="J24" s="736">
        <f ca="1">'144A DEBT'!J34</f>
        <v>5556.78</v>
      </c>
      <c r="K24" s="736">
        <f ca="1">'144A DEBT'!K34</f>
        <v>4897.9799999999996</v>
      </c>
      <c r="L24" s="736">
        <f ca="1">'144A DEBT'!L34</f>
        <v>4184.28</v>
      </c>
      <c r="M24" s="736">
        <f ca="1">'144A DEBT'!M34</f>
        <v>3500.28</v>
      </c>
      <c r="N24" s="736">
        <f ca="1">'144A DEBT'!N34</f>
        <v>2825.28</v>
      </c>
      <c r="O24" s="736">
        <f ca="1">'144A DEBT'!O34</f>
        <v>2177.2800000000002</v>
      </c>
      <c r="P24" s="736">
        <f ca="1">'144A DEBT'!P34</f>
        <v>1538.28</v>
      </c>
      <c r="Q24" s="736">
        <f ca="1">'144A DEBT'!Q34</f>
        <v>935.28</v>
      </c>
      <c r="R24" s="736">
        <f ca="1">'144A DEBT'!R34</f>
        <v>377.46</v>
      </c>
      <c r="S24" s="736">
        <f ca="1">'144A DEBT'!S34</f>
        <v>0</v>
      </c>
      <c r="T24" s="736">
        <f>'144A DEBT'!T34</f>
        <v>0</v>
      </c>
      <c r="U24" s="736"/>
      <c r="V24" s="737"/>
      <c r="W24" s="731"/>
      <c r="X24" s="285"/>
      <c r="Y24" s="285"/>
      <c r="Z24" s="285"/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85"/>
      <c r="AM24" s="285"/>
      <c r="AN24" s="285"/>
      <c r="AO24" s="285"/>
      <c r="AP24" s="285"/>
      <c r="AQ24" s="285"/>
      <c r="AR24" s="285"/>
      <c r="AS24" s="285"/>
      <c r="AT24" s="285"/>
      <c r="AU24" s="285"/>
      <c r="AV24" s="285"/>
      <c r="AW24" s="285"/>
      <c r="AX24" s="285"/>
      <c r="AY24" s="285"/>
      <c r="AZ24" s="285"/>
      <c r="BA24" s="285"/>
      <c r="BB24" s="285"/>
      <c r="BC24" s="285"/>
      <c r="BD24" s="285"/>
      <c r="BE24" s="285"/>
      <c r="BF24" s="285"/>
      <c r="BG24" s="285"/>
      <c r="BH24" s="285"/>
      <c r="BI24" s="285"/>
      <c r="BJ24" s="285"/>
      <c r="BK24" s="285"/>
      <c r="BL24" s="285"/>
      <c r="BM24" s="285"/>
      <c r="BN24" s="285"/>
      <c r="BO24" s="285"/>
      <c r="BP24" s="285"/>
      <c r="BQ24" s="285"/>
      <c r="BR24" s="285"/>
      <c r="BS24" s="285"/>
      <c r="BT24" s="285"/>
      <c r="BU24" s="285"/>
      <c r="BV24" s="285"/>
      <c r="BW24" s="285"/>
      <c r="BX24" s="285"/>
      <c r="BY24" s="285"/>
      <c r="BZ24" s="285"/>
      <c r="CA24" s="285"/>
      <c r="CB24" s="285"/>
      <c r="CC24" s="285"/>
      <c r="CD24" s="285"/>
      <c r="CE24" s="285"/>
      <c r="CF24" s="285"/>
      <c r="CG24" s="285"/>
      <c r="CH24" s="285"/>
      <c r="CI24" s="285"/>
      <c r="CJ24" s="285"/>
      <c r="CK24" s="285"/>
      <c r="CL24" s="285"/>
      <c r="CM24" s="285"/>
      <c r="CN24" s="285"/>
      <c r="CO24" s="285"/>
      <c r="CP24" s="285"/>
      <c r="CQ24" s="285"/>
      <c r="CR24" s="285"/>
    </row>
    <row r="25" spans="1:96" ht="15.6">
      <c r="A25" s="308" t="s">
        <v>294</v>
      </c>
      <c r="B25" s="295"/>
      <c r="C25" s="735">
        <f ca="1">'144A DEBT'!C44</f>
        <v>76.291200000000003</v>
      </c>
      <c r="D25" s="736">
        <f ca="1">'144A DEBT'!D44</f>
        <v>75.911328000000012</v>
      </c>
      <c r="E25" s="736">
        <f ca="1">'144A DEBT'!E44</f>
        <v>82.043136000000018</v>
      </c>
      <c r="F25" s="736">
        <f ca="1">'144A DEBT'!F44</f>
        <v>87.865343999999993</v>
      </c>
      <c r="G25" s="736">
        <f ca="1">'144A DEBT'!G44</f>
        <v>91.288800000000009</v>
      </c>
      <c r="H25" s="736">
        <f ca="1">'144A DEBT'!H44</f>
        <v>99.537120000000002</v>
      </c>
      <c r="I25" s="736">
        <f ca="1">'144A DEBT'!I44</f>
        <v>101.07935999999999</v>
      </c>
      <c r="J25" s="736">
        <f ca="1">'144A DEBT'!J44</f>
        <v>95.888159999999985</v>
      </c>
      <c r="K25" s="736">
        <f ca="1">'144A DEBT'!K44</f>
        <v>88.280639999999977</v>
      </c>
      <c r="L25" s="736">
        <f ca="1">'144A DEBT'!L44</f>
        <v>80.922240000000002</v>
      </c>
      <c r="M25" s="736">
        <f ca="1">'144A DEBT'!M44</f>
        <v>72.311328000000032</v>
      </c>
      <c r="N25" s="736">
        <f ca="1">'144A DEBT'!N44</f>
        <v>54.830880000000029</v>
      </c>
      <c r="O25" s="736">
        <f ca="1">'144A DEBT'!O44</f>
        <v>47.984040000000036</v>
      </c>
      <c r="P25" s="736">
        <f ca="1">'144A DEBT'!P44</f>
        <v>39.476640000000046</v>
      </c>
      <c r="Q25" s="736">
        <f ca="1">'144A DEBT'!Q44</f>
        <v>26.673840000000066</v>
      </c>
      <c r="R25" s="736">
        <f ca="1">'144A DEBT'!R44</f>
        <v>0</v>
      </c>
      <c r="S25" s="752"/>
      <c r="T25" s="752"/>
      <c r="U25" s="752"/>
      <c r="V25" s="753"/>
      <c r="W25" s="731"/>
      <c r="X25" s="285"/>
      <c r="Y25" s="285"/>
      <c r="Z25" s="285"/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85"/>
      <c r="AM25" s="285"/>
      <c r="AN25" s="285"/>
      <c r="AO25" s="285"/>
      <c r="AP25" s="285"/>
      <c r="AQ25" s="285"/>
      <c r="AR25" s="285"/>
      <c r="AS25" s="285"/>
      <c r="AT25" s="285"/>
      <c r="AU25" s="285"/>
      <c r="AV25" s="285"/>
      <c r="AW25" s="285"/>
      <c r="AX25" s="285"/>
      <c r="AY25" s="285"/>
      <c r="AZ25" s="285"/>
      <c r="BA25" s="285"/>
      <c r="BB25" s="285"/>
      <c r="BC25" s="285"/>
      <c r="BD25" s="285"/>
      <c r="BE25" s="285"/>
      <c r="BF25" s="285"/>
      <c r="BG25" s="285"/>
      <c r="BH25" s="285"/>
      <c r="BI25" s="285"/>
      <c r="BJ25" s="285"/>
      <c r="BK25" s="285"/>
      <c r="BL25" s="285"/>
      <c r="BM25" s="285"/>
      <c r="BN25" s="285"/>
      <c r="BO25" s="285"/>
      <c r="BP25" s="285"/>
      <c r="BQ25" s="285"/>
      <c r="BR25" s="285"/>
      <c r="BS25" s="285"/>
      <c r="BT25" s="285"/>
      <c r="BU25" s="285"/>
      <c r="BV25" s="285"/>
      <c r="BW25" s="285"/>
      <c r="BX25" s="285"/>
      <c r="BY25" s="285"/>
      <c r="BZ25" s="285"/>
      <c r="CA25" s="285"/>
      <c r="CB25" s="285"/>
      <c r="CC25" s="285"/>
      <c r="CD25" s="285"/>
      <c r="CE25" s="285"/>
      <c r="CF25" s="285"/>
      <c r="CG25" s="285"/>
      <c r="CH25" s="285"/>
      <c r="CI25" s="285"/>
      <c r="CJ25" s="285"/>
      <c r="CK25" s="285"/>
      <c r="CL25" s="285"/>
      <c r="CM25" s="285"/>
      <c r="CN25" s="285"/>
      <c r="CO25" s="285"/>
      <c r="CP25" s="285"/>
      <c r="CQ25" s="285"/>
      <c r="CR25" s="285"/>
    </row>
    <row r="26" spans="1:96" ht="15.6">
      <c r="A26" s="308" t="s">
        <v>295</v>
      </c>
      <c r="B26" s="295"/>
      <c r="C26" s="748">
        <f ca="1">-OandM!C46</f>
        <v>-17.9725</v>
      </c>
      <c r="D26" s="752">
        <f ca="1">-OandM!D46</f>
        <v>-90.326909399999991</v>
      </c>
      <c r="E26" s="752">
        <f ca="1">-OandM!E46</f>
        <v>-164.6348878538</v>
      </c>
      <c r="F26" s="752">
        <f ca="1">-OandM!F46</f>
        <v>-240.94918172585255</v>
      </c>
      <c r="G26" s="752">
        <f ca="1">-OandM!G46</f>
        <v>-319.32396153245054</v>
      </c>
      <c r="H26" s="752">
        <f ca="1">-OandM!H46</f>
        <v>-399.81486039382662</v>
      </c>
      <c r="I26" s="752">
        <f ca="1">-OandM!I46</f>
        <v>-482.4790135244599</v>
      </c>
      <c r="J26" s="752">
        <f ca="1">-OandM!J46</f>
        <v>-567.37509878962021</v>
      </c>
      <c r="K26" s="752">
        <f ca="1">-OandM!K46</f>
        <v>-654.56337835693989</v>
      </c>
      <c r="L26" s="752">
        <f ca="1">-OandM!L46</f>
        <v>-744.10574147257717</v>
      </c>
      <c r="M26" s="752">
        <f ca="1">-OandM!M46</f>
        <v>-836.06574839233656</v>
      </c>
      <c r="N26" s="752">
        <f ca="1">-OandM!N46</f>
        <v>-930.50867549892962</v>
      </c>
      <c r="O26" s="752">
        <f ca="1">-OandM!O46</f>
        <v>0</v>
      </c>
      <c r="P26" s="752">
        <f ca="1">-OandM!P46</f>
        <v>-99.611694064209701</v>
      </c>
      <c r="Q26" s="752">
        <f ca="1">-OandM!Q46</f>
        <v>-201.91290386815305</v>
      </c>
      <c r="R26" s="752">
        <f ca="1">-OandM!R46</f>
        <v>-306.97624633680289</v>
      </c>
      <c r="S26" s="752">
        <f ca="1">-OandM!S46</f>
        <v>-414.87629905210616</v>
      </c>
      <c r="T26" s="752">
        <f ca="1">-OandM!T46</f>
        <v>-525.68965319072265</v>
      </c>
      <c r="U26" s="752">
        <f ca="1">-OandM!U46</f>
        <v>-639.49496789108184</v>
      </c>
      <c r="V26" s="740">
        <f ca="1">-OandM!V46</f>
        <v>-756.37302608835068</v>
      </c>
      <c r="W26" s="731"/>
      <c r="X26" s="285"/>
      <c r="Y26" s="285"/>
      <c r="Z26" s="285"/>
      <c r="AA26" s="285"/>
      <c r="AB26" s="285"/>
      <c r="AC26" s="285"/>
      <c r="AD26" s="285"/>
      <c r="AE26" s="285"/>
      <c r="AF26" s="285"/>
      <c r="AG26" s="285"/>
      <c r="AH26" s="285"/>
      <c r="AI26" s="285"/>
      <c r="AJ26" s="285"/>
      <c r="AK26" s="285"/>
      <c r="AL26" s="285"/>
      <c r="AM26" s="285"/>
      <c r="AN26" s="285"/>
      <c r="AO26" s="285"/>
      <c r="AP26" s="285"/>
      <c r="AQ26" s="285"/>
      <c r="AR26" s="285"/>
      <c r="AS26" s="285"/>
      <c r="AT26" s="285"/>
      <c r="AU26" s="285"/>
      <c r="AV26" s="285"/>
      <c r="AW26" s="285"/>
      <c r="AX26" s="285"/>
      <c r="AY26" s="285"/>
      <c r="AZ26" s="285"/>
      <c r="BA26" s="285"/>
      <c r="BB26" s="285"/>
      <c r="BC26" s="285"/>
      <c r="BD26" s="285"/>
      <c r="BE26" s="285"/>
      <c r="BF26" s="285"/>
      <c r="BG26" s="285"/>
      <c r="BH26" s="285"/>
      <c r="BI26" s="285"/>
      <c r="BJ26" s="285"/>
      <c r="BK26" s="285"/>
      <c r="BL26" s="285"/>
      <c r="BM26" s="285"/>
      <c r="BN26" s="285"/>
      <c r="BO26" s="285"/>
      <c r="BP26" s="285"/>
      <c r="BQ26" s="285"/>
      <c r="BR26" s="285"/>
      <c r="BS26" s="285"/>
      <c r="BT26" s="285"/>
      <c r="BU26" s="285"/>
      <c r="BV26" s="285"/>
      <c r="BW26" s="285"/>
      <c r="BX26" s="285"/>
      <c r="BY26" s="285"/>
      <c r="BZ26" s="285"/>
      <c r="CA26" s="285"/>
      <c r="CB26" s="285"/>
      <c r="CC26" s="285"/>
      <c r="CD26" s="285"/>
      <c r="CE26" s="285"/>
      <c r="CF26" s="285"/>
      <c r="CG26" s="285"/>
      <c r="CH26" s="285"/>
      <c r="CI26" s="285"/>
      <c r="CJ26" s="285"/>
      <c r="CK26" s="285"/>
      <c r="CL26" s="285"/>
      <c r="CM26" s="285"/>
      <c r="CN26" s="285"/>
      <c r="CO26" s="285"/>
      <c r="CP26" s="285"/>
      <c r="CQ26" s="285"/>
      <c r="CR26" s="285"/>
    </row>
    <row r="27" spans="1:96" ht="15.6">
      <c r="A27" s="308" t="s">
        <v>296</v>
      </c>
      <c r="B27" s="295"/>
      <c r="C27" s="735">
        <f t="shared" ref="C27:V27" ca="1" si="3">SUM(C24:C26)</f>
        <v>58.318700000000007</v>
      </c>
      <c r="D27" s="736">
        <f t="shared" ca="1" si="3"/>
        <v>7124.3844186000006</v>
      </c>
      <c r="E27" s="736">
        <f t="shared" ca="1" si="3"/>
        <v>6816.8082481461997</v>
      </c>
      <c r="F27" s="736">
        <f t="shared" ca="1" si="3"/>
        <v>6506.016162274148</v>
      </c>
      <c r="G27" s="736">
        <f t="shared" ca="1" si="3"/>
        <v>6127.5848384675501</v>
      </c>
      <c r="H27" s="736">
        <f t="shared" ca="1" si="3"/>
        <v>5784.8022596061728</v>
      </c>
      <c r="I27" s="736">
        <f t="shared" ca="1" si="3"/>
        <v>5574.9803464755396</v>
      </c>
      <c r="J27" s="736">
        <f t="shared" ca="1" si="3"/>
        <v>5085.2930612103801</v>
      </c>
      <c r="K27" s="736">
        <f t="shared" ca="1" si="3"/>
        <v>4331.6972616430594</v>
      </c>
      <c r="L27" s="736">
        <f t="shared" ca="1" si="3"/>
        <v>3521.0964985274222</v>
      </c>
      <c r="M27" s="736">
        <f t="shared" ca="1" si="3"/>
        <v>2736.525579607664</v>
      </c>
      <c r="N27" s="736">
        <f t="shared" ca="1" si="3"/>
        <v>1949.6022045010704</v>
      </c>
      <c r="O27" s="736">
        <f t="shared" ca="1" si="3"/>
        <v>2225.26404</v>
      </c>
      <c r="P27" s="736">
        <f t="shared" ca="1" si="3"/>
        <v>1478.1449459357905</v>
      </c>
      <c r="Q27" s="736">
        <f t="shared" ca="1" si="3"/>
        <v>760.04093613184693</v>
      </c>
      <c r="R27" s="736">
        <f t="shared" ca="1" si="3"/>
        <v>70.483753663197092</v>
      </c>
      <c r="S27" s="736">
        <f t="shared" ca="1" si="3"/>
        <v>-414.87629905210616</v>
      </c>
      <c r="T27" s="736">
        <f t="shared" ca="1" si="3"/>
        <v>-525.68965319072265</v>
      </c>
      <c r="U27" s="736">
        <f t="shared" ca="1" si="3"/>
        <v>-639.49496789108184</v>
      </c>
      <c r="V27" s="737">
        <f t="shared" ca="1" si="3"/>
        <v>-756.37302608835068</v>
      </c>
      <c r="W27" s="731"/>
      <c r="X27" s="285"/>
      <c r="Y27" s="285"/>
      <c r="Z27" s="285"/>
      <c r="AA27" s="285"/>
      <c r="AB27" s="285"/>
      <c r="AC27" s="285"/>
      <c r="AD27" s="285"/>
      <c r="AE27" s="285"/>
      <c r="AF27" s="285"/>
      <c r="AG27" s="285"/>
      <c r="AH27" s="285"/>
      <c r="AI27" s="285"/>
      <c r="AJ27" s="285"/>
      <c r="AK27" s="285"/>
      <c r="AL27" s="285"/>
      <c r="AM27" s="285"/>
      <c r="AN27" s="285"/>
      <c r="AO27" s="285"/>
      <c r="AP27" s="285"/>
      <c r="AQ27" s="285"/>
      <c r="AR27" s="285"/>
      <c r="AS27" s="285"/>
      <c r="AT27" s="285"/>
      <c r="AU27" s="285"/>
      <c r="AV27" s="285"/>
      <c r="AW27" s="285"/>
      <c r="AX27" s="285"/>
      <c r="AY27" s="285"/>
      <c r="AZ27" s="285"/>
      <c r="BA27" s="285"/>
      <c r="BB27" s="285"/>
      <c r="BC27" s="285"/>
      <c r="BD27" s="285"/>
      <c r="BE27" s="285"/>
      <c r="BF27" s="285"/>
      <c r="BG27" s="285"/>
      <c r="BH27" s="285"/>
      <c r="BI27" s="285"/>
      <c r="BJ27" s="285"/>
      <c r="BK27" s="285"/>
      <c r="BL27" s="285"/>
      <c r="BM27" s="285"/>
      <c r="BN27" s="285"/>
      <c r="BO27" s="285"/>
      <c r="BP27" s="285"/>
      <c r="BQ27" s="285"/>
      <c r="BR27" s="285"/>
      <c r="BS27" s="285"/>
      <c r="BT27" s="285"/>
      <c r="BU27" s="285"/>
      <c r="BV27" s="285"/>
      <c r="BW27" s="285"/>
      <c r="BX27" s="285"/>
      <c r="BY27" s="285"/>
      <c r="BZ27" s="285"/>
      <c r="CA27" s="285"/>
      <c r="CB27" s="285"/>
      <c r="CC27" s="285"/>
      <c r="CD27" s="285"/>
      <c r="CE27" s="285"/>
      <c r="CF27" s="285"/>
      <c r="CG27" s="285"/>
      <c r="CH27" s="285"/>
      <c r="CI27" s="285"/>
      <c r="CJ27" s="285"/>
      <c r="CK27" s="285"/>
      <c r="CL27" s="285"/>
      <c r="CM27" s="285"/>
      <c r="CN27" s="285"/>
      <c r="CO27" s="285"/>
      <c r="CP27" s="285"/>
      <c r="CQ27" s="285"/>
      <c r="CR27" s="285"/>
    </row>
    <row r="28" spans="1:96" ht="15.6">
      <c r="A28" s="308"/>
      <c r="B28" s="295"/>
      <c r="C28" s="749"/>
      <c r="D28" s="750"/>
      <c r="E28" s="750"/>
      <c r="F28" s="750"/>
      <c r="G28" s="750"/>
      <c r="H28" s="750"/>
      <c r="I28" s="750"/>
      <c r="J28" s="750"/>
      <c r="K28" s="750"/>
      <c r="L28" s="750"/>
      <c r="M28" s="750"/>
      <c r="N28" s="750"/>
      <c r="O28" s="750"/>
      <c r="P28" s="750"/>
      <c r="Q28" s="750"/>
      <c r="R28" s="750"/>
      <c r="S28" s="750"/>
      <c r="T28" s="750"/>
      <c r="U28" s="750"/>
      <c r="V28" s="751"/>
      <c r="W28" s="731"/>
      <c r="X28" s="285"/>
      <c r="Y28" s="285"/>
      <c r="Z28" s="285"/>
      <c r="AA28" s="285"/>
      <c r="AB28" s="285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  <c r="AM28" s="285"/>
      <c r="AN28" s="285"/>
      <c r="AO28" s="285"/>
      <c r="AP28" s="285"/>
      <c r="AQ28" s="285"/>
      <c r="AR28" s="285"/>
      <c r="AS28" s="285"/>
      <c r="AT28" s="285"/>
      <c r="AU28" s="285"/>
      <c r="AV28" s="285"/>
      <c r="AW28" s="285"/>
      <c r="AX28" s="285"/>
      <c r="AY28" s="285"/>
      <c r="AZ28" s="285"/>
      <c r="BA28" s="285"/>
      <c r="BB28" s="285"/>
      <c r="BC28" s="285"/>
      <c r="BD28" s="285"/>
      <c r="BE28" s="285"/>
      <c r="BF28" s="285"/>
      <c r="BG28" s="285"/>
      <c r="BH28" s="285"/>
      <c r="BI28" s="285"/>
      <c r="BJ28" s="285"/>
      <c r="BK28" s="285"/>
      <c r="BL28" s="285"/>
      <c r="BM28" s="285"/>
      <c r="BN28" s="285"/>
      <c r="BO28" s="285"/>
      <c r="BP28" s="285"/>
      <c r="BQ28" s="285"/>
      <c r="BR28" s="285"/>
      <c r="BS28" s="285"/>
      <c r="BT28" s="285"/>
      <c r="BU28" s="285"/>
      <c r="BV28" s="285"/>
      <c r="BW28" s="285"/>
      <c r="BX28" s="285"/>
      <c r="BY28" s="285"/>
      <c r="BZ28" s="285"/>
      <c r="CA28" s="285"/>
      <c r="CB28" s="285"/>
      <c r="CC28" s="285"/>
      <c r="CD28" s="285"/>
      <c r="CE28" s="285"/>
      <c r="CF28" s="285"/>
      <c r="CG28" s="285"/>
      <c r="CH28" s="285"/>
      <c r="CI28" s="285"/>
      <c r="CJ28" s="285"/>
      <c r="CK28" s="285"/>
      <c r="CL28" s="285"/>
      <c r="CM28" s="285"/>
      <c r="CN28" s="285"/>
      <c r="CO28" s="285"/>
      <c r="CP28" s="285"/>
      <c r="CQ28" s="285"/>
      <c r="CR28" s="285"/>
    </row>
    <row r="29" spans="1:96" ht="15.6">
      <c r="A29" s="307" t="s">
        <v>297</v>
      </c>
      <c r="B29" s="295"/>
      <c r="C29" s="735">
        <f t="shared" ref="C29:V29" ca="1" si="4">C21-C27</f>
        <v>10073.583711789115</v>
      </c>
      <c r="D29" s="736">
        <f t="shared" ca="1" si="4"/>
        <v>20814.142843159461</v>
      </c>
      <c r="E29" s="736">
        <f t="shared" ca="1" si="4"/>
        <v>19904.869110230549</v>
      </c>
      <c r="F29" s="736">
        <f t="shared" ca="1" si="4"/>
        <v>21394.369197227668</v>
      </c>
      <c r="G29" s="736">
        <f t="shared" ca="1" si="4"/>
        <v>22179.114634017293</v>
      </c>
      <c r="H29" s="736">
        <f t="shared" ca="1" si="4"/>
        <v>14021.735633022514</v>
      </c>
      <c r="I29" s="736">
        <f t="shared" ca="1" si="4"/>
        <v>21116.179808077737</v>
      </c>
      <c r="J29" s="736">
        <f t="shared" ca="1" si="4"/>
        <v>29307.555035005367</v>
      </c>
      <c r="K29" s="736">
        <f t="shared" ca="1" si="4"/>
        <v>30474.580625956827</v>
      </c>
      <c r="L29" s="736">
        <f t="shared" ca="1" si="4"/>
        <v>29049.477982589182</v>
      </c>
      <c r="M29" s="736">
        <f t="shared" ca="1" si="4"/>
        <v>30435.04611861565</v>
      </c>
      <c r="N29" s="736">
        <f t="shared" ca="1" si="4"/>
        <v>29350.677575846283</v>
      </c>
      <c r="O29" s="736">
        <f t="shared" ca="1" si="4"/>
        <v>28862.723684893579</v>
      </c>
      <c r="P29" s="736">
        <f t="shared" ca="1" si="4"/>
        <v>26422.651951447529</v>
      </c>
      <c r="Q29" s="736">
        <f t="shared" ca="1" si="4"/>
        <v>32469.596404357275</v>
      </c>
      <c r="R29" s="736">
        <f t="shared" ca="1" si="4"/>
        <v>38701.262251351873</v>
      </c>
      <c r="S29" s="736">
        <f t="shared" ca="1" si="4"/>
        <v>44636.340954694824</v>
      </c>
      <c r="T29" s="736">
        <f t="shared" ca="1" si="4"/>
        <v>45237.196805177358</v>
      </c>
      <c r="U29" s="736">
        <f t="shared" ca="1" si="4"/>
        <v>47263.719144122901</v>
      </c>
      <c r="V29" s="737">
        <f t="shared" ca="1" si="4"/>
        <v>39091.213348702535</v>
      </c>
      <c r="W29" s="731"/>
      <c r="X29" s="285"/>
      <c r="Y29" s="285"/>
      <c r="Z29" s="285"/>
      <c r="AA29" s="285"/>
      <c r="AB29" s="285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85"/>
      <c r="AO29" s="285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85"/>
      <c r="BB29" s="285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85"/>
      <c r="BO29" s="285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85"/>
      <c r="CB29" s="285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85"/>
      <c r="CO29" s="285"/>
      <c r="CP29" s="285"/>
      <c r="CQ29" s="285"/>
      <c r="CR29" s="285"/>
    </row>
    <row r="30" spans="1:96" ht="15.6">
      <c r="A30" s="308"/>
      <c r="B30" s="295"/>
      <c r="C30" s="749"/>
      <c r="D30" s="750"/>
      <c r="E30" s="750"/>
      <c r="F30" s="750"/>
      <c r="G30" s="750"/>
      <c r="H30" s="750"/>
      <c r="I30" s="750"/>
      <c r="J30" s="750"/>
      <c r="K30" s="750"/>
      <c r="L30" s="750"/>
      <c r="M30" s="750"/>
      <c r="N30" s="750"/>
      <c r="O30" s="750"/>
      <c r="P30" s="750"/>
      <c r="Q30" s="750"/>
      <c r="R30" s="750"/>
      <c r="S30" s="750"/>
      <c r="T30" s="750"/>
      <c r="U30" s="750"/>
      <c r="V30" s="751"/>
      <c r="W30" s="731"/>
      <c r="X30" s="285"/>
      <c r="Y30" s="285"/>
      <c r="Z30" s="285"/>
      <c r="AA30" s="285"/>
      <c r="AB30" s="285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85"/>
      <c r="AO30" s="285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85"/>
      <c r="BB30" s="285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85"/>
      <c r="BO30" s="285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85"/>
      <c r="CB30" s="285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85"/>
      <c r="CO30" s="285"/>
      <c r="CP30" s="285"/>
      <c r="CQ30" s="285"/>
      <c r="CR30" s="285"/>
    </row>
    <row r="31" spans="1:96" ht="15.6">
      <c r="A31" s="308" t="s">
        <v>298</v>
      </c>
      <c r="B31" s="309"/>
      <c r="C31" s="748">
        <f ca="1">'BKDEPR 144A'!F67</f>
        <v>3307.0251421248604</v>
      </c>
      <c r="D31" s="752">
        <f ca="1">'BKDEPR 144A'!G67</f>
        <v>5669.1859579283318</v>
      </c>
      <c r="E31" s="752">
        <f ca="1">'BKDEPR 144A'!H67</f>
        <v>5669.1859579283318</v>
      </c>
      <c r="F31" s="752">
        <f ca="1">'BKDEPR 144A'!I67</f>
        <v>5669.1859579283318</v>
      </c>
      <c r="G31" s="752">
        <f ca="1">'BKDEPR 144A'!J67</f>
        <v>5669.1859579283318</v>
      </c>
      <c r="H31" s="752">
        <f ca="1">'BKDEPR 144A'!K67</f>
        <v>5669.1859579283318</v>
      </c>
      <c r="I31" s="752">
        <f ca="1">'BKDEPR 144A'!L67</f>
        <v>5669.1859579283318</v>
      </c>
      <c r="J31" s="752">
        <f ca="1">'BKDEPR 144A'!M67</f>
        <v>5669.1859579283318</v>
      </c>
      <c r="K31" s="752">
        <f ca="1">'BKDEPR 144A'!N67</f>
        <v>5669.1859579283318</v>
      </c>
      <c r="L31" s="752">
        <f ca="1">'BKDEPR 144A'!O67</f>
        <v>5669.1859579283318</v>
      </c>
      <c r="M31" s="752">
        <f ca="1">'BKDEPR 144A'!P67</f>
        <v>5669.1859579283318</v>
      </c>
      <c r="N31" s="752">
        <f ca="1">'BKDEPR 144A'!Q67</f>
        <v>5669.1859579283318</v>
      </c>
      <c r="O31" s="752">
        <f ca="1">'BKDEPR 144A'!R67</f>
        <v>5669.1859579283318</v>
      </c>
      <c r="P31" s="752">
        <f ca="1">'BKDEPR 144A'!S67</f>
        <v>5669.1859579283318</v>
      </c>
      <c r="Q31" s="752">
        <f ca="1">'BKDEPR 144A'!T67</f>
        <v>5669.1859579283318</v>
      </c>
      <c r="R31" s="752">
        <f ca="1">'BKDEPR 144A'!U67</f>
        <v>5669.1859579283318</v>
      </c>
      <c r="S31" s="752">
        <f ca="1">'BKDEPR 144A'!V67</f>
        <v>5669.1859579283318</v>
      </c>
      <c r="T31" s="752">
        <f ca="1">'BKDEPR 144A'!W67</f>
        <v>5669.1859579283318</v>
      </c>
      <c r="U31" s="752">
        <f ca="1">'BKDEPR 144A'!X67</f>
        <v>5669.1859579283318</v>
      </c>
      <c r="V31" s="753">
        <f ca="1">'BKDEPR 144A'!Y67</f>
        <v>5669.1859579283318</v>
      </c>
      <c r="W31" s="731"/>
      <c r="X31" s="285"/>
      <c r="Y31" s="285"/>
      <c r="Z31" s="285"/>
      <c r="AA31" s="285"/>
      <c r="AB31" s="285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85"/>
      <c r="AO31" s="285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85"/>
      <c r="BB31" s="285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85"/>
      <c r="BO31" s="285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85"/>
      <c r="CB31" s="285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85"/>
      <c r="CO31" s="285"/>
      <c r="CP31" s="285"/>
      <c r="CQ31" s="285"/>
      <c r="CR31" s="285"/>
    </row>
    <row r="32" spans="1:96" ht="15.6">
      <c r="A32" s="308"/>
      <c r="B32" s="309"/>
      <c r="C32" s="749"/>
      <c r="D32" s="750"/>
      <c r="E32" s="750"/>
      <c r="F32" s="750"/>
      <c r="G32" s="750"/>
      <c r="H32" s="750"/>
      <c r="I32" s="750"/>
      <c r="J32" s="750"/>
      <c r="K32" s="750"/>
      <c r="L32" s="750"/>
      <c r="M32" s="750"/>
      <c r="N32" s="750"/>
      <c r="O32" s="750"/>
      <c r="P32" s="750"/>
      <c r="Q32" s="750"/>
      <c r="R32" s="750"/>
      <c r="S32" s="750"/>
      <c r="T32" s="750"/>
      <c r="U32" s="750"/>
      <c r="V32" s="751"/>
      <c r="W32" s="731"/>
      <c r="X32" s="285"/>
      <c r="Y32" s="285"/>
      <c r="Z32" s="285"/>
      <c r="AA32" s="285"/>
      <c r="AB32" s="285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5"/>
      <c r="AN32" s="285"/>
      <c r="AO32" s="285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5"/>
      <c r="BA32" s="285"/>
      <c r="BB32" s="285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5"/>
      <c r="BN32" s="285"/>
      <c r="BO32" s="285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5"/>
      <c r="CA32" s="285"/>
      <c r="CB32" s="285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5"/>
      <c r="CN32" s="285"/>
      <c r="CO32" s="285"/>
      <c r="CP32" s="285"/>
      <c r="CQ32" s="285"/>
      <c r="CR32" s="285"/>
    </row>
    <row r="33" spans="1:96" ht="15.6">
      <c r="A33" s="306" t="s">
        <v>299</v>
      </c>
      <c r="B33" s="310"/>
      <c r="C33" s="741">
        <f t="shared" ref="C33:V33" ca="1" si="5">C29-C31</f>
        <v>6766.5585696642547</v>
      </c>
      <c r="D33" s="742">
        <f t="shared" ca="1" si="5"/>
        <v>15144.956885231129</v>
      </c>
      <c r="E33" s="742">
        <f t="shared" ca="1" si="5"/>
        <v>14235.683152302217</v>
      </c>
      <c r="F33" s="742">
        <f t="shared" ca="1" si="5"/>
        <v>15725.183239299336</v>
      </c>
      <c r="G33" s="742">
        <f t="shared" ca="1" si="5"/>
        <v>16509.928676088959</v>
      </c>
      <c r="H33" s="742">
        <f t="shared" ca="1" si="5"/>
        <v>8352.549675094182</v>
      </c>
      <c r="I33" s="742">
        <f t="shared" ca="1" si="5"/>
        <v>15446.993850149405</v>
      </c>
      <c r="J33" s="742">
        <f t="shared" ca="1" si="5"/>
        <v>23638.369077077034</v>
      </c>
      <c r="K33" s="742">
        <f t="shared" ca="1" si="5"/>
        <v>24805.394668028493</v>
      </c>
      <c r="L33" s="742">
        <f t="shared" ca="1" si="5"/>
        <v>23380.292024660848</v>
      </c>
      <c r="M33" s="742">
        <f t="shared" ca="1" si="5"/>
        <v>24765.86016068732</v>
      </c>
      <c r="N33" s="742">
        <f t="shared" ca="1" si="5"/>
        <v>23681.491617917949</v>
      </c>
      <c r="O33" s="742">
        <f t="shared" ca="1" si="5"/>
        <v>23193.537726965245</v>
      </c>
      <c r="P33" s="742">
        <f t="shared" ca="1" si="5"/>
        <v>20753.465993519196</v>
      </c>
      <c r="Q33" s="742">
        <f t="shared" ca="1" si="5"/>
        <v>26800.410446428941</v>
      </c>
      <c r="R33" s="742">
        <f t="shared" ca="1" si="5"/>
        <v>33032.076293423539</v>
      </c>
      <c r="S33" s="742">
        <f t="shared" ca="1" si="5"/>
        <v>38967.154996766491</v>
      </c>
      <c r="T33" s="742">
        <f t="shared" ca="1" si="5"/>
        <v>39568.010847249025</v>
      </c>
      <c r="U33" s="742">
        <f t="shared" ca="1" si="5"/>
        <v>41594.533186194567</v>
      </c>
      <c r="V33" s="744">
        <f t="shared" ca="1" si="5"/>
        <v>33422.027390774201</v>
      </c>
      <c r="W33" s="731"/>
      <c r="X33" s="285"/>
      <c r="Y33" s="285"/>
      <c r="Z33" s="285"/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85"/>
      <c r="AM33" s="285"/>
      <c r="AN33" s="285"/>
      <c r="AO33" s="285"/>
      <c r="AP33" s="285"/>
      <c r="AQ33" s="285"/>
      <c r="AR33" s="285"/>
      <c r="AS33" s="285"/>
      <c r="AT33" s="285"/>
      <c r="AU33" s="285"/>
      <c r="AV33" s="285"/>
      <c r="AW33" s="285"/>
      <c r="AX33" s="285"/>
      <c r="AY33" s="285"/>
      <c r="AZ33" s="285"/>
      <c r="BA33" s="285"/>
      <c r="BB33" s="285"/>
      <c r="BC33" s="285"/>
      <c r="BD33" s="285"/>
      <c r="BE33" s="285"/>
      <c r="BF33" s="285"/>
      <c r="BG33" s="285"/>
      <c r="BH33" s="285"/>
      <c r="BI33" s="285"/>
      <c r="BJ33" s="285"/>
      <c r="BK33" s="285"/>
      <c r="BL33" s="285"/>
      <c r="BM33" s="285"/>
      <c r="BN33" s="285"/>
      <c r="BO33" s="285"/>
      <c r="BP33" s="285"/>
      <c r="BQ33" s="285"/>
      <c r="BR33" s="285"/>
      <c r="BS33" s="285"/>
      <c r="BT33" s="285"/>
      <c r="BU33" s="285"/>
      <c r="BV33" s="285"/>
      <c r="BW33" s="285"/>
      <c r="BX33" s="285"/>
      <c r="BY33" s="285"/>
      <c r="BZ33" s="285"/>
      <c r="CA33" s="285"/>
      <c r="CB33" s="285"/>
      <c r="CC33" s="285"/>
      <c r="CD33" s="285"/>
      <c r="CE33" s="285"/>
      <c r="CF33" s="285"/>
      <c r="CG33" s="285"/>
      <c r="CH33" s="285"/>
      <c r="CI33" s="285"/>
      <c r="CJ33" s="285"/>
      <c r="CK33" s="285"/>
      <c r="CL33" s="285"/>
      <c r="CM33" s="285"/>
      <c r="CN33" s="285"/>
      <c r="CO33" s="285"/>
      <c r="CP33" s="285"/>
      <c r="CQ33" s="285"/>
      <c r="CR33" s="285"/>
    </row>
    <row r="34" spans="1:96" ht="15.6">
      <c r="A34" s="306"/>
      <c r="B34" s="310"/>
      <c r="C34" s="741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4"/>
      <c r="W34" s="731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85"/>
      <c r="AM34" s="285"/>
      <c r="AN34" s="285"/>
      <c r="AO34" s="285"/>
      <c r="AP34" s="285"/>
      <c r="AQ34" s="285"/>
      <c r="AR34" s="285"/>
      <c r="AS34" s="285"/>
      <c r="AT34" s="285"/>
      <c r="AU34" s="285"/>
      <c r="AV34" s="285"/>
      <c r="AW34" s="285"/>
      <c r="AX34" s="285"/>
      <c r="AY34" s="285"/>
      <c r="AZ34" s="285"/>
      <c r="BA34" s="285"/>
      <c r="BB34" s="285"/>
      <c r="BC34" s="285"/>
      <c r="BD34" s="285"/>
      <c r="BE34" s="285"/>
      <c r="BF34" s="285"/>
      <c r="BG34" s="285"/>
      <c r="BH34" s="285"/>
      <c r="BI34" s="285"/>
      <c r="BJ34" s="285"/>
      <c r="BK34" s="285"/>
      <c r="BL34" s="285"/>
      <c r="BM34" s="285"/>
      <c r="BN34" s="285"/>
      <c r="BO34" s="285"/>
      <c r="BP34" s="285"/>
      <c r="BQ34" s="285"/>
      <c r="BR34" s="285"/>
      <c r="BS34" s="285"/>
      <c r="BT34" s="285"/>
      <c r="BU34" s="285"/>
      <c r="BV34" s="285"/>
      <c r="BW34" s="285"/>
      <c r="BX34" s="285"/>
      <c r="BY34" s="285"/>
      <c r="BZ34" s="285"/>
      <c r="CA34" s="285"/>
      <c r="CB34" s="285"/>
      <c r="CC34" s="285"/>
      <c r="CD34" s="285"/>
      <c r="CE34" s="285"/>
      <c r="CF34" s="285"/>
      <c r="CG34" s="285"/>
      <c r="CH34" s="285"/>
      <c r="CI34" s="285"/>
      <c r="CJ34" s="285"/>
      <c r="CK34" s="285"/>
      <c r="CL34" s="285"/>
      <c r="CM34" s="285"/>
      <c r="CN34" s="285"/>
      <c r="CO34" s="285"/>
      <c r="CP34" s="285"/>
      <c r="CQ34" s="285"/>
      <c r="CR34" s="285"/>
    </row>
    <row r="35" spans="1:96" ht="15.6">
      <c r="A35" s="308" t="s">
        <v>300</v>
      </c>
      <c r="B35" s="309"/>
      <c r="C35" s="735">
        <f>TAXES!C14</f>
        <v>325.51323265238909</v>
      </c>
      <c r="D35" s="736">
        <f ca="1">TAXES!D14</f>
        <v>249.83406468896442</v>
      </c>
      <c r="E35" s="736">
        <f ca="1">TAXES!E14</f>
        <v>281.68944468548443</v>
      </c>
      <c r="F35" s="736">
        <f ca="1">TAXES!F14</f>
        <v>448.37527451206603</v>
      </c>
      <c r="G35" s="736">
        <f ca="1">TAXES!G14</f>
        <v>565.49904183379738</v>
      </c>
      <c r="H35" s="736">
        <f ca="1">TAXES!H14</f>
        <v>274.62462351066887</v>
      </c>
      <c r="I35" s="736">
        <f ca="1">TAXES!I14</f>
        <v>730.30800592013418</v>
      </c>
      <c r="J35" s="736">
        <f ca="1">TAXES!J14</f>
        <v>1221.7905195357921</v>
      </c>
      <c r="K35" s="736">
        <f ca="1">TAXES!K14</f>
        <v>1290.9024570563295</v>
      </c>
      <c r="L35" s="736">
        <f ca="1">TAXES!L14</f>
        <v>1206.3058963908209</v>
      </c>
      <c r="M35" s="736">
        <f ca="1">TAXES!M14</f>
        <v>1288.530386615859</v>
      </c>
      <c r="N35" s="736">
        <f ca="1">TAXES!N14</f>
        <v>1224.3778719862469</v>
      </c>
      <c r="O35" s="736">
        <f ca="1">TAXES!O14</f>
        <v>1194.1910405925346</v>
      </c>
      <c r="P35" s="736">
        <f ca="1">TAXES!P14</f>
        <v>1048.6963345223216</v>
      </c>
      <c r="Q35" s="736">
        <f ca="1">TAXES!Q14</f>
        <v>1410.6034037603563</v>
      </c>
      <c r="R35" s="736">
        <f ca="1">TAXES!R14</f>
        <v>2053.7443437988472</v>
      </c>
      <c r="S35" s="736">
        <f ca="1">TAXES!S14</f>
        <v>2678.1804572816895</v>
      </c>
      <c r="T35" s="736">
        <f ca="1">TAXES!T14</f>
        <v>2714.2318083106416</v>
      </c>
      <c r="U35" s="736">
        <f ca="1">TAXES!U14</f>
        <v>2835.8231486473737</v>
      </c>
      <c r="V35" s="737">
        <f ca="1">TAXES!V14</f>
        <v>2345.4728009221521</v>
      </c>
      <c r="W35" s="731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  <c r="AT35" s="285"/>
      <c r="AU35" s="285"/>
      <c r="AV35" s="285"/>
      <c r="AW35" s="285"/>
      <c r="AX35" s="285"/>
      <c r="AY35" s="285"/>
      <c r="AZ35" s="285"/>
      <c r="BA35" s="285"/>
      <c r="BB35" s="285"/>
      <c r="BC35" s="285"/>
      <c r="BD35" s="285"/>
      <c r="BE35" s="285"/>
      <c r="BF35" s="285"/>
      <c r="BG35" s="285"/>
      <c r="BH35" s="285"/>
      <c r="BI35" s="285"/>
      <c r="BJ35" s="285"/>
      <c r="BK35" s="285"/>
      <c r="BL35" s="285"/>
      <c r="BM35" s="285"/>
      <c r="BN35" s="285"/>
      <c r="BO35" s="285"/>
      <c r="BP35" s="285"/>
      <c r="BQ35" s="285"/>
      <c r="BR35" s="285"/>
      <c r="BS35" s="285"/>
      <c r="BT35" s="285"/>
      <c r="BU35" s="285"/>
      <c r="BV35" s="285"/>
      <c r="BW35" s="285"/>
      <c r="BX35" s="285"/>
      <c r="BY35" s="285"/>
      <c r="BZ35" s="285"/>
      <c r="CA35" s="285"/>
      <c r="CB35" s="285"/>
      <c r="CC35" s="285"/>
      <c r="CD35" s="285"/>
      <c r="CE35" s="285"/>
      <c r="CF35" s="285"/>
      <c r="CG35" s="285"/>
      <c r="CH35" s="285"/>
      <c r="CI35" s="285"/>
      <c r="CJ35" s="285"/>
      <c r="CK35" s="285"/>
      <c r="CL35" s="285"/>
      <c r="CM35" s="285"/>
      <c r="CN35" s="285"/>
      <c r="CO35" s="285"/>
      <c r="CP35" s="285"/>
      <c r="CQ35" s="285"/>
      <c r="CR35" s="285"/>
    </row>
    <row r="36" spans="1:96" ht="15.6">
      <c r="A36" s="303" t="s">
        <v>301</v>
      </c>
      <c r="B36" s="309"/>
      <c r="C36" s="748">
        <f ca="1">(+C33-C35)*TAXES!C26</f>
        <v>2254.3658679541527</v>
      </c>
      <c r="D36" s="752">
        <f ca="1">(+D33-D35)*TAXES!C26</f>
        <v>5213.2929871897577</v>
      </c>
      <c r="E36" s="752">
        <f ca="1">(+E33-E35)*TAXES!C26</f>
        <v>4883.8977976658562</v>
      </c>
      <c r="F36" s="752">
        <f ca="1">(+F33-F35)*TAXES!C26</f>
        <v>5346.8827876755449</v>
      </c>
      <c r="G36" s="752">
        <f ca="1">(+G33-G35)*TAXES!C26</f>
        <v>5580.5503719893068</v>
      </c>
      <c r="H36" s="752">
        <f ca="1">(+H33-H35)*TAXES!C26</f>
        <v>2827.2737680542295</v>
      </c>
      <c r="I36" s="752">
        <f ca="1">(+I33-I35)*TAXES!C26</f>
        <v>5150.840045480244</v>
      </c>
      <c r="J36" s="752">
        <f ca="1">(+J33-J35)*TAXES!C26</f>
        <v>7845.8024951394336</v>
      </c>
      <c r="K36" s="752">
        <f ca="1">(+K33-K35)*TAXES!C26</f>
        <v>8230.0722738402565</v>
      </c>
      <c r="L36" s="752">
        <f ca="1">(+L33-L35)*TAXES!C26</f>
        <v>7760.8951448945081</v>
      </c>
      <c r="M36" s="752">
        <f ca="1">(+M33-M35)*TAXES!C26</f>
        <v>8217.0654209250115</v>
      </c>
      <c r="N36" s="752">
        <f ca="1">(+N33-N35)*TAXES!C26</f>
        <v>7859.989811076096</v>
      </c>
      <c r="O36" s="752">
        <f ca="1">(+O33-O35)*TAXES!C26</f>
        <v>7699.7713402304489</v>
      </c>
      <c r="P36" s="752">
        <f ca="1">(+P33-P35)*TAXES!C26</f>
        <v>6896.6693806489047</v>
      </c>
      <c r="Q36" s="752">
        <f ca="1">(+Q33-Q35)*TAXES!C26</f>
        <v>8886.4324649340033</v>
      </c>
      <c r="R36" s="752">
        <f ca="1">(+R33-R35)*TAXES!C26</f>
        <v>10842.416182368641</v>
      </c>
      <c r="S36" s="752">
        <f ca="1">(+S33-S35)*TAXES!C26</f>
        <v>12701.141088819679</v>
      </c>
      <c r="T36" s="752">
        <f ca="1">(+T33-T35)*TAXES!C26</f>
        <v>12898.822663628433</v>
      </c>
      <c r="U36" s="752">
        <f ca="1">(+U33-U35)*TAXES!C26</f>
        <v>13565.548513141517</v>
      </c>
      <c r="V36" s="754">
        <f ca="1">(+V33-V35)*TAXES!C26</f>
        <v>10876.794106448217</v>
      </c>
      <c r="W36" s="731"/>
      <c r="X36" s="285"/>
      <c r="Y36" s="285"/>
      <c r="Z36" s="285"/>
      <c r="AA36" s="285"/>
      <c r="AB36" s="285"/>
      <c r="AC36" s="285"/>
      <c r="AD36" s="285"/>
      <c r="AE36" s="285"/>
      <c r="AF36" s="285"/>
      <c r="AG36" s="285"/>
      <c r="AH36" s="285"/>
      <c r="AI36" s="285"/>
      <c r="AJ36" s="285"/>
      <c r="AK36" s="285"/>
      <c r="AL36" s="285"/>
      <c r="AM36" s="285"/>
      <c r="AN36" s="285"/>
      <c r="AO36" s="285"/>
      <c r="AP36" s="285"/>
      <c r="AQ36" s="285"/>
      <c r="AR36" s="285"/>
      <c r="AS36" s="285"/>
      <c r="AT36" s="285"/>
      <c r="AU36" s="285"/>
      <c r="AV36" s="285"/>
      <c r="AW36" s="285"/>
      <c r="AX36" s="285"/>
      <c r="AY36" s="285"/>
      <c r="AZ36" s="285"/>
      <c r="BA36" s="285"/>
      <c r="BB36" s="285"/>
      <c r="BC36" s="285"/>
      <c r="BD36" s="285"/>
      <c r="BE36" s="285"/>
      <c r="BF36" s="285"/>
      <c r="BG36" s="285"/>
      <c r="BH36" s="285"/>
      <c r="BI36" s="285"/>
      <c r="BJ36" s="285"/>
      <c r="BK36" s="285"/>
      <c r="BL36" s="285"/>
      <c r="BM36" s="285"/>
      <c r="BN36" s="285"/>
      <c r="BO36" s="285"/>
      <c r="BP36" s="285"/>
      <c r="BQ36" s="285"/>
      <c r="BR36" s="285"/>
      <c r="BS36" s="285"/>
      <c r="BT36" s="285"/>
      <c r="BU36" s="285"/>
      <c r="BV36" s="285"/>
      <c r="BW36" s="285"/>
      <c r="BX36" s="285"/>
      <c r="BY36" s="285"/>
      <c r="BZ36" s="285"/>
      <c r="CA36" s="285"/>
      <c r="CB36" s="285"/>
      <c r="CC36" s="285"/>
      <c r="CD36" s="285"/>
      <c r="CE36" s="285"/>
      <c r="CF36" s="285"/>
      <c r="CG36" s="285"/>
      <c r="CH36" s="285"/>
      <c r="CI36" s="285"/>
      <c r="CJ36" s="285"/>
      <c r="CK36" s="285"/>
      <c r="CL36" s="285"/>
      <c r="CM36" s="285"/>
      <c r="CN36" s="285"/>
      <c r="CO36" s="285"/>
      <c r="CP36" s="285"/>
      <c r="CQ36" s="285"/>
      <c r="CR36" s="285"/>
    </row>
    <row r="37" spans="1:96" ht="15.6">
      <c r="A37" s="303" t="s">
        <v>302</v>
      </c>
      <c r="B37" s="309"/>
      <c r="C37" s="735">
        <f t="shared" ref="C37:V37" ca="1" si="6">C36+C35</f>
        <v>2579.8791006065417</v>
      </c>
      <c r="D37" s="736">
        <f t="shared" ca="1" si="6"/>
        <v>5463.1270518787223</v>
      </c>
      <c r="E37" s="736">
        <f t="shared" ca="1" si="6"/>
        <v>5165.587242351341</v>
      </c>
      <c r="F37" s="736">
        <f t="shared" ca="1" si="6"/>
        <v>5795.2580621876114</v>
      </c>
      <c r="G37" s="736">
        <f t="shared" ca="1" si="6"/>
        <v>6146.0494138231043</v>
      </c>
      <c r="H37" s="736">
        <f t="shared" ca="1" si="6"/>
        <v>3101.8983915648982</v>
      </c>
      <c r="I37" s="736">
        <f t="shared" ca="1" si="6"/>
        <v>5881.1480514003779</v>
      </c>
      <c r="J37" s="736">
        <f t="shared" ca="1" si="6"/>
        <v>9067.5930146752253</v>
      </c>
      <c r="K37" s="736">
        <f t="shared" ca="1" si="6"/>
        <v>9520.9747308965852</v>
      </c>
      <c r="L37" s="736">
        <f t="shared" ca="1" si="6"/>
        <v>8967.2010412853288</v>
      </c>
      <c r="M37" s="736">
        <f t="shared" ca="1" si="6"/>
        <v>9505.5958075408707</v>
      </c>
      <c r="N37" s="736">
        <f t="shared" ca="1" si="6"/>
        <v>9084.3676830623426</v>
      </c>
      <c r="O37" s="736">
        <f t="shared" ca="1" si="6"/>
        <v>8893.9623808229844</v>
      </c>
      <c r="P37" s="736">
        <f t="shared" ca="1" si="6"/>
        <v>7945.3657151712268</v>
      </c>
      <c r="Q37" s="736">
        <f t="shared" ca="1" si="6"/>
        <v>10297.03586869436</v>
      </c>
      <c r="R37" s="736">
        <f t="shared" ca="1" si="6"/>
        <v>12896.160526167489</v>
      </c>
      <c r="S37" s="736">
        <f t="shared" ca="1" si="6"/>
        <v>15379.321546101368</v>
      </c>
      <c r="T37" s="736">
        <f t="shared" ca="1" si="6"/>
        <v>15613.054471939075</v>
      </c>
      <c r="U37" s="736">
        <f t="shared" ca="1" si="6"/>
        <v>16401.371661788889</v>
      </c>
      <c r="V37" s="737">
        <f t="shared" ca="1" si="6"/>
        <v>13222.266907370369</v>
      </c>
      <c r="W37" s="731"/>
      <c r="X37" s="285"/>
      <c r="Y37" s="285"/>
      <c r="Z37" s="285"/>
      <c r="AA37" s="285"/>
      <c r="AB37" s="285"/>
      <c r="AC37" s="285"/>
      <c r="AD37" s="285"/>
      <c r="AE37" s="285"/>
      <c r="AF37" s="285"/>
      <c r="AG37" s="285"/>
      <c r="AH37" s="285"/>
      <c r="AI37" s="285"/>
      <c r="AJ37" s="285"/>
      <c r="AK37" s="285"/>
      <c r="AL37" s="285"/>
      <c r="AM37" s="285"/>
      <c r="AN37" s="285"/>
      <c r="AO37" s="285"/>
      <c r="AP37" s="285"/>
      <c r="AQ37" s="285"/>
      <c r="AR37" s="285"/>
      <c r="AS37" s="285"/>
      <c r="AT37" s="285"/>
      <c r="AU37" s="285"/>
      <c r="AV37" s="285"/>
      <c r="AW37" s="285"/>
      <c r="AX37" s="285"/>
      <c r="AY37" s="285"/>
      <c r="AZ37" s="285"/>
      <c r="BA37" s="285"/>
      <c r="BB37" s="285"/>
      <c r="BC37" s="285"/>
      <c r="BD37" s="285"/>
      <c r="BE37" s="285"/>
      <c r="BF37" s="285"/>
      <c r="BG37" s="285"/>
      <c r="BH37" s="285"/>
      <c r="BI37" s="285"/>
      <c r="BJ37" s="285"/>
      <c r="BK37" s="285"/>
      <c r="BL37" s="285"/>
      <c r="BM37" s="285"/>
      <c r="BN37" s="285"/>
      <c r="BO37" s="285"/>
      <c r="BP37" s="285"/>
      <c r="BQ37" s="285"/>
      <c r="BR37" s="285"/>
      <c r="BS37" s="285"/>
      <c r="BT37" s="285"/>
      <c r="BU37" s="285"/>
      <c r="BV37" s="285"/>
      <c r="BW37" s="285"/>
      <c r="BX37" s="285"/>
      <c r="BY37" s="285"/>
      <c r="BZ37" s="285"/>
      <c r="CA37" s="285"/>
      <c r="CB37" s="285"/>
      <c r="CC37" s="285"/>
      <c r="CD37" s="285"/>
      <c r="CE37" s="285"/>
      <c r="CF37" s="285"/>
      <c r="CG37" s="285"/>
      <c r="CH37" s="285"/>
      <c r="CI37" s="285"/>
      <c r="CJ37" s="285"/>
      <c r="CK37" s="285"/>
      <c r="CL37" s="285"/>
      <c r="CM37" s="285"/>
      <c r="CN37" s="285"/>
      <c r="CO37" s="285"/>
      <c r="CP37" s="285"/>
      <c r="CQ37" s="285"/>
      <c r="CR37" s="285"/>
    </row>
    <row r="38" spans="1:96" ht="15.6">
      <c r="A38" s="303"/>
      <c r="B38" s="309"/>
      <c r="C38" s="748"/>
      <c r="D38" s="752"/>
      <c r="E38" s="752"/>
      <c r="F38" s="752"/>
      <c r="G38" s="752"/>
      <c r="H38" s="752"/>
      <c r="I38" s="752"/>
      <c r="J38" s="752"/>
      <c r="K38" s="752"/>
      <c r="L38" s="752"/>
      <c r="M38" s="752"/>
      <c r="N38" s="752"/>
      <c r="O38" s="752"/>
      <c r="P38" s="752"/>
      <c r="Q38" s="752"/>
      <c r="R38" s="752"/>
      <c r="S38" s="752"/>
      <c r="T38" s="752"/>
      <c r="U38" s="752"/>
      <c r="V38" s="753"/>
      <c r="W38" s="731"/>
      <c r="X38" s="285"/>
      <c r="Y38" s="285"/>
      <c r="Z38" s="285"/>
      <c r="AA38" s="285"/>
      <c r="AB38" s="285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85"/>
      <c r="AO38" s="285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85"/>
      <c r="BB38" s="285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85"/>
      <c r="BO38" s="285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85"/>
      <c r="CB38" s="285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85"/>
      <c r="CO38" s="285"/>
      <c r="CP38" s="285"/>
      <c r="CQ38" s="285"/>
      <c r="CR38" s="285"/>
    </row>
    <row r="39" spans="1:96" ht="16.2" thickBot="1">
      <c r="A39" s="311" t="s">
        <v>303</v>
      </c>
      <c r="B39" s="285"/>
      <c r="C39" s="755">
        <f t="shared" ref="C39:V39" ca="1" si="7">C33-C37</f>
        <v>4186.6794690577135</v>
      </c>
      <c r="D39" s="756">
        <f t="shared" ca="1" si="7"/>
        <v>9681.8298333524071</v>
      </c>
      <c r="E39" s="756">
        <f t="shared" ca="1" si="7"/>
        <v>9070.0959099508764</v>
      </c>
      <c r="F39" s="756">
        <f t="shared" ca="1" si="7"/>
        <v>9929.9251771117251</v>
      </c>
      <c r="G39" s="756">
        <f t="shared" ca="1" si="7"/>
        <v>10363.879262265855</v>
      </c>
      <c r="H39" s="756">
        <f t="shared" ca="1" si="7"/>
        <v>5250.6512835292833</v>
      </c>
      <c r="I39" s="756">
        <f t="shared" ca="1" si="7"/>
        <v>9565.8457987490274</v>
      </c>
      <c r="J39" s="756">
        <f t="shared" ca="1" si="7"/>
        <v>14570.776062401808</v>
      </c>
      <c r="K39" s="756">
        <f t="shared" ca="1" si="7"/>
        <v>15284.419937131908</v>
      </c>
      <c r="L39" s="756">
        <f t="shared" ca="1" si="7"/>
        <v>14413.090983375519</v>
      </c>
      <c r="M39" s="756">
        <f t="shared" ca="1" si="7"/>
        <v>15260.264353146449</v>
      </c>
      <c r="N39" s="756">
        <f t="shared" ca="1" si="7"/>
        <v>14597.123934855606</v>
      </c>
      <c r="O39" s="756">
        <f t="shared" ca="1" si="7"/>
        <v>14299.575346142261</v>
      </c>
      <c r="P39" s="756">
        <f t="shared" ca="1" si="7"/>
        <v>12808.100278347969</v>
      </c>
      <c r="Q39" s="756">
        <f t="shared" ca="1" si="7"/>
        <v>16503.374577734583</v>
      </c>
      <c r="R39" s="756">
        <f t="shared" ca="1" si="7"/>
        <v>20135.91576725605</v>
      </c>
      <c r="S39" s="756">
        <f t="shared" ca="1" si="7"/>
        <v>23587.833450665123</v>
      </c>
      <c r="T39" s="756">
        <f t="shared" ca="1" si="7"/>
        <v>23954.95637530995</v>
      </c>
      <c r="U39" s="756">
        <f t="shared" ca="1" si="7"/>
        <v>25193.161524405677</v>
      </c>
      <c r="V39" s="757">
        <f t="shared" ca="1" si="7"/>
        <v>20199.760483403832</v>
      </c>
      <c r="W39" s="731"/>
      <c r="X39" s="285"/>
      <c r="Y39" s="285"/>
      <c r="Z39" s="285"/>
      <c r="AA39" s="285"/>
      <c r="AB39" s="285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85"/>
      <c r="AO39" s="285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85"/>
      <c r="BB39" s="285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85"/>
      <c r="BO39" s="285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85"/>
      <c r="CB39" s="285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85"/>
      <c r="CO39" s="285"/>
      <c r="CP39" s="285"/>
      <c r="CQ39" s="285"/>
      <c r="CR39" s="285"/>
    </row>
    <row r="40" spans="1:96" ht="16.2" thickTop="1">
      <c r="A40" s="312"/>
      <c r="B40" s="312"/>
      <c r="C40" s="731"/>
      <c r="D40" s="731"/>
      <c r="E40" s="731"/>
      <c r="F40" s="731"/>
      <c r="G40" s="731"/>
      <c r="H40" s="731"/>
      <c r="I40" s="731"/>
      <c r="J40" s="731"/>
      <c r="K40" s="731"/>
      <c r="L40" s="731"/>
      <c r="M40" s="731"/>
      <c r="N40" s="731"/>
      <c r="O40" s="731"/>
      <c r="P40" s="731"/>
      <c r="Q40" s="731"/>
      <c r="R40" s="731"/>
      <c r="S40" s="731"/>
      <c r="T40" s="731"/>
      <c r="U40" s="731"/>
      <c r="V40" s="731"/>
      <c r="W40" s="285"/>
      <c r="X40" s="285"/>
      <c r="Y40" s="285"/>
      <c r="Z40" s="285"/>
      <c r="AA40" s="285"/>
      <c r="AB40" s="285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85"/>
      <c r="AO40" s="285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85"/>
      <c r="BB40" s="285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85"/>
      <c r="BO40" s="285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85"/>
      <c r="CB40" s="285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85"/>
      <c r="CO40" s="285"/>
      <c r="CP40" s="285"/>
      <c r="CQ40" s="285"/>
      <c r="CR40" s="285"/>
    </row>
    <row r="41" spans="1:96" ht="15.6">
      <c r="A41" s="285"/>
      <c r="B41" s="285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99"/>
      <c r="X41" s="299"/>
      <c r="Y41" s="295"/>
      <c r="Z41" s="295"/>
      <c r="AA41" s="295"/>
      <c r="AB41" s="295"/>
      <c r="AC41" s="295"/>
      <c r="AD41" s="295"/>
      <c r="AE41" s="295"/>
      <c r="AF41" s="295"/>
      <c r="AG41" s="295"/>
      <c r="AH41" s="295"/>
      <c r="AI41" s="295"/>
      <c r="AJ41" s="295"/>
      <c r="AK41" s="295"/>
      <c r="AL41" s="295"/>
      <c r="AM41" s="295"/>
      <c r="AN41" s="295"/>
      <c r="AO41" s="295"/>
      <c r="AP41" s="295"/>
      <c r="AQ41" s="295"/>
      <c r="AR41" s="295"/>
      <c r="AS41" s="295"/>
      <c r="AT41" s="295"/>
      <c r="AU41" s="295"/>
      <c r="AV41" s="295"/>
      <c r="AW41" s="295"/>
      <c r="AX41" s="295"/>
      <c r="AY41" s="295"/>
      <c r="AZ41" s="295"/>
      <c r="BA41" s="295"/>
      <c r="BB41" s="295"/>
      <c r="BC41" s="295"/>
      <c r="BD41" s="295"/>
      <c r="BE41" s="295"/>
      <c r="BF41" s="295"/>
      <c r="BG41" s="295"/>
      <c r="BH41" s="295"/>
      <c r="BI41" s="295"/>
      <c r="BJ41" s="295"/>
      <c r="BK41" s="295"/>
      <c r="BL41" s="295"/>
      <c r="BM41" s="285"/>
      <c r="BN41" s="285"/>
      <c r="BO41" s="285"/>
      <c r="BP41" s="285"/>
      <c r="BQ41" s="285"/>
      <c r="BR41" s="285"/>
      <c r="BS41" s="285"/>
      <c r="BT41" s="285"/>
      <c r="BU41" s="285"/>
      <c r="BV41" s="285"/>
      <c r="BW41" s="285"/>
      <c r="BX41" s="285"/>
      <c r="BY41" s="285"/>
      <c r="BZ41" s="285"/>
      <c r="CA41" s="285"/>
      <c r="CB41" s="285"/>
      <c r="CC41" s="285"/>
      <c r="CD41" s="285"/>
      <c r="CE41" s="285"/>
      <c r="CF41" s="285"/>
      <c r="CG41" s="285"/>
      <c r="CH41" s="285"/>
      <c r="CI41" s="285"/>
      <c r="CJ41" s="285"/>
      <c r="CK41" s="285"/>
      <c r="CL41" s="285"/>
      <c r="CM41" s="285"/>
      <c r="CN41" s="285"/>
      <c r="CO41" s="285"/>
      <c r="CP41" s="285"/>
      <c r="CQ41" s="285"/>
      <c r="CR41" s="285"/>
    </row>
    <row r="42" spans="1:96" ht="15.6">
      <c r="A42" s="285"/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5"/>
      <c r="AB42" s="285"/>
      <c r="AC42" s="285"/>
      <c r="AD42" s="285"/>
      <c r="AE42" s="285"/>
      <c r="AF42" s="285"/>
      <c r="AG42" s="285"/>
      <c r="AH42" s="285"/>
      <c r="AI42" s="285"/>
      <c r="AJ42" s="285"/>
      <c r="AK42" s="285"/>
      <c r="AL42" s="285"/>
      <c r="AM42" s="285"/>
      <c r="AN42" s="285"/>
      <c r="AO42" s="285"/>
      <c r="AP42" s="285"/>
      <c r="AQ42" s="285"/>
      <c r="AR42" s="285"/>
      <c r="AS42" s="285"/>
      <c r="AT42" s="285"/>
      <c r="AU42" s="285"/>
      <c r="AV42" s="285"/>
      <c r="AW42" s="285"/>
      <c r="AX42" s="285"/>
      <c r="AY42" s="285"/>
      <c r="AZ42" s="285"/>
      <c r="BA42" s="285"/>
      <c r="BB42" s="285"/>
      <c r="BC42" s="285"/>
      <c r="BD42" s="285"/>
      <c r="BE42" s="285"/>
      <c r="BF42" s="285"/>
      <c r="BG42" s="285"/>
      <c r="BH42" s="285"/>
      <c r="BI42" s="285"/>
      <c r="BJ42" s="285"/>
      <c r="BK42" s="285"/>
      <c r="BL42" s="285"/>
      <c r="BM42" s="285"/>
      <c r="BN42" s="285"/>
      <c r="BO42" s="285"/>
      <c r="BP42" s="285"/>
      <c r="BQ42" s="285"/>
      <c r="BR42" s="285"/>
      <c r="BS42" s="285"/>
      <c r="BT42" s="285"/>
      <c r="BU42" s="285"/>
      <c r="BV42" s="285"/>
      <c r="BW42" s="285"/>
      <c r="BX42" s="285"/>
      <c r="BY42" s="285"/>
      <c r="BZ42" s="285"/>
      <c r="CA42" s="285"/>
      <c r="CB42" s="285"/>
      <c r="CC42" s="285"/>
      <c r="CD42" s="285"/>
      <c r="CE42" s="285"/>
      <c r="CF42" s="285"/>
      <c r="CG42" s="285"/>
      <c r="CH42" s="285"/>
      <c r="CI42" s="285"/>
      <c r="CJ42" s="285"/>
      <c r="CK42" s="285"/>
      <c r="CL42" s="285"/>
      <c r="CM42" s="285"/>
      <c r="CN42" s="285"/>
      <c r="CO42" s="285"/>
      <c r="CP42" s="285"/>
      <c r="CQ42" s="285"/>
      <c r="CR42" s="285"/>
    </row>
    <row r="43" spans="1:96" ht="15.6">
      <c r="A43" s="285"/>
      <c r="B43" s="285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95"/>
      <c r="X43" s="295"/>
      <c r="Y43" s="295"/>
      <c r="Z43" s="295"/>
      <c r="AA43" s="313"/>
      <c r="AB43" s="295"/>
      <c r="AC43" s="295"/>
      <c r="AD43" s="313"/>
      <c r="AE43" s="313"/>
      <c r="AF43" s="313"/>
      <c r="AG43" s="295"/>
      <c r="AH43" s="295"/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295"/>
      <c r="AW43" s="295"/>
      <c r="AX43" s="295"/>
      <c r="AY43" s="295"/>
      <c r="AZ43" s="295"/>
      <c r="BA43" s="295"/>
      <c r="BB43" s="295"/>
      <c r="BC43" s="295"/>
      <c r="BD43" s="295"/>
      <c r="BE43" s="295"/>
      <c r="BF43" s="313"/>
      <c r="BG43" s="313"/>
      <c r="BH43" s="295"/>
      <c r="BI43" s="295"/>
      <c r="BJ43" s="313"/>
      <c r="BK43" s="305"/>
      <c r="BL43" s="285"/>
      <c r="BM43" s="285"/>
      <c r="BN43" s="285"/>
      <c r="BO43" s="285"/>
      <c r="BP43" s="285"/>
      <c r="BQ43" s="285"/>
      <c r="BR43" s="285"/>
      <c r="BS43" s="285"/>
      <c r="BT43" s="285"/>
      <c r="BU43" s="285"/>
      <c r="BV43" s="285"/>
      <c r="BW43" s="285"/>
      <c r="BX43" s="285"/>
      <c r="BY43" s="285"/>
      <c r="BZ43" s="285"/>
      <c r="CA43" s="285"/>
      <c r="CB43" s="285"/>
      <c r="CC43" s="285"/>
      <c r="CD43" s="285"/>
      <c r="CE43" s="285"/>
      <c r="CF43" s="285"/>
      <c r="CG43" s="285"/>
      <c r="CH43" s="285"/>
      <c r="CI43" s="285"/>
      <c r="CJ43" s="285"/>
      <c r="CK43" s="285"/>
      <c r="CL43" s="285"/>
      <c r="CM43" s="285"/>
      <c r="CN43" s="285"/>
      <c r="CO43" s="285"/>
      <c r="CP43" s="285"/>
      <c r="CQ43" s="285"/>
      <c r="CR43" s="285"/>
    </row>
    <row r="44" spans="1:96" ht="15.6">
      <c r="A44" s="285"/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285"/>
      <c r="W44" s="295"/>
      <c r="X44" s="295"/>
      <c r="Y44" s="295"/>
      <c r="Z44" s="295"/>
      <c r="AA44" s="313"/>
      <c r="AB44" s="295"/>
      <c r="AC44" s="295"/>
      <c r="AD44" s="313"/>
      <c r="AE44" s="313"/>
      <c r="AF44" s="313"/>
      <c r="AG44" s="295"/>
      <c r="AH44" s="295"/>
      <c r="AI44" s="295"/>
      <c r="AJ44" s="295"/>
      <c r="AK44" s="295"/>
      <c r="AL44" s="295"/>
      <c r="AM44" s="295"/>
      <c r="AN44" s="295"/>
      <c r="AO44" s="295"/>
      <c r="AP44" s="295"/>
      <c r="AQ44" s="295"/>
      <c r="AR44" s="295"/>
      <c r="AS44" s="295"/>
      <c r="AT44" s="295"/>
      <c r="AU44" s="295"/>
      <c r="AV44" s="295"/>
      <c r="AW44" s="295"/>
      <c r="AX44" s="295"/>
      <c r="AY44" s="295"/>
      <c r="AZ44" s="295"/>
      <c r="BA44" s="295"/>
      <c r="BB44" s="295"/>
      <c r="BC44" s="295"/>
      <c r="BD44" s="295"/>
      <c r="BE44" s="295"/>
      <c r="BF44" s="313"/>
      <c r="BG44" s="313"/>
      <c r="BH44" s="295"/>
      <c r="BI44" s="295"/>
      <c r="BJ44" s="313"/>
      <c r="BK44" s="305"/>
      <c r="BL44" s="285"/>
      <c r="BM44" s="285"/>
      <c r="BN44" s="285"/>
      <c r="BO44" s="285"/>
      <c r="BP44" s="285"/>
      <c r="BQ44" s="285"/>
      <c r="BR44" s="285"/>
      <c r="BS44" s="285"/>
      <c r="BT44" s="285"/>
      <c r="BU44" s="285"/>
      <c r="BV44" s="285"/>
      <c r="BW44" s="285"/>
      <c r="BX44" s="285"/>
      <c r="BY44" s="285"/>
      <c r="BZ44" s="285"/>
      <c r="CA44" s="285"/>
      <c r="CB44" s="285"/>
      <c r="CC44" s="285"/>
      <c r="CD44" s="285"/>
      <c r="CE44" s="285"/>
      <c r="CF44" s="285"/>
      <c r="CG44" s="285"/>
      <c r="CH44" s="285"/>
      <c r="CI44" s="285"/>
      <c r="CJ44" s="285"/>
      <c r="CK44" s="285"/>
      <c r="CL44" s="285"/>
      <c r="CM44" s="285"/>
      <c r="CN44" s="285"/>
      <c r="CO44" s="285"/>
      <c r="CP44" s="285"/>
      <c r="CQ44" s="285"/>
      <c r="CR44" s="285"/>
    </row>
    <row r="45" spans="1:96" ht="15.6">
      <c r="A45" s="285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285"/>
      <c r="W45" s="295"/>
      <c r="X45" s="295"/>
      <c r="Y45" s="295"/>
      <c r="Z45" s="295"/>
      <c r="AA45" s="313"/>
      <c r="AB45" s="295"/>
      <c r="AC45" s="295"/>
      <c r="AD45" s="313"/>
      <c r="AE45" s="313"/>
      <c r="AF45" s="313"/>
      <c r="AG45" s="295"/>
      <c r="AH45" s="295"/>
      <c r="AI45" s="295"/>
      <c r="AJ45" s="295"/>
      <c r="AK45" s="295"/>
      <c r="AL45" s="295"/>
      <c r="AM45" s="295"/>
      <c r="AN45" s="295"/>
      <c r="AO45" s="295"/>
      <c r="AP45" s="295"/>
      <c r="AQ45" s="295"/>
      <c r="AR45" s="295"/>
      <c r="AS45" s="295"/>
      <c r="AT45" s="295"/>
      <c r="AU45" s="295"/>
      <c r="AV45" s="295"/>
      <c r="AW45" s="295"/>
      <c r="AX45" s="295"/>
      <c r="AY45" s="295"/>
      <c r="AZ45" s="295"/>
      <c r="BA45" s="295"/>
      <c r="BB45" s="295"/>
      <c r="BC45" s="295"/>
      <c r="BD45" s="295"/>
      <c r="BE45" s="295"/>
      <c r="BF45" s="313"/>
      <c r="BG45" s="313"/>
      <c r="BH45" s="295"/>
      <c r="BI45" s="295"/>
      <c r="BJ45" s="313"/>
      <c r="BK45" s="305"/>
      <c r="BL45" s="285"/>
      <c r="BM45" s="285"/>
      <c r="BN45" s="285"/>
      <c r="BO45" s="285"/>
      <c r="BP45" s="285"/>
      <c r="BQ45" s="285"/>
      <c r="BR45" s="285"/>
      <c r="BS45" s="285"/>
      <c r="BT45" s="285"/>
      <c r="BU45" s="285"/>
      <c r="BV45" s="285"/>
      <c r="BW45" s="285"/>
      <c r="BX45" s="285"/>
      <c r="BY45" s="285"/>
      <c r="BZ45" s="285"/>
      <c r="CA45" s="285"/>
      <c r="CB45" s="285"/>
      <c r="CC45" s="285"/>
      <c r="CD45" s="285"/>
      <c r="CE45" s="285"/>
      <c r="CF45" s="285"/>
      <c r="CG45" s="285"/>
      <c r="CH45" s="285"/>
      <c r="CI45" s="285"/>
      <c r="CJ45" s="285"/>
      <c r="CK45" s="285"/>
      <c r="CL45" s="285"/>
      <c r="CM45" s="285"/>
      <c r="CN45" s="285"/>
      <c r="CO45" s="285"/>
      <c r="CP45" s="285"/>
      <c r="CQ45" s="285"/>
      <c r="CR45" s="285"/>
    </row>
    <row r="46" spans="1:96" ht="15.6">
      <c r="A46" s="285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285"/>
      <c r="W46" s="285"/>
      <c r="X46" s="285"/>
      <c r="Y46" s="285"/>
      <c r="Z46" s="285"/>
      <c r="AA46" s="285"/>
      <c r="AB46" s="285"/>
      <c r="AC46" s="285"/>
      <c r="AD46" s="285"/>
      <c r="AE46" s="285"/>
      <c r="AF46" s="285"/>
      <c r="AG46" s="285"/>
      <c r="AH46" s="285"/>
      <c r="AI46" s="285"/>
      <c r="AJ46" s="285"/>
      <c r="AK46" s="285"/>
      <c r="AL46" s="285"/>
      <c r="AM46" s="285"/>
      <c r="AN46" s="285"/>
      <c r="AO46" s="285"/>
      <c r="AP46" s="285"/>
      <c r="AQ46" s="285"/>
      <c r="AR46" s="285"/>
      <c r="AS46" s="285"/>
      <c r="AT46" s="285"/>
      <c r="AU46" s="285"/>
      <c r="AV46" s="285"/>
      <c r="AW46" s="285"/>
      <c r="AX46" s="285"/>
      <c r="AY46" s="285"/>
      <c r="AZ46" s="285"/>
      <c r="BA46" s="285"/>
      <c r="BB46" s="285"/>
      <c r="BC46" s="285"/>
      <c r="BD46" s="285"/>
      <c r="BE46" s="285"/>
      <c r="BF46" s="285"/>
      <c r="BG46" s="285"/>
      <c r="BH46" s="285"/>
      <c r="BI46" s="285"/>
      <c r="BJ46" s="285"/>
      <c r="BK46" s="285"/>
      <c r="BL46" s="285"/>
      <c r="BM46" s="285"/>
      <c r="BN46" s="285"/>
      <c r="BO46" s="285"/>
      <c r="BP46" s="285"/>
      <c r="BQ46" s="285"/>
      <c r="BR46" s="285"/>
      <c r="BS46" s="285"/>
      <c r="BT46" s="285"/>
      <c r="BU46" s="285"/>
      <c r="BV46" s="285"/>
      <c r="BW46" s="285"/>
      <c r="BX46" s="285"/>
      <c r="BY46" s="285"/>
      <c r="BZ46" s="285"/>
      <c r="CA46" s="285"/>
      <c r="CB46" s="285"/>
      <c r="CC46" s="285"/>
      <c r="CD46" s="285"/>
      <c r="CE46" s="285"/>
      <c r="CF46" s="285"/>
      <c r="CG46" s="285"/>
      <c r="CH46" s="285"/>
      <c r="CI46" s="285"/>
      <c r="CJ46" s="285"/>
      <c r="CK46" s="285"/>
      <c r="CL46" s="285"/>
      <c r="CM46" s="285"/>
      <c r="CN46" s="285"/>
      <c r="CO46" s="285"/>
      <c r="CP46" s="285"/>
      <c r="CQ46" s="285"/>
      <c r="CR46" s="285"/>
    </row>
    <row r="47" spans="1:96" ht="15.6">
      <c r="A47" s="285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5"/>
      <c r="AF47" s="285"/>
      <c r="AG47" s="285"/>
      <c r="AH47" s="285"/>
      <c r="AI47" s="285"/>
      <c r="AJ47" s="285"/>
      <c r="AK47" s="285"/>
      <c r="AL47" s="285"/>
      <c r="AM47" s="285"/>
      <c r="AN47" s="285"/>
      <c r="AO47" s="285"/>
      <c r="AP47" s="285"/>
      <c r="AQ47" s="285"/>
      <c r="AR47" s="285"/>
      <c r="AS47" s="285"/>
      <c r="AT47" s="285"/>
      <c r="AU47" s="285"/>
      <c r="AV47" s="285"/>
      <c r="AW47" s="285"/>
      <c r="AX47" s="285"/>
      <c r="AY47" s="285"/>
      <c r="AZ47" s="285"/>
      <c r="BA47" s="285"/>
      <c r="BB47" s="285"/>
      <c r="BC47" s="285"/>
      <c r="BD47" s="285"/>
      <c r="BE47" s="285"/>
      <c r="BF47" s="285"/>
      <c r="BG47" s="285"/>
      <c r="BH47" s="285"/>
      <c r="BI47" s="285"/>
      <c r="BJ47" s="285"/>
      <c r="BK47" s="285"/>
      <c r="BL47" s="285"/>
      <c r="BM47" s="285"/>
      <c r="BN47" s="285"/>
      <c r="BO47" s="285"/>
      <c r="BP47" s="285"/>
      <c r="BQ47" s="285"/>
      <c r="BR47" s="285"/>
      <c r="BS47" s="285"/>
      <c r="BT47" s="285"/>
      <c r="BU47" s="285"/>
      <c r="BV47" s="285"/>
      <c r="BW47" s="285"/>
      <c r="BX47" s="285"/>
      <c r="BY47" s="285"/>
      <c r="BZ47" s="285"/>
      <c r="CA47" s="285"/>
      <c r="CB47" s="285"/>
      <c r="CC47" s="285"/>
      <c r="CD47" s="285"/>
      <c r="CE47" s="285"/>
      <c r="CF47" s="285"/>
      <c r="CG47" s="285"/>
      <c r="CH47" s="285"/>
      <c r="CI47" s="285"/>
      <c r="CJ47" s="285"/>
      <c r="CK47" s="285"/>
      <c r="CL47" s="285"/>
      <c r="CM47" s="285"/>
      <c r="CN47" s="285"/>
      <c r="CO47" s="285"/>
      <c r="CP47" s="285"/>
      <c r="CQ47" s="285"/>
      <c r="CR47" s="285"/>
    </row>
    <row r="48" spans="1:96" ht="15.6">
      <c r="A48" s="285"/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85"/>
      <c r="AB48" s="285"/>
      <c r="AC48" s="285"/>
      <c r="AD48" s="285"/>
      <c r="AE48" s="285"/>
      <c r="AF48" s="285"/>
      <c r="AG48" s="285"/>
      <c r="AH48" s="285"/>
      <c r="AI48" s="285"/>
      <c r="AJ48" s="285"/>
      <c r="AK48" s="285"/>
      <c r="AL48" s="285"/>
      <c r="AM48" s="285"/>
      <c r="AN48" s="285"/>
      <c r="AO48" s="285"/>
      <c r="AP48" s="285"/>
      <c r="AQ48" s="285"/>
      <c r="AR48" s="285"/>
      <c r="AS48" s="285"/>
      <c r="AT48" s="285"/>
      <c r="AU48" s="285"/>
      <c r="AV48" s="285"/>
      <c r="AW48" s="285"/>
      <c r="AX48" s="285"/>
      <c r="AY48" s="285"/>
      <c r="AZ48" s="285"/>
      <c r="BA48" s="285"/>
      <c r="BB48" s="285"/>
      <c r="BC48" s="285"/>
      <c r="BD48" s="285"/>
      <c r="BE48" s="285"/>
      <c r="BF48" s="285"/>
      <c r="BG48" s="285"/>
      <c r="BH48" s="285"/>
      <c r="BI48" s="285"/>
      <c r="BJ48" s="285"/>
      <c r="BK48" s="285"/>
      <c r="BL48" s="285"/>
      <c r="BM48" s="285"/>
      <c r="BN48" s="285"/>
      <c r="BO48" s="285"/>
      <c r="BP48" s="285"/>
      <c r="BQ48" s="285"/>
      <c r="BR48" s="285"/>
      <c r="BS48" s="285"/>
      <c r="BT48" s="285"/>
      <c r="BU48" s="285"/>
      <c r="BV48" s="285"/>
      <c r="BW48" s="285"/>
      <c r="BX48" s="285"/>
      <c r="BY48" s="285"/>
      <c r="BZ48" s="285"/>
      <c r="CA48" s="285"/>
      <c r="CB48" s="285"/>
      <c r="CC48" s="285"/>
      <c r="CD48" s="285"/>
      <c r="CE48" s="285"/>
      <c r="CF48" s="285"/>
      <c r="CG48" s="285"/>
      <c r="CH48" s="285"/>
      <c r="CI48" s="285"/>
      <c r="CJ48" s="285"/>
      <c r="CK48" s="285"/>
      <c r="CL48" s="285"/>
      <c r="CM48" s="285"/>
      <c r="CN48" s="285"/>
      <c r="CO48" s="285"/>
      <c r="CP48" s="285"/>
      <c r="CQ48" s="285"/>
      <c r="CR48" s="285"/>
    </row>
    <row r="49" spans="1:96" ht="15.6">
      <c r="A49" s="285"/>
      <c r="B49" s="285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5"/>
      <c r="U49" s="285"/>
      <c r="V49" s="285"/>
      <c r="W49" s="285"/>
      <c r="X49" s="285"/>
      <c r="Y49" s="285"/>
      <c r="Z49" s="285"/>
      <c r="AA49" s="285"/>
      <c r="AB49" s="285"/>
      <c r="AC49" s="285"/>
      <c r="AD49" s="285"/>
      <c r="AE49" s="285"/>
      <c r="AF49" s="285"/>
      <c r="AG49" s="285"/>
      <c r="AH49" s="285"/>
      <c r="AI49" s="285"/>
      <c r="AJ49" s="285"/>
      <c r="AK49" s="285"/>
      <c r="AL49" s="285"/>
      <c r="AM49" s="285"/>
      <c r="AN49" s="285"/>
      <c r="AO49" s="285"/>
      <c r="AP49" s="285"/>
      <c r="AQ49" s="285"/>
      <c r="AR49" s="285"/>
      <c r="AS49" s="285"/>
      <c r="AT49" s="285"/>
      <c r="AU49" s="285"/>
      <c r="AV49" s="285"/>
      <c r="AW49" s="285"/>
      <c r="AX49" s="285"/>
      <c r="AY49" s="285"/>
      <c r="AZ49" s="285"/>
      <c r="BA49" s="285"/>
      <c r="BB49" s="285"/>
      <c r="BC49" s="285"/>
      <c r="BD49" s="285"/>
      <c r="BE49" s="285"/>
      <c r="BF49" s="285"/>
      <c r="BG49" s="285"/>
      <c r="BH49" s="285"/>
      <c r="BI49" s="285"/>
      <c r="BJ49" s="285"/>
      <c r="BK49" s="285"/>
      <c r="BL49" s="285"/>
      <c r="BM49" s="285"/>
      <c r="BN49" s="285"/>
      <c r="BO49" s="285"/>
      <c r="BP49" s="285"/>
      <c r="BQ49" s="285"/>
      <c r="BR49" s="285"/>
      <c r="BS49" s="285"/>
      <c r="BT49" s="285"/>
      <c r="BU49" s="285"/>
      <c r="BV49" s="285"/>
      <c r="BW49" s="285"/>
      <c r="BX49" s="285"/>
      <c r="BY49" s="285"/>
      <c r="BZ49" s="285"/>
      <c r="CA49" s="285"/>
      <c r="CB49" s="285"/>
      <c r="CC49" s="285"/>
      <c r="CD49" s="285"/>
      <c r="CE49" s="285"/>
      <c r="CF49" s="285"/>
      <c r="CG49" s="285"/>
      <c r="CH49" s="285"/>
      <c r="CI49" s="285"/>
      <c r="CJ49" s="285"/>
      <c r="CK49" s="285"/>
      <c r="CL49" s="285"/>
      <c r="CM49" s="285"/>
      <c r="CN49" s="285"/>
      <c r="CO49" s="285"/>
      <c r="CP49" s="285"/>
      <c r="CQ49" s="285"/>
      <c r="CR49" s="285"/>
    </row>
    <row r="50" spans="1:96" ht="15.6">
      <c r="A50" s="285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285"/>
      <c r="W50" s="295"/>
      <c r="X50" s="295"/>
      <c r="Y50" s="295"/>
      <c r="Z50" s="295"/>
      <c r="AA50" s="313"/>
      <c r="AB50" s="295"/>
      <c r="AC50" s="295"/>
      <c r="AD50" s="313"/>
      <c r="AE50" s="313"/>
      <c r="AF50" s="313"/>
      <c r="AG50" s="295"/>
      <c r="AH50" s="295"/>
      <c r="AI50" s="295"/>
      <c r="AJ50" s="295"/>
      <c r="AK50" s="295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  <c r="AV50" s="295"/>
      <c r="AW50" s="295"/>
      <c r="AX50" s="295"/>
      <c r="AY50" s="295"/>
      <c r="AZ50" s="295"/>
      <c r="BA50" s="295"/>
      <c r="BB50" s="295"/>
      <c r="BC50" s="295"/>
      <c r="BD50" s="295"/>
      <c r="BE50" s="295"/>
      <c r="BF50" s="313"/>
      <c r="BG50" s="313"/>
      <c r="BH50" s="295"/>
      <c r="BI50" s="295"/>
      <c r="BJ50" s="313"/>
      <c r="BK50" s="305"/>
      <c r="BL50" s="285"/>
      <c r="BM50" s="285"/>
      <c r="BN50" s="285"/>
      <c r="BO50" s="285"/>
      <c r="BP50" s="285"/>
      <c r="BQ50" s="285"/>
      <c r="BR50" s="285"/>
      <c r="BS50" s="285"/>
      <c r="BT50" s="285"/>
      <c r="BU50" s="285"/>
      <c r="BV50" s="285"/>
      <c r="BW50" s="285"/>
      <c r="BX50" s="285"/>
      <c r="BY50" s="285"/>
      <c r="BZ50" s="285"/>
      <c r="CA50" s="285"/>
      <c r="CB50" s="285"/>
      <c r="CC50" s="285"/>
      <c r="CD50" s="285"/>
      <c r="CE50" s="285"/>
      <c r="CF50" s="285"/>
      <c r="CG50" s="285"/>
      <c r="CH50" s="285"/>
      <c r="CI50" s="285"/>
      <c r="CJ50" s="285"/>
      <c r="CK50" s="285"/>
      <c r="CL50" s="285"/>
      <c r="CM50" s="285"/>
      <c r="CN50" s="285"/>
      <c r="CO50" s="285"/>
      <c r="CP50" s="285"/>
      <c r="CQ50" s="285"/>
      <c r="CR50" s="285"/>
    </row>
    <row r="51" spans="1:96" ht="15.6">
      <c r="A51" s="285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95"/>
      <c r="X51" s="295"/>
      <c r="Y51" s="295"/>
      <c r="Z51" s="295"/>
      <c r="AA51" s="313"/>
      <c r="AB51" s="295"/>
      <c r="AC51" s="295"/>
      <c r="AD51" s="295"/>
      <c r="AE51" s="295"/>
      <c r="AF51" s="295"/>
      <c r="AG51" s="295"/>
      <c r="AH51" s="295"/>
      <c r="AI51" s="295"/>
      <c r="AJ51" s="295"/>
      <c r="AK51" s="295"/>
      <c r="AL51" s="295"/>
      <c r="AM51" s="295"/>
      <c r="AN51" s="295"/>
      <c r="AO51" s="295"/>
      <c r="AP51" s="295"/>
      <c r="AQ51" s="295"/>
      <c r="AR51" s="295"/>
      <c r="AS51" s="295"/>
      <c r="AT51" s="295"/>
      <c r="AU51" s="295"/>
      <c r="AV51" s="295"/>
      <c r="AW51" s="295"/>
      <c r="AX51" s="295"/>
      <c r="AY51" s="295"/>
      <c r="AZ51" s="295"/>
      <c r="BA51" s="295"/>
      <c r="BB51" s="295"/>
      <c r="BC51" s="295"/>
      <c r="BD51" s="295"/>
      <c r="BE51" s="295"/>
      <c r="BF51" s="313"/>
      <c r="BG51" s="313"/>
      <c r="BH51" s="295"/>
      <c r="BI51" s="295"/>
      <c r="BJ51" s="313"/>
      <c r="BK51" s="305"/>
      <c r="BL51" s="285"/>
      <c r="BM51" s="285"/>
      <c r="BN51" s="285"/>
      <c r="BO51" s="285"/>
      <c r="BP51" s="285"/>
      <c r="BQ51" s="285"/>
      <c r="BR51" s="285"/>
      <c r="BS51" s="285"/>
      <c r="BT51" s="285"/>
      <c r="BU51" s="285"/>
      <c r="BV51" s="285"/>
      <c r="BW51" s="285"/>
      <c r="BX51" s="285"/>
      <c r="BY51" s="285"/>
      <c r="BZ51" s="285"/>
      <c r="CA51" s="285"/>
      <c r="CB51" s="285"/>
      <c r="CC51" s="285"/>
      <c r="CD51" s="285"/>
      <c r="CE51" s="285"/>
      <c r="CF51" s="285"/>
      <c r="CG51" s="285"/>
      <c r="CH51" s="285"/>
      <c r="CI51" s="285"/>
      <c r="CJ51" s="285"/>
      <c r="CK51" s="285"/>
      <c r="CL51" s="285"/>
      <c r="CM51" s="285"/>
      <c r="CN51" s="285"/>
      <c r="CO51" s="285"/>
      <c r="CP51" s="285"/>
      <c r="CQ51" s="285"/>
      <c r="CR51" s="285"/>
    </row>
    <row r="52" spans="1:96" ht="15.6">
      <c r="A52" s="285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85"/>
      <c r="AB52" s="285"/>
      <c r="AC52" s="285"/>
      <c r="AD52" s="285"/>
      <c r="AE52" s="285"/>
      <c r="AF52" s="285"/>
      <c r="AG52" s="285"/>
      <c r="AH52" s="285"/>
      <c r="AI52" s="285"/>
      <c r="AJ52" s="285"/>
      <c r="AK52" s="285"/>
      <c r="AL52" s="285"/>
      <c r="AM52" s="285"/>
      <c r="AN52" s="285"/>
      <c r="AO52" s="285"/>
      <c r="AP52" s="285"/>
      <c r="AQ52" s="285"/>
      <c r="AR52" s="285"/>
      <c r="AS52" s="285"/>
      <c r="AT52" s="285"/>
      <c r="AU52" s="285"/>
      <c r="AV52" s="285"/>
      <c r="AW52" s="285"/>
      <c r="AX52" s="285"/>
      <c r="AY52" s="285"/>
      <c r="AZ52" s="285"/>
      <c r="BA52" s="285"/>
      <c r="BB52" s="285"/>
      <c r="BC52" s="285"/>
      <c r="BD52" s="285"/>
      <c r="BE52" s="285"/>
      <c r="BF52" s="285"/>
      <c r="BG52" s="285"/>
      <c r="BH52" s="285"/>
      <c r="BI52" s="285"/>
      <c r="BJ52" s="285"/>
      <c r="BK52" s="285"/>
      <c r="BL52" s="285"/>
      <c r="BM52" s="285"/>
      <c r="BN52" s="285"/>
      <c r="BO52" s="285"/>
      <c r="BP52" s="285"/>
      <c r="BQ52" s="285"/>
      <c r="BR52" s="285"/>
      <c r="BS52" s="285"/>
      <c r="BT52" s="285"/>
      <c r="BU52" s="285"/>
      <c r="BV52" s="285"/>
      <c r="BW52" s="285"/>
      <c r="BX52" s="285"/>
      <c r="BY52" s="285"/>
      <c r="BZ52" s="285"/>
      <c r="CA52" s="285"/>
      <c r="CB52" s="285"/>
      <c r="CC52" s="285"/>
      <c r="CD52" s="285"/>
      <c r="CE52" s="285"/>
      <c r="CF52" s="285"/>
      <c r="CG52" s="285"/>
      <c r="CH52" s="285"/>
      <c r="CI52" s="285"/>
      <c r="CJ52" s="285"/>
      <c r="CK52" s="285"/>
      <c r="CL52" s="285"/>
      <c r="CM52" s="285"/>
      <c r="CN52" s="285"/>
      <c r="CO52" s="285"/>
      <c r="CP52" s="285"/>
      <c r="CQ52" s="285"/>
      <c r="CR52" s="285"/>
    </row>
    <row r="53" spans="1:96" ht="15.6">
      <c r="A53" s="285"/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28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295"/>
      <c r="AW53" s="295"/>
      <c r="AX53" s="295"/>
      <c r="AY53" s="295"/>
      <c r="AZ53" s="295"/>
      <c r="BA53" s="295"/>
      <c r="BB53" s="295"/>
      <c r="BC53" s="295"/>
      <c r="BD53" s="295"/>
      <c r="BE53" s="295"/>
      <c r="BF53" s="313"/>
      <c r="BG53" s="313"/>
      <c r="BH53" s="295"/>
      <c r="BI53" s="295"/>
      <c r="BJ53" s="313"/>
      <c r="BK53" s="305"/>
      <c r="BL53" s="285"/>
      <c r="BM53" s="285"/>
      <c r="BN53" s="285"/>
      <c r="BO53" s="285"/>
      <c r="BP53" s="285"/>
      <c r="BQ53" s="285"/>
      <c r="BR53" s="285"/>
      <c r="BS53" s="285"/>
      <c r="BT53" s="285"/>
      <c r="BU53" s="285"/>
      <c r="BV53" s="285"/>
      <c r="BW53" s="285"/>
      <c r="BX53" s="285"/>
      <c r="BY53" s="285"/>
      <c r="BZ53" s="285"/>
      <c r="CA53" s="285"/>
      <c r="CB53" s="285"/>
      <c r="CC53" s="285"/>
      <c r="CD53" s="285"/>
      <c r="CE53" s="285"/>
      <c r="CF53" s="285"/>
      <c r="CG53" s="285"/>
      <c r="CH53" s="285"/>
      <c r="CI53" s="285"/>
      <c r="CJ53" s="285"/>
      <c r="CK53" s="285"/>
      <c r="CL53" s="285"/>
      <c r="CM53" s="285"/>
      <c r="CN53" s="285"/>
      <c r="CO53" s="285"/>
      <c r="CP53" s="285"/>
      <c r="CQ53" s="285"/>
      <c r="CR53" s="285"/>
    </row>
    <row r="54" spans="1:96" ht="15.6">
      <c r="A54" s="285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85"/>
      <c r="S54" s="285"/>
      <c r="T54" s="285"/>
      <c r="U54" s="285"/>
      <c r="V54" s="28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295"/>
      <c r="AJ54" s="295"/>
      <c r="AK54" s="295"/>
      <c r="AL54" s="295"/>
      <c r="AM54" s="295"/>
      <c r="AN54" s="295"/>
      <c r="AO54" s="295"/>
      <c r="AP54" s="295"/>
      <c r="AQ54" s="295"/>
      <c r="AR54" s="295"/>
      <c r="AS54" s="295"/>
      <c r="AT54" s="295"/>
      <c r="AU54" s="295"/>
      <c r="AV54" s="295"/>
      <c r="AW54" s="295"/>
      <c r="AX54" s="295"/>
      <c r="AY54" s="295"/>
      <c r="AZ54" s="295"/>
      <c r="BA54" s="295"/>
      <c r="BB54" s="295"/>
      <c r="BC54" s="295"/>
      <c r="BD54" s="295"/>
      <c r="BE54" s="295"/>
      <c r="BF54" s="313"/>
      <c r="BG54" s="313"/>
      <c r="BH54" s="295"/>
      <c r="BI54" s="295"/>
      <c r="BJ54" s="313"/>
      <c r="BK54" s="295"/>
      <c r="BL54" s="285"/>
      <c r="BM54" s="285"/>
      <c r="BN54" s="285"/>
      <c r="BO54" s="285"/>
      <c r="BP54" s="285"/>
      <c r="BQ54" s="285"/>
      <c r="BR54" s="285"/>
      <c r="BS54" s="285"/>
      <c r="BT54" s="285"/>
      <c r="BU54" s="285"/>
      <c r="BV54" s="285"/>
      <c r="BW54" s="285"/>
      <c r="BX54" s="285"/>
      <c r="BY54" s="285"/>
      <c r="BZ54" s="285"/>
      <c r="CA54" s="285"/>
      <c r="CB54" s="285"/>
      <c r="CC54" s="285"/>
      <c r="CD54" s="285"/>
      <c r="CE54" s="285"/>
      <c r="CF54" s="285"/>
      <c r="CG54" s="285"/>
      <c r="CH54" s="285"/>
      <c r="CI54" s="285"/>
      <c r="CJ54" s="285"/>
      <c r="CK54" s="285"/>
      <c r="CL54" s="285"/>
      <c r="CM54" s="285"/>
      <c r="CN54" s="285"/>
      <c r="CO54" s="285"/>
      <c r="CP54" s="285"/>
      <c r="CQ54" s="285"/>
      <c r="CR54" s="285"/>
    </row>
    <row r="55" spans="1:96" ht="15.6">
      <c r="A55" s="285"/>
      <c r="B55" s="285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285"/>
      <c r="AI55" s="285"/>
      <c r="AJ55" s="285"/>
      <c r="AK55" s="285"/>
      <c r="AL55" s="285"/>
      <c r="AM55" s="285"/>
      <c r="AN55" s="285"/>
      <c r="AO55" s="285"/>
      <c r="AP55" s="285"/>
      <c r="AQ55" s="285"/>
      <c r="AR55" s="285"/>
      <c r="AS55" s="285"/>
      <c r="AT55" s="285"/>
      <c r="AU55" s="285"/>
      <c r="AV55" s="285"/>
      <c r="AW55" s="285"/>
      <c r="AX55" s="285"/>
      <c r="AY55" s="285"/>
      <c r="AZ55" s="285"/>
      <c r="BA55" s="285"/>
      <c r="BB55" s="285"/>
      <c r="BC55" s="285"/>
      <c r="BD55" s="285"/>
      <c r="BE55" s="285"/>
      <c r="BF55" s="285"/>
      <c r="BG55" s="285"/>
      <c r="BH55" s="285"/>
      <c r="BI55" s="285"/>
      <c r="BJ55" s="285"/>
      <c r="BK55" s="285"/>
      <c r="BL55" s="285"/>
      <c r="BM55" s="285"/>
      <c r="BN55" s="285"/>
      <c r="BO55" s="285"/>
      <c r="BP55" s="285"/>
      <c r="BQ55" s="285"/>
      <c r="BR55" s="285"/>
      <c r="BS55" s="285"/>
      <c r="BT55" s="285"/>
      <c r="BU55" s="285"/>
      <c r="BV55" s="285"/>
      <c r="BW55" s="285"/>
      <c r="BX55" s="285"/>
      <c r="BY55" s="285"/>
      <c r="BZ55" s="285"/>
      <c r="CA55" s="285"/>
      <c r="CB55" s="285"/>
      <c r="CC55" s="285"/>
      <c r="CD55" s="285"/>
      <c r="CE55" s="285"/>
      <c r="CF55" s="285"/>
      <c r="CG55" s="285"/>
      <c r="CH55" s="285"/>
      <c r="CI55" s="285"/>
      <c r="CJ55" s="285"/>
      <c r="CK55" s="285"/>
      <c r="CL55" s="285"/>
      <c r="CM55" s="285"/>
      <c r="CN55" s="285"/>
      <c r="CO55" s="285"/>
      <c r="CP55" s="285"/>
      <c r="CQ55" s="285"/>
      <c r="CR55" s="285"/>
    </row>
    <row r="56" spans="1:96" ht="15.6">
      <c r="A56" s="285"/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99"/>
      <c r="X56" s="299"/>
      <c r="Y56" s="295"/>
      <c r="Z56" s="295"/>
      <c r="AA56" s="295"/>
      <c r="AB56" s="295"/>
      <c r="AC56" s="295"/>
      <c r="AD56" s="295"/>
      <c r="AE56" s="295"/>
      <c r="AF56" s="295"/>
      <c r="AG56" s="295"/>
      <c r="AH56" s="295"/>
      <c r="AI56" s="295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5"/>
      <c r="AZ56" s="295"/>
      <c r="BA56" s="295"/>
      <c r="BB56" s="295"/>
      <c r="BC56" s="295"/>
      <c r="BD56" s="295"/>
      <c r="BE56" s="295"/>
      <c r="BF56" s="313"/>
      <c r="BG56" s="313"/>
      <c r="BH56" s="295"/>
      <c r="BI56" s="295"/>
      <c r="BJ56" s="313"/>
      <c r="BK56" s="295"/>
      <c r="BL56" s="285"/>
      <c r="BM56" s="285"/>
      <c r="BN56" s="285"/>
      <c r="BO56" s="285"/>
      <c r="BP56" s="285"/>
      <c r="BQ56" s="285"/>
      <c r="BR56" s="285"/>
      <c r="BS56" s="285"/>
      <c r="BT56" s="285"/>
      <c r="BU56" s="285"/>
      <c r="BV56" s="285"/>
      <c r="BW56" s="285"/>
      <c r="BX56" s="285"/>
      <c r="BY56" s="285"/>
      <c r="BZ56" s="285"/>
      <c r="CA56" s="285"/>
      <c r="CB56" s="285"/>
      <c r="CC56" s="285"/>
      <c r="CD56" s="285"/>
      <c r="CE56" s="285"/>
      <c r="CF56" s="285"/>
      <c r="CG56" s="285"/>
      <c r="CH56" s="285"/>
      <c r="CI56" s="285"/>
      <c r="CJ56" s="285"/>
      <c r="CK56" s="285"/>
      <c r="CL56" s="285"/>
      <c r="CM56" s="285"/>
      <c r="CN56" s="285"/>
      <c r="CO56" s="285"/>
      <c r="CP56" s="285"/>
      <c r="CQ56" s="285"/>
      <c r="CR56" s="285"/>
    </row>
    <row r="57" spans="1:96" ht="15.6">
      <c r="A57" s="285"/>
      <c r="B57" s="285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5"/>
      <c r="N57" s="285"/>
      <c r="O57" s="285"/>
      <c r="P57" s="285"/>
      <c r="Q57" s="285"/>
      <c r="R57" s="285"/>
      <c r="S57" s="285"/>
      <c r="T57" s="285"/>
      <c r="U57" s="285"/>
      <c r="V57" s="285"/>
      <c r="W57" s="295"/>
      <c r="X57" s="295"/>
      <c r="Y57" s="295"/>
      <c r="Z57" s="295"/>
      <c r="AA57" s="295"/>
      <c r="AB57" s="295"/>
      <c r="AC57" s="295"/>
      <c r="AD57" s="295"/>
      <c r="AE57" s="295"/>
      <c r="AF57" s="295"/>
      <c r="AG57" s="295"/>
      <c r="AH57" s="295"/>
      <c r="AI57" s="295"/>
      <c r="AJ57" s="295"/>
      <c r="AK57" s="295"/>
      <c r="AL57" s="295"/>
      <c r="AM57" s="295"/>
      <c r="AN57" s="295"/>
      <c r="AO57" s="295"/>
      <c r="AP57" s="295"/>
      <c r="AQ57" s="295"/>
      <c r="AR57" s="295"/>
      <c r="AS57" s="295"/>
      <c r="AT57" s="295"/>
      <c r="AU57" s="295"/>
      <c r="AV57" s="295"/>
      <c r="AW57" s="295"/>
      <c r="AX57" s="295"/>
      <c r="AY57" s="295"/>
      <c r="AZ57" s="295"/>
      <c r="BA57" s="295"/>
      <c r="BB57" s="295"/>
      <c r="BC57" s="295"/>
      <c r="BD57" s="295"/>
      <c r="BE57" s="295"/>
      <c r="BF57" s="295"/>
      <c r="BG57" s="295"/>
      <c r="BH57" s="295"/>
      <c r="BI57" s="295"/>
      <c r="BJ57" s="295"/>
      <c r="BK57" s="295"/>
      <c r="BL57" s="285"/>
      <c r="BM57" s="285"/>
      <c r="BN57" s="285"/>
      <c r="BO57" s="285"/>
      <c r="BP57" s="285"/>
      <c r="BQ57" s="285"/>
      <c r="BR57" s="285"/>
      <c r="BS57" s="285"/>
      <c r="BT57" s="285"/>
      <c r="BU57" s="285"/>
      <c r="BV57" s="285"/>
      <c r="BW57" s="285"/>
      <c r="BX57" s="285"/>
      <c r="BY57" s="285"/>
      <c r="BZ57" s="285"/>
      <c r="CA57" s="285"/>
      <c r="CB57" s="285"/>
      <c r="CC57" s="285"/>
      <c r="CD57" s="285"/>
      <c r="CE57" s="285"/>
      <c r="CF57" s="285"/>
      <c r="CG57" s="285"/>
      <c r="CH57" s="285"/>
      <c r="CI57" s="285"/>
      <c r="CJ57" s="285"/>
      <c r="CK57" s="285"/>
      <c r="CL57" s="285"/>
      <c r="CM57" s="285"/>
      <c r="CN57" s="285"/>
      <c r="CO57" s="285"/>
      <c r="CP57" s="285"/>
      <c r="CQ57" s="285"/>
      <c r="CR57" s="285"/>
    </row>
    <row r="58" spans="1:96" ht="15.6">
      <c r="A58" s="285"/>
      <c r="B58" s="285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5"/>
      <c r="N58" s="285"/>
      <c r="O58" s="285"/>
      <c r="P58" s="285"/>
      <c r="Q58" s="285"/>
      <c r="R58" s="285"/>
      <c r="S58" s="285"/>
      <c r="T58" s="285"/>
      <c r="U58" s="285"/>
      <c r="V58" s="285"/>
      <c r="W58" s="285"/>
      <c r="X58" s="285"/>
      <c r="Y58" s="285"/>
      <c r="Z58" s="285"/>
      <c r="AA58" s="285"/>
      <c r="AB58" s="285"/>
      <c r="AC58" s="285"/>
      <c r="AD58" s="285"/>
      <c r="AE58" s="285"/>
      <c r="AF58" s="285"/>
      <c r="AG58" s="285"/>
      <c r="AH58" s="285"/>
      <c r="AI58" s="285"/>
      <c r="AJ58" s="285"/>
      <c r="AK58" s="285"/>
      <c r="AL58" s="285"/>
      <c r="AM58" s="285"/>
      <c r="AN58" s="285"/>
      <c r="AO58" s="285"/>
      <c r="AP58" s="285"/>
      <c r="AQ58" s="285"/>
      <c r="AR58" s="285"/>
      <c r="AS58" s="285"/>
      <c r="AT58" s="285"/>
      <c r="AU58" s="285"/>
      <c r="AV58" s="285"/>
      <c r="AW58" s="285"/>
      <c r="AX58" s="285"/>
      <c r="AY58" s="285"/>
      <c r="AZ58" s="285"/>
      <c r="BA58" s="285"/>
      <c r="BB58" s="285"/>
      <c r="BC58" s="285"/>
      <c r="BD58" s="285"/>
      <c r="BE58" s="285"/>
      <c r="BF58" s="285"/>
      <c r="BG58" s="285"/>
      <c r="BH58" s="285"/>
      <c r="BI58" s="285"/>
      <c r="BJ58" s="285"/>
      <c r="BK58" s="285"/>
      <c r="BL58" s="285"/>
      <c r="BM58" s="285"/>
      <c r="BN58" s="285"/>
      <c r="BO58" s="285"/>
      <c r="BP58" s="285"/>
      <c r="BQ58" s="285"/>
      <c r="BR58" s="285"/>
      <c r="BS58" s="285"/>
      <c r="BT58" s="285"/>
      <c r="BU58" s="285"/>
      <c r="BV58" s="285"/>
      <c r="BW58" s="285"/>
      <c r="BX58" s="285"/>
      <c r="BY58" s="285"/>
      <c r="BZ58" s="285"/>
      <c r="CA58" s="285"/>
      <c r="CB58" s="285"/>
      <c r="CC58" s="285"/>
      <c r="CD58" s="285"/>
      <c r="CE58" s="285"/>
      <c r="CF58" s="285"/>
      <c r="CG58" s="285"/>
      <c r="CH58" s="285"/>
      <c r="CI58" s="285"/>
      <c r="CJ58" s="285"/>
      <c r="CK58" s="285"/>
      <c r="CL58" s="285"/>
      <c r="CM58" s="285"/>
      <c r="CN58" s="285"/>
      <c r="CO58" s="285"/>
      <c r="CP58" s="285"/>
      <c r="CQ58" s="285"/>
      <c r="CR58" s="285"/>
    </row>
    <row r="59" spans="1:96" ht="15.6">
      <c r="A59" s="285"/>
      <c r="B59" s="285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5"/>
      <c r="N59" s="285"/>
      <c r="O59" s="285"/>
      <c r="P59" s="285"/>
      <c r="Q59" s="285"/>
      <c r="R59" s="285"/>
      <c r="S59" s="285"/>
      <c r="T59" s="285"/>
      <c r="U59" s="285"/>
      <c r="V59" s="28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295"/>
      <c r="AJ59" s="295"/>
      <c r="AK59" s="295"/>
      <c r="AL59" s="295"/>
      <c r="AM59" s="295"/>
      <c r="AN59" s="295"/>
      <c r="AO59" s="295"/>
      <c r="AP59" s="295"/>
      <c r="AQ59" s="295"/>
      <c r="AR59" s="295"/>
      <c r="AS59" s="295"/>
      <c r="AT59" s="295"/>
      <c r="AU59" s="295"/>
      <c r="AV59" s="295"/>
      <c r="AW59" s="295"/>
      <c r="AX59" s="295"/>
      <c r="AY59" s="295"/>
      <c r="AZ59" s="295"/>
      <c r="BA59" s="295"/>
      <c r="BB59" s="295"/>
      <c r="BC59" s="295"/>
      <c r="BD59" s="295"/>
      <c r="BE59" s="295"/>
      <c r="BF59" s="295"/>
      <c r="BG59" s="295"/>
      <c r="BH59" s="295"/>
      <c r="BI59" s="295"/>
      <c r="BJ59" s="295"/>
      <c r="BK59" s="295"/>
      <c r="BL59" s="285"/>
      <c r="BM59" s="285"/>
      <c r="BN59" s="285"/>
      <c r="BO59" s="285"/>
      <c r="BP59" s="285"/>
      <c r="BQ59" s="285"/>
      <c r="BR59" s="285"/>
      <c r="BS59" s="285"/>
      <c r="BT59" s="285"/>
      <c r="BU59" s="285"/>
      <c r="BV59" s="285"/>
      <c r="BW59" s="285"/>
      <c r="BX59" s="285"/>
      <c r="BY59" s="285"/>
      <c r="BZ59" s="285"/>
      <c r="CA59" s="285"/>
      <c r="CB59" s="285"/>
      <c r="CC59" s="285"/>
      <c r="CD59" s="285"/>
      <c r="CE59" s="285"/>
      <c r="CF59" s="285"/>
      <c r="CG59" s="285"/>
      <c r="CH59" s="285"/>
      <c r="CI59" s="285"/>
      <c r="CJ59" s="285"/>
      <c r="CK59" s="285"/>
      <c r="CL59" s="285"/>
      <c r="CM59" s="285"/>
      <c r="CN59" s="285"/>
      <c r="CO59" s="285"/>
      <c r="CP59" s="285"/>
      <c r="CQ59" s="285"/>
      <c r="CR59" s="285"/>
    </row>
    <row r="60" spans="1:96" ht="15.6">
      <c r="A60" s="285"/>
      <c r="B60" s="285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5"/>
      <c r="N60" s="285"/>
      <c r="O60" s="285"/>
      <c r="P60" s="285"/>
      <c r="Q60" s="285"/>
      <c r="R60" s="285"/>
      <c r="S60" s="285"/>
      <c r="T60" s="285"/>
      <c r="U60" s="285"/>
      <c r="V60" s="285"/>
      <c r="W60" s="285"/>
      <c r="X60" s="285"/>
      <c r="Y60" s="285"/>
      <c r="Z60" s="285"/>
      <c r="AA60" s="285"/>
      <c r="AB60" s="285"/>
      <c r="AC60" s="285"/>
      <c r="AD60" s="285"/>
      <c r="AE60" s="285"/>
      <c r="AF60" s="285"/>
      <c r="AG60" s="285"/>
      <c r="AH60" s="285"/>
      <c r="AI60" s="285"/>
      <c r="AJ60" s="285"/>
      <c r="AK60" s="285"/>
      <c r="AL60" s="285"/>
      <c r="AM60" s="285"/>
      <c r="AN60" s="285"/>
      <c r="AO60" s="285"/>
      <c r="AP60" s="285"/>
      <c r="AQ60" s="285"/>
      <c r="AR60" s="285"/>
      <c r="AS60" s="285"/>
      <c r="AT60" s="285"/>
      <c r="AU60" s="285"/>
      <c r="AV60" s="285"/>
      <c r="AW60" s="285"/>
      <c r="AX60" s="285"/>
      <c r="AY60" s="285"/>
      <c r="AZ60" s="285"/>
      <c r="BA60" s="285"/>
      <c r="BB60" s="285"/>
      <c r="BC60" s="285"/>
      <c r="BD60" s="285"/>
      <c r="BE60" s="285"/>
      <c r="BF60" s="285"/>
      <c r="BG60" s="285"/>
      <c r="BH60" s="285"/>
      <c r="BI60" s="285"/>
      <c r="BJ60" s="285"/>
      <c r="BK60" s="285"/>
      <c r="BL60" s="285"/>
      <c r="BM60" s="285"/>
      <c r="BN60" s="285"/>
      <c r="BO60" s="285"/>
      <c r="BP60" s="285"/>
      <c r="BQ60" s="285"/>
      <c r="BR60" s="285"/>
      <c r="BS60" s="285"/>
      <c r="BT60" s="285"/>
      <c r="BU60" s="285"/>
      <c r="BV60" s="285"/>
      <c r="BW60" s="285"/>
      <c r="BX60" s="285"/>
      <c r="BY60" s="285"/>
      <c r="BZ60" s="285"/>
      <c r="CA60" s="285"/>
      <c r="CB60" s="285"/>
      <c r="CC60" s="285"/>
      <c r="CD60" s="285"/>
      <c r="CE60" s="285"/>
      <c r="CF60" s="285"/>
      <c r="CG60" s="285"/>
      <c r="CH60" s="285"/>
      <c r="CI60" s="285"/>
      <c r="CJ60" s="285"/>
      <c r="CK60" s="285"/>
      <c r="CL60" s="285"/>
      <c r="CM60" s="285"/>
      <c r="CN60" s="285"/>
      <c r="CO60" s="285"/>
      <c r="CP60" s="285"/>
      <c r="CQ60" s="285"/>
      <c r="CR60" s="285"/>
    </row>
    <row r="61" spans="1:96" ht="15.6">
      <c r="A61" s="285"/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95"/>
      <c r="X61" s="295"/>
      <c r="Y61" s="295"/>
      <c r="Z61" s="295"/>
      <c r="AA61" s="313"/>
      <c r="AB61" s="313"/>
      <c r="AC61" s="295"/>
      <c r="AD61" s="313"/>
      <c r="AE61" s="305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295"/>
      <c r="AW61" s="295"/>
      <c r="AX61" s="295"/>
      <c r="AY61" s="295"/>
      <c r="AZ61" s="295"/>
      <c r="BA61" s="295"/>
      <c r="BB61" s="295"/>
      <c r="BC61" s="295"/>
      <c r="BD61" s="295"/>
      <c r="BE61" s="295"/>
      <c r="BF61" s="295"/>
      <c r="BG61" s="295"/>
      <c r="BH61" s="295"/>
      <c r="BI61" s="295"/>
      <c r="BJ61" s="295"/>
      <c r="BK61" s="295"/>
      <c r="BL61" s="285"/>
      <c r="BM61" s="285"/>
      <c r="BN61" s="285"/>
      <c r="BO61" s="285"/>
      <c r="BP61" s="285"/>
      <c r="BQ61" s="285"/>
      <c r="BR61" s="285"/>
      <c r="BS61" s="285"/>
      <c r="BT61" s="285"/>
      <c r="BU61" s="285"/>
      <c r="BV61" s="285"/>
      <c r="BW61" s="285"/>
      <c r="BX61" s="285"/>
      <c r="BY61" s="285"/>
      <c r="BZ61" s="285"/>
      <c r="CA61" s="285"/>
      <c r="CB61" s="285"/>
      <c r="CC61" s="285"/>
      <c r="CD61" s="285"/>
      <c r="CE61" s="285"/>
      <c r="CF61" s="285"/>
      <c r="CG61" s="285"/>
      <c r="CH61" s="285"/>
      <c r="CI61" s="285"/>
      <c r="CJ61" s="285"/>
      <c r="CK61" s="285"/>
      <c r="CL61" s="285"/>
      <c r="CM61" s="285"/>
      <c r="CN61" s="285"/>
      <c r="CO61" s="285"/>
      <c r="CP61" s="285"/>
      <c r="CQ61" s="285"/>
      <c r="CR61" s="285"/>
    </row>
    <row r="62" spans="1:96" ht="15.6">
      <c r="A62" s="285"/>
      <c r="B62" s="285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  <c r="AJ62" s="285"/>
      <c r="AK62" s="285"/>
      <c r="AL62" s="285"/>
      <c r="AM62" s="285"/>
      <c r="AN62" s="285"/>
      <c r="AO62" s="285"/>
      <c r="AP62" s="285"/>
      <c r="AQ62" s="285"/>
      <c r="AR62" s="285"/>
      <c r="AS62" s="285"/>
      <c r="AT62" s="285"/>
      <c r="AU62" s="285"/>
      <c r="AV62" s="285"/>
      <c r="AW62" s="285"/>
      <c r="AX62" s="285"/>
      <c r="AY62" s="285"/>
      <c r="AZ62" s="285"/>
      <c r="BA62" s="285"/>
      <c r="BB62" s="285"/>
      <c r="BC62" s="285"/>
      <c r="BD62" s="285"/>
      <c r="BE62" s="285"/>
      <c r="BF62" s="285"/>
      <c r="BG62" s="285"/>
      <c r="BH62" s="285"/>
      <c r="BI62" s="285"/>
      <c r="BJ62" s="285"/>
      <c r="BK62" s="285"/>
      <c r="BL62" s="285"/>
      <c r="BM62" s="285"/>
      <c r="BN62" s="285"/>
      <c r="BO62" s="285"/>
      <c r="BP62" s="285"/>
      <c r="BQ62" s="285"/>
      <c r="BR62" s="285"/>
      <c r="BS62" s="285"/>
      <c r="BT62" s="285"/>
      <c r="BU62" s="285"/>
      <c r="BV62" s="285"/>
      <c r="BW62" s="285"/>
      <c r="BX62" s="285"/>
      <c r="BY62" s="285"/>
      <c r="BZ62" s="285"/>
      <c r="CA62" s="285"/>
      <c r="CB62" s="285"/>
      <c r="CC62" s="285"/>
      <c r="CD62" s="285"/>
      <c r="CE62" s="285"/>
      <c r="CF62" s="285"/>
      <c r="CG62" s="285"/>
      <c r="CH62" s="285"/>
      <c r="CI62" s="285"/>
      <c r="CJ62" s="285"/>
      <c r="CK62" s="285"/>
      <c r="CL62" s="285"/>
      <c r="CM62" s="285"/>
      <c r="CN62" s="285"/>
      <c r="CO62" s="285"/>
      <c r="CP62" s="285"/>
      <c r="CQ62" s="285"/>
      <c r="CR62" s="285"/>
    </row>
    <row r="63" spans="1:96" ht="15.6">
      <c r="A63" s="285"/>
      <c r="B63" s="285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5"/>
      <c r="N63" s="285"/>
      <c r="O63" s="285"/>
      <c r="P63" s="285"/>
      <c r="Q63" s="285"/>
      <c r="R63" s="285"/>
      <c r="S63" s="285"/>
      <c r="T63" s="285"/>
      <c r="U63" s="285"/>
      <c r="V63" s="285"/>
      <c r="W63" s="285"/>
      <c r="X63" s="285"/>
      <c r="Y63" s="285"/>
      <c r="Z63" s="285"/>
      <c r="AA63" s="285"/>
      <c r="AB63" s="285"/>
      <c r="AC63" s="285"/>
      <c r="AD63" s="285"/>
      <c r="AE63" s="285"/>
      <c r="AF63" s="285"/>
      <c r="AG63" s="285"/>
      <c r="AH63" s="285"/>
      <c r="AI63" s="285"/>
      <c r="AJ63" s="285"/>
      <c r="AK63" s="285"/>
      <c r="AL63" s="285"/>
      <c r="AM63" s="285"/>
      <c r="AN63" s="285"/>
      <c r="AO63" s="285"/>
      <c r="AP63" s="285"/>
      <c r="AQ63" s="285"/>
      <c r="AR63" s="285"/>
      <c r="AS63" s="285"/>
      <c r="AT63" s="285"/>
      <c r="AU63" s="285"/>
      <c r="AV63" s="285"/>
      <c r="AW63" s="285"/>
      <c r="AX63" s="285"/>
      <c r="AY63" s="285"/>
      <c r="AZ63" s="285"/>
      <c r="BA63" s="285"/>
      <c r="BB63" s="285"/>
      <c r="BC63" s="285"/>
      <c r="BD63" s="285"/>
      <c r="BE63" s="285"/>
      <c r="BF63" s="285"/>
      <c r="BG63" s="285"/>
      <c r="BH63" s="285"/>
      <c r="BI63" s="285"/>
      <c r="BJ63" s="285"/>
      <c r="BK63" s="285"/>
      <c r="BL63" s="285"/>
      <c r="BM63" s="285"/>
      <c r="BN63" s="285"/>
      <c r="BO63" s="285"/>
      <c r="BP63" s="285"/>
      <c r="BQ63" s="285"/>
      <c r="BR63" s="285"/>
      <c r="BS63" s="285"/>
      <c r="BT63" s="285"/>
      <c r="BU63" s="285"/>
      <c r="BV63" s="285"/>
      <c r="BW63" s="285"/>
      <c r="BX63" s="285"/>
      <c r="BY63" s="285"/>
      <c r="BZ63" s="285"/>
      <c r="CA63" s="285"/>
      <c r="CB63" s="285"/>
      <c r="CC63" s="285"/>
      <c r="CD63" s="285"/>
      <c r="CE63" s="285"/>
      <c r="CF63" s="285"/>
      <c r="CG63" s="285"/>
      <c r="CH63" s="285"/>
      <c r="CI63" s="285"/>
      <c r="CJ63" s="285"/>
      <c r="CK63" s="285"/>
      <c r="CL63" s="285"/>
      <c r="CM63" s="285"/>
      <c r="CN63" s="285"/>
      <c r="CO63" s="285"/>
      <c r="CP63" s="285"/>
      <c r="CQ63" s="285"/>
      <c r="CR63" s="285"/>
    </row>
    <row r="64" spans="1:96" ht="15.6">
      <c r="A64" s="285"/>
      <c r="B64" s="285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5"/>
      <c r="N64" s="285"/>
      <c r="O64" s="285"/>
      <c r="P64" s="285"/>
      <c r="Q64" s="285"/>
      <c r="R64" s="285"/>
      <c r="S64" s="285"/>
      <c r="T64" s="285"/>
      <c r="U64" s="285"/>
      <c r="V64" s="28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95"/>
      <c r="AN64" s="295"/>
      <c r="AO64" s="295"/>
      <c r="AP64" s="295"/>
      <c r="AQ64" s="295"/>
      <c r="AR64" s="295"/>
      <c r="AS64" s="295"/>
      <c r="AT64" s="295"/>
      <c r="AU64" s="295"/>
      <c r="AV64" s="295"/>
      <c r="AW64" s="295"/>
      <c r="AX64" s="295"/>
      <c r="AY64" s="295"/>
      <c r="AZ64" s="295"/>
      <c r="BA64" s="295"/>
      <c r="BB64" s="295"/>
      <c r="BC64" s="295"/>
      <c r="BD64" s="295"/>
      <c r="BE64" s="295"/>
      <c r="BF64" s="295"/>
      <c r="BG64" s="295"/>
      <c r="BH64" s="295"/>
      <c r="BI64" s="295"/>
      <c r="BJ64" s="295"/>
      <c r="BK64" s="295"/>
      <c r="BL64" s="285"/>
      <c r="BM64" s="285"/>
      <c r="BN64" s="285"/>
      <c r="BO64" s="285"/>
      <c r="BP64" s="285"/>
      <c r="BQ64" s="285"/>
      <c r="BR64" s="285"/>
      <c r="BS64" s="285"/>
      <c r="BT64" s="285"/>
      <c r="BU64" s="285"/>
      <c r="BV64" s="285"/>
      <c r="BW64" s="285"/>
      <c r="BX64" s="285"/>
      <c r="BY64" s="285"/>
      <c r="BZ64" s="285"/>
      <c r="CA64" s="285"/>
      <c r="CB64" s="285"/>
      <c r="CC64" s="285"/>
      <c r="CD64" s="285"/>
      <c r="CE64" s="285"/>
      <c r="CF64" s="285"/>
      <c r="CG64" s="285"/>
      <c r="CH64" s="285"/>
      <c r="CI64" s="285"/>
      <c r="CJ64" s="285"/>
      <c r="CK64" s="285"/>
      <c r="CL64" s="285"/>
      <c r="CM64" s="285"/>
      <c r="CN64" s="285"/>
      <c r="CO64" s="285"/>
      <c r="CP64" s="285"/>
      <c r="CQ64" s="285"/>
      <c r="CR64" s="285"/>
    </row>
    <row r="65" spans="1:96" ht="15.6">
      <c r="A65" s="285"/>
      <c r="B65" s="285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5"/>
      <c r="N65" s="285"/>
      <c r="O65" s="285"/>
      <c r="P65" s="285"/>
      <c r="Q65" s="285"/>
      <c r="R65" s="285"/>
      <c r="S65" s="285"/>
      <c r="T65" s="285"/>
      <c r="U65" s="285"/>
      <c r="V65" s="28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295"/>
      <c r="AX65" s="295"/>
      <c r="AY65" s="295"/>
      <c r="AZ65" s="295"/>
      <c r="BA65" s="295"/>
      <c r="BB65" s="295"/>
      <c r="BC65" s="295"/>
      <c r="BD65" s="295"/>
      <c r="BE65" s="295"/>
      <c r="BF65" s="295"/>
      <c r="BG65" s="295"/>
      <c r="BH65" s="295"/>
      <c r="BI65" s="295"/>
      <c r="BJ65" s="295"/>
      <c r="BK65" s="295"/>
      <c r="BL65" s="285"/>
      <c r="BM65" s="285"/>
      <c r="BN65" s="285"/>
      <c r="BO65" s="285"/>
      <c r="BP65" s="285"/>
      <c r="BQ65" s="285"/>
      <c r="BR65" s="285"/>
      <c r="BS65" s="285"/>
      <c r="BT65" s="285"/>
      <c r="BU65" s="285"/>
      <c r="BV65" s="285"/>
      <c r="BW65" s="285"/>
      <c r="BX65" s="285"/>
      <c r="BY65" s="285"/>
      <c r="BZ65" s="285"/>
      <c r="CA65" s="285"/>
      <c r="CB65" s="285"/>
      <c r="CC65" s="285"/>
      <c r="CD65" s="285"/>
      <c r="CE65" s="285"/>
      <c r="CF65" s="285"/>
      <c r="CG65" s="285"/>
      <c r="CH65" s="285"/>
      <c r="CI65" s="285"/>
      <c r="CJ65" s="285"/>
      <c r="CK65" s="285"/>
      <c r="CL65" s="285"/>
      <c r="CM65" s="285"/>
      <c r="CN65" s="285"/>
      <c r="CO65" s="285"/>
      <c r="CP65" s="285"/>
      <c r="CQ65" s="285"/>
      <c r="CR65" s="285"/>
    </row>
    <row r="66" spans="1:96" ht="15.6">
      <c r="A66" s="285"/>
      <c r="B66" s="285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5"/>
      <c r="N66" s="285"/>
      <c r="O66" s="285"/>
      <c r="P66" s="285"/>
      <c r="Q66" s="285"/>
      <c r="R66" s="285"/>
      <c r="S66" s="285"/>
      <c r="T66" s="285"/>
      <c r="U66" s="285"/>
      <c r="V66" s="285"/>
      <c r="W66" s="295"/>
      <c r="X66" s="295"/>
      <c r="Y66" s="295"/>
      <c r="Z66" s="295"/>
      <c r="AA66" s="313"/>
      <c r="AB66" s="313"/>
      <c r="AC66" s="295"/>
      <c r="AD66" s="313"/>
      <c r="AE66" s="30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295"/>
      <c r="AW66" s="295"/>
      <c r="AX66" s="295"/>
      <c r="AY66" s="295"/>
      <c r="AZ66" s="295"/>
      <c r="BA66" s="295"/>
      <c r="BB66" s="295"/>
      <c r="BC66" s="295"/>
      <c r="BD66" s="295"/>
      <c r="BE66" s="295"/>
      <c r="BF66" s="295"/>
      <c r="BG66" s="295"/>
      <c r="BH66" s="295"/>
      <c r="BI66" s="295"/>
      <c r="BJ66" s="295"/>
      <c r="BK66" s="295"/>
      <c r="BL66" s="285"/>
      <c r="BM66" s="285"/>
      <c r="BN66" s="285"/>
      <c r="BO66" s="285"/>
      <c r="BP66" s="285"/>
      <c r="BQ66" s="285"/>
      <c r="BR66" s="285"/>
      <c r="BS66" s="285"/>
      <c r="BT66" s="285"/>
      <c r="BU66" s="285"/>
      <c r="BV66" s="285"/>
      <c r="BW66" s="285"/>
      <c r="BX66" s="285"/>
      <c r="BY66" s="285"/>
      <c r="BZ66" s="285"/>
      <c r="CA66" s="285"/>
      <c r="CB66" s="285"/>
      <c r="CC66" s="285"/>
      <c r="CD66" s="285"/>
      <c r="CE66" s="285"/>
      <c r="CF66" s="285"/>
      <c r="CG66" s="285"/>
      <c r="CH66" s="285"/>
      <c r="CI66" s="285"/>
      <c r="CJ66" s="285"/>
      <c r="CK66" s="285"/>
      <c r="CL66" s="285"/>
      <c r="CM66" s="285"/>
      <c r="CN66" s="285"/>
      <c r="CO66" s="285"/>
      <c r="CP66" s="285"/>
      <c r="CQ66" s="285"/>
      <c r="CR66" s="285"/>
    </row>
    <row r="67" spans="1:96" ht="15.6">
      <c r="A67" s="285"/>
      <c r="B67" s="285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5"/>
      <c r="AA67" s="285"/>
      <c r="AB67" s="285"/>
      <c r="AC67" s="285"/>
      <c r="AD67" s="285"/>
      <c r="AE67" s="285"/>
      <c r="AF67" s="285"/>
      <c r="AG67" s="285"/>
      <c r="AH67" s="285"/>
      <c r="AI67" s="285"/>
      <c r="AJ67" s="285"/>
      <c r="AK67" s="285"/>
      <c r="AL67" s="285"/>
      <c r="AM67" s="285"/>
      <c r="AN67" s="285"/>
      <c r="AO67" s="285"/>
      <c r="AP67" s="285"/>
      <c r="AQ67" s="285"/>
      <c r="AR67" s="285"/>
      <c r="AS67" s="285"/>
      <c r="AT67" s="285"/>
      <c r="AU67" s="285"/>
      <c r="AV67" s="285"/>
      <c r="AW67" s="285"/>
      <c r="AX67" s="285"/>
      <c r="AY67" s="285"/>
      <c r="AZ67" s="285"/>
      <c r="BA67" s="285"/>
      <c r="BB67" s="285"/>
      <c r="BC67" s="285"/>
      <c r="BD67" s="285"/>
      <c r="BE67" s="285"/>
      <c r="BF67" s="285"/>
      <c r="BG67" s="285"/>
      <c r="BH67" s="285"/>
      <c r="BI67" s="285"/>
      <c r="BJ67" s="285"/>
      <c r="BK67" s="285"/>
      <c r="BL67" s="285"/>
      <c r="BM67" s="285"/>
      <c r="BN67" s="285"/>
      <c r="BO67" s="285"/>
      <c r="BP67" s="285"/>
      <c r="BQ67" s="285"/>
      <c r="BR67" s="285"/>
      <c r="BS67" s="285"/>
      <c r="BT67" s="285"/>
      <c r="BU67" s="285"/>
      <c r="BV67" s="285"/>
      <c r="BW67" s="285"/>
      <c r="BX67" s="285"/>
      <c r="BY67" s="285"/>
      <c r="BZ67" s="285"/>
      <c r="CA67" s="285"/>
      <c r="CB67" s="285"/>
      <c r="CC67" s="285"/>
      <c r="CD67" s="285"/>
      <c r="CE67" s="285"/>
      <c r="CF67" s="285"/>
      <c r="CG67" s="285"/>
      <c r="CH67" s="285"/>
      <c r="CI67" s="285"/>
      <c r="CJ67" s="285"/>
      <c r="CK67" s="285"/>
      <c r="CL67" s="285"/>
      <c r="CM67" s="285"/>
      <c r="CN67" s="285"/>
      <c r="CO67" s="285"/>
      <c r="CP67" s="285"/>
      <c r="CQ67" s="285"/>
      <c r="CR67" s="285"/>
    </row>
    <row r="68" spans="1:96" ht="15.6">
      <c r="A68" s="285"/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B68" s="285"/>
      <c r="AC68" s="285"/>
      <c r="AD68" s="285"/>
      <c r="AE68" s="285"/>
      <c r="AF68" s="285"/>
      <c r="AG68" s="285"/>
      <c r="AH68" s="285"/>
      <c r="AI68" s="285"/>
      <c r="AJ68" s="285"/>
      <c r="AK68" s="285"/>
      <c r="AL68" s="285"/>
      <c r="AM68" s="285"/>
      <c r="AN68" s="285"/>
      <c r="AO68" s="285"/>
      <c r="AP68" s="285"/>
      <c r="AQ68" s="285"/>
      <c r="AR68" s="285"/>
      <c r="AS68" s="285"/>
      <c r="AT68" s="285"/>
      <c r="AU68" s="285"/>
      <c r="AV68" s="285"/>
      <c r="AW68" s="285"/>
      <c r="AX68" s="285"/>
      <c r="AY68" s="285"/>
      <c r="AZ68" s="285"/>
      <c r="BA68" s="285"/>
      <c r="BB68" s="285"/>
      <c r="BC68" s="285"/>
      <c r="BD68" s="285"/>
      <c r="BE68" s="285"/>
      <c r="BF68" s="285"/>
      <c r="BG68" s="285"/>
      <c r="BH68" s="285"/>
      <c r="BI68" s="285"/>
      <c r="BJ68" s="285"/>
      <c r="BK68" s="285"/>
      <c r="BL68" s="285"/>
      <c r="BM68" s="285"/>
      <c r="BN68" s="285"/>
      <c r="BO68" s="285"/>
      <c r="BP68" s="285"/>
      <c r="BQ68" s="285"/>
      <c r="BR68" s="285"/>
      <c r="BS68" s="285"/>
      <c r="BT68" s="285"/>
      <c r="BU68" s="285"/>
      <c r="BV68" s="285"/>
      <c r="BW68" s="285"/>
      <c r="BX68" s="285"/>
      <c r="BY68" s="285"/>
      <c r="BZ68" s="285"/>
      <c r="CA68" s="285"/>
      <c r="CB68" s="285"/>
      <c r="CC68" s="285"/>
      <c r="CD68" s="285"/>
      <c r="CE68" s="285"/>
      <c r="CF68" s="285"/>
      <c r="CG68" s="285"/>
      <c r="CH68" s="285"/>
      <c r="CI68" s="285"/>
      <c r="CJ68" s="285"/>
      <c r="CK68" s="285"/>
      <c r="CL68" s="285"/>
      <c r="CM68" s="285"/>
      <c r="CN68" s="285"/>
      <c r="CO68" s="285"/>
      <c r="CP68" s="285"/>
      <c r="CQ68" s="285"/>
      <c r="CR68" s="285"/>
    </row>
    <row r="69" spans="1:96" ht="15.6">
      <c r="A69" s="285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B69" s="285"/>
      <c r="AC69" s="285"/>
      <c r="AD69" s="285"/>
      <c r="AE69" s="285"/>
      <c r="AF69" s="285"/>
      <c r="AG69" s="285"/>
      <c r="AH69" s="285"/>
      <c r="AI69" s="285"/>
      <c r="AJ69" s="285"/>
      <c r="AK69" s="285"/>
      <c r="AL69" s="285"/>
      <c r="AM69" s="285"/>
      <c r="AN69" s="285"/>
      <c r="AO69" s="285"/>
      <c r="AP69" s="285"/>
      <c r="AQ69" s="285"/>
      <c r="AR69" s="285"/>
      <c r="AS69" s="285"/>
      <c r="AT69" s="285"/>
      <c r="AU69" s="285"/>
      <c r="AV69" s="285"/>
      <c r="AW69" s="285"/>
      <c r="AX69" s="285"/>
      <c r="AY69" s="285"/>
      <c r="AZ69" s="285"/>
      <c r="BA69" s="285"/>
      <c r="BB69" s="285"/>
      <c r="BC69" s="285"/>
      <c r="BD69" s="285"/>
      <c r="BE69" s="285"/>
      <c r="BF69" s="285"/>
      <c r="BG69" s="285"/>
      <c r="BH69" s="285"/>
      <c r="BI69" s="285"/>
      <c r="BJ69" s="285"/>
      <c r="BK69" s="285"/>
      <c r="BL69" s="285"/>
      <c r="BM69" s="285"/>
      <c r="BN69" s="285"/>
      <c r="BO69" s="285"/>
      <c r="BP69" s="285"/>
      <c r="BQ69" s="285"/>
      <c r="BR69" s="285"/>
      <c r="BS69" s="285"/>
      <c r="BT69" s="285"/>
      <c r="BU69" s="285"/>
      <c r="BV69" s="285"/>
      <c r="BW69" s="285"/>
      <c r="BX69" s="285"/>
      <c r="BY69" s="285"/>
      <c r="BZ69" s="285"/>
      <c r="CA69" s="285"/>
      <c r="CB69" s="285"/>
      <c r="CC69" s="285"/>
      <c r="CD69" s="285"/>
      <c r="CE69" s="285"/>
      <c r="CF69" s="285"/>
      <c r="CG69" s="285"/>
      <c r="CH69" s="285"/>
      <c r="CI69" s="285"/>
      <c r="CJ69" s="285"/>
      <c r="CK69" s="285"/>
      <c r="CL69" s="285"/>
      <c r="CM69" s="285"/>
      <c r="CN69" s="285"/>
      <c r="CO69" s="285"/>
      <c r="CP69" s="285"/>
      <c r="CQ69" s="285"/>
      <c r="CR69" s="285"/>
    </row>
    <row r="70" spans="1:96" ht="15.6">
      <c r="A70" s="285"/>
      <c r="B70" s="285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5"/>
      <c r="N70" s="285"/>
      <c r="O70" s="285"/>
      <c r="P70" s="285"/>
      <c r="Q70" s="285"/>
      <c r="R70" s="285"/>
      <c r="S70" s="285"/>
      <c r="T70" s="285"/>
      <c r="U70" s="285"/>
      <c r="V70" s="285"/>
      <c r="W70" s="285"/>
      <c r="X70" s="285"/>
      <c r="Y70" s="285"/>
      <c r="Z70" s="285"/>
      <c r="AA70" s="285"/>
      <c r="AB70" s="285"/>
      <c r="AC70" s="285"/>
      <c r="AD70" s="285"/>
      <c r="AE70" s="285"/>
      <c r="AF70" s="285"/>
      <c r="AG70" s="285"/>
      <c r="AH70" s="285"/>
      <c r="AI70" s="285"/>
      <c r="AJ70" s="285"/>
      <c r="AK70" s="285"/>
      <c r="AL70" s="285"/>
      <c r="AM70" s="285"/>
      <c r="AN70" s="285"/>
      <c r="AO70" s="285"/>
      <c r="AP70" s="285"/>
      <c r="AQ70" s="285"/>
      <c r="AR70" s="285"/>
      <c r="AS70" s="285"/>
      <c r="AT70" s="285"/>
      <c r="AU70" s="285"/>
      <c r="AV70" s="285"/>
      <c r="AW70" s="285"/>
      <c r="AX70" s="285"/>
      <c r="AY70" s="285"/>
      <c r="AZ70" s="285"/>
      <c r="BA70" s="285"/>
      <c r="BB70" s="285"/>
      <c r="BC70" s="285"/>
      <c r="BD70" s="285"/>
      <c r="BE70" s="285"/>
      <c r="BF70" s="285"/>
      <c r="BG70" s="285"/>
      <c r="BH70" s="285"/>
      <c r="BI70" s="285"/>
      <c r="BJ70" s="285"/>
      <c r="BK70" s="285"/>
      <c r="BL70" s="285"/>
      <c r="BM70" s="285"/>
      <c r="BN70" s="285"/>
      <c r="BO70" s="285"/>
      <c r="BP70" s="285"/>
      <c r="BQ70" s="285"/>
      <c r="BR70" s="285"/>
      <c r="BS70" s="285"/>
      <c r="BT70" s="285"/>
      <c r="BU70" s="285"/>
      <c r="BV70" s="285"/>
      <c r="BW70" s="285"/>
      <c r="BX70" s="285"/>
      <c r="BY70" s="285"/>
      <c r="BZ70" s="285"/>
      <c r="CA70" s="285"/>
      <c r="CB70" s="285"/>
      <c r="CC70" s="285"/>
      <c r="CD70" s="285"/>
      <c r="CE70" s="285"/>
      <c r="CF70" s="285"/>
      <c r="CG70" s="285"/>
      <c r="CH70" s="285"/>
      <c r="CI70" s="285"/>
      <c r="CJ70" s="285"/>
      <c r="CK70" s="285"/>
      <c r="CL70" s="285"/>
      <c r="CM70" s="285"/>
      <c r="CN70" s="285"/>
      <c r="CO70" s="285"/>
      <c r="CP70" s="285"/>
      <c r="CQ70" s="285"/>
      <c r="CR70" s="285"/>
    </row>
    <row r="71" spans="1:96" ht="15.6">
      <c r="A71" s="285"/>
      <c r="B71" s="285"/>
      <c r="C71" s="285"/>
      <c r="D71" s="285"/>
      <c r="E71" s="285"/>
      <c r="F71" s="285"/>
      <c r="G71" s="285"/>
      <c r="H71" s="285"/>
      <c r="I71" s="285"/>
      <c r="J71" s="285"/>
      <c r="K71" s="285"/>
      <c r="L71" s="285"/>
      <c r="M71" s="285"/>
      <c r="N71" s="285"/>
      <c r="O71" s="285"/>
      <c r="P71" s="285"/>
      <c r="Q71" s="285"/>
      <c r="R71" s="285"/>
      <c r="S71" s="285"/>
      <c r="T71" s="285"/>
      <c r="U71" s="285"/>
      <c r="V71" s="285"/>
      <c r="W71" s="285"/>
      <c r="X71" s="285"/>
      <c r="Y71" s="285"/>
      <c r="Z71" s="285"/>
      <c r="AA71" s="285"/>
      <c r="AB71" s="285"/>
      <c r="AC71" s="285"/>
      <c r="AD71" s="285"/>
      <c r="AE71" s="285"/>
      <c r="AF71" s="285"/>
      <c r="AG71" s="285"/>
      <c r="AH71" s="285"/>
      <c r="AI71" s="285"/>
      <c r="AJ71" s="285"/>
      <c r="AK71" s="285"/>
      <c r="AL71" s="285"/>
      <c r="AM71" s="285"/>
      <c r="AN71" s="285"/>
      <c r="AO71" s="285"/>
      <c r="AP71" s="285"/>
      <c r="AQ71" s="285"/>
      <c r="AR71" s="285"/>
      <c r="AS71" s="285"/>
      <c r="AT71" s="285"/>
      <c r="AU71" s="285"/>
      <c r="AV71" s="285"/>
      <c r="AW71" s="285"/>
      <c r="AX71" s="285"/>
      <c r="AY71" s="285"/>
      <c r="AZ71" s="285"/>
      <c r="BA71" s="285"/>
      <c r="BB71" s="285"/>
      <c r="BC71" s="285"/>
      <c r="BD71" s="285"/>
      <c r="BE71" s="285"/>
      <c r="BF71" s="285"/>
      <c r="BG71" s="285"/>
      <c r="BH71" s="285"/>
      <c r="BI71" s="285"/>
      <c r="BJ71" s="285"/>
      <c r="BK71" s="285"/>
      <c r="BL71" s="285"/>
      <c r="BM71" s="285"/>
      <c r="BN71" s="285"/>
      <c r="BO71" s="285"/>
      <c r="BP71" s="285"/>
      <c r="BQ71" s="285"/>
      <c r="BR71" s="285"/>
      <c r="BS71" s="285"/>
      <c r="BT71" s="285"/>
      <c r="BU71" s="285"/>
      <c r="BV71" s="285"/>
      <c r="BW71" s="285"/>
      <c r="BX71" s="285"/>
      <c r="BY71" s="285"/>
      <c r="BZ71" s="285"/>
      <c r="CA71" s="285"/>
      <c r="CB71" s="285"/>
      <c r="CC71" s="285"/>
      <c r="CD71" s="285"/>
      <c r="CE71" s="285"/>
      <c r="CF71" s="285"/>
      <c r="CG71" s="285"/>
      <c r="CH71" s="285"/>
      <c r="CI71" s="285"/>
      <c r="CJ71" s="285"/>
      <c r="CK71" s="285"/>
      <c r="CL71" s="285"/>
      <c r="CM71" s="285"/>
      <c r="CN71" s="285"/>
      <c r="CO71" s="285"/>
      <c r="CP71" s="285"/>
      <c r="CQ71" s="285"/>
      <c r="CR71" s="285"/>
    </row>
    <row r="72" spans="1:96" ht="15.6">
      <c r="A72" s="285"/>
      <c r="B72" s="285"/>
      <c r="C72" s="285"/>
      <c r="D72" s="285"/>
      <c r="E72" s="285"/>
      <c r="F72" s="285"/>
      <c r="G72" s="285"/>
      <c r="H72" s="285"/>
      <c r="I72" s="285"/>
      <c r="J72" s="285"/>
      <c r="K72" s="285"/>
      <c r="L72" s="285"/>
      <c r="M72" s="285"/>
      <c r="N72" s="285"/>
      <c r="O72" s="285"/>
      <c r="P72" s="285"/>
      <c r="Q72" s="285"/>
      <c r="R72" s="285"/>
      <c r="S72" s="285"/>
      <c r="T72" s="285"/>
      <c r="U72" s="285"/>
      <c r="V72" s="285"/>
      <c r="W72" s="285"/>
      <c r="X72" s="285"/>
      <c r="Y72" s="285"/>
      <c r="Z72" s="285"/>
      <c r="AA72" s="285"/>
      <c r="AB72" s="285"/>
      <c r="AC72" s="285"/>
      <c r="AD72" s="285"/>
      <c r="AE72" s="285"/>
      <c r="AF72" s="285"/>
      <c r="AG72" s="285"/>
      <c r="AH72" s="285"/>
      <c r="AI72" s="285"/>
      <c r="AJ72" s="285"/>
      <c r="AK72" s="285"/>
      <c r="AL72" s="285"/>
      <c r="AM72" s="285"/>
      <c r="AN72" s="285"/>
      <c r="AO72" s="285"/>
      <c r="AP72" s="285"/>
      <c r="AQ72" s="285"/>
      <c r="AR72" s="285"/>
      <c r="AS72" s="285"/>
      <c r="AT72" s="285"/>
      <c r="AU72" s="285"/>
      <c r="AV72" s="285"/>
      <c r="AW72" s="285"/>
      <c r="AX72" s="285"/>
      <c r="AY72" s="285"/>
      <c r="AZ72" s="285"/>
      <c r="BA72" s="285"/>
      <c r="BB72" s="285"/>
      <c r="BC72" s="285"/>
      <c r="BD72" s="285"/>
      <c r="BE72" s="285"/>
      <c r="BF72" s="285"/>
      <c r="BG72" s="285"/>
      <c r="BH72" s="285"/>
      <c r="BI72" s="285"/>
      <c r="BJ72" s="285"/>
      <c r="BK72" s="285"/>
      <c r="BL72" s="285"/>
      <c r="BM72" s="285"/>
      <c r="BN72" s="285"/>
      <c r="BO72" s="285"/>
      <c r="BP72" s="285"/>
      <c r="BQ72" s="285"/>
      <c r="BR72" s="285"/>
      <c r="BS72" s="285"/>
      <c r="BT72" s="285"/>
      <c r="BU72" s="285"/>
      <c r="BV72" s="285"/>
      <c r="BW72" s="285"/>
      <c r="BX72" s="285"/>
      <c r="BY72" s="285"/>
      <c r="BZ72" s="285"/>
      <c r="CA72" s="285"/>
      <c r="CB72" s="285"/>
      <c r="CC72" s="285"/>
      <c r="CD72" s="285"/>
      <c r="CE72" s="285"/>
      <c r="CF72" s="285"/>
      <c r="CG72" s="285"/>
      <c r="CH72" s="285"/>
      <c r="CI72" s="285"/>
      <c r="CJ72" s="285"/>
      <c r="CK72" s="285"/>
      <c r="CL72" s="285"/>
      <c r="CM72" s="285"/>
      <c r="CN72" s="285"/>
      <c r="CO72" s="285"/>
      <c r="CP72" s="285"/>
      <c r="CQ72" s="285"/>
      <c r="CR72" s="285"/>
    </row>
    <row r="73" spans="1:96" ht="15.6">
      <c r="A73" s="285"/>
      <c r="B73" s="285"/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  <c r="V73" s="285"/>
      <c r="W73" s="285"/>
      <c r="X73" s="285"/>
      <c r="Y73" s="285"/>
      <c r="Z73" s="285"/>
      <c r="AA73" s="285"/>
      <c r="AB73" s="285"/>
      <c r="AC73" s="285"/>
      <c r="AD73" s="285"/>
      <c r="AE73" s="285"/>
      <c r="AF73" s="285"/>
      <c r="AG73" s="285"/>
      <c r="AH73" s="285"/>
      <c r="AI73" s="285"/>
      <c r="AJ73" s="285"/>
      <c r="AK73" s="285"/>
      <c r="AL73" s="285"/>
      <c r="AM73" s="285"/>
      <c r="AN73" s="285"/>
      <c r="AO73" s="285"/>
      <c r="AP73" s="285"/>
      <c r="AQ73" s="285"/>
      <c r="AR73" s="285"/>
      <c r="AS73" s="285"/>
      <c r="AT73" s="285"/>
      <c r="AU73" s="285"/>
      <c r="AV73" s="285"/>
      <c r="AW73" s="285"/>
      <c r="AX73" s="285"/>
      <c r="AY73" s="285"/>
      <c r="AZ73" s="285"/>
      <c r="BA73" s="285"/>
      <c r="BB73" s="285"/>
      <c r="BC73" s="285"/>
      <c r="BD73" s="285"/>
      <c r="BE73" s="285"/>
      <c r="BF73" s="285"/>
      <c r="BG73" s="285"/>
      <c r="BH73" s="285"/>
      <c r="BI73" s="285"/>
      <c r="BJ73" s="285"/>
      <c r="BK73" s="285"/>
      <c r="BL73" s="285"/>
      <c r="BM73" s="285"/>
      <c r="BN73" s="285"/>
      <c r="BO73" s="285"/>
      <c r="BP73" s="285"/>
      <c r="BQ73" s="285"/>
      <c r="BR73" s="285"/>
      <c r="BS73" s="285"/>
      <c r="BT73" s="285"/>
      <c r="BU73" s="285"/>
      <c r="BV73" s="285"/>
      <c r="BW73" s="285"/>
      <c r="BX73" s="285"/>
      <c r="BY73" s="285"/>
      <c r="BZ73" s="285"/>
      <c r="CA73" s="285"/>
      <c r="CB73" s="285"/>
      <c r="CC73" s="285"/>
      <c r="CD73" s="285"/>
      <c r="CE73" s="285"/>
      <c r="CF73" s="285"/>
      <c r="CG73" s="285"/>
      <c r="CH73" s="285"/>
      <c r="CI73" s="285"/>
      <c r="CJ73" s="285"/>
      <c r="CK73" s="285"/>
      <c r="CL73" s="285"/>
      <c r="CM73" s="285"/>
      <c r="CN73" s="285"/>
      <c r="CO73" s="285"/>
      <c r="CP73" s="285"/>
      <c r="CQ73" s="285"/>
      <c r="CR73" s="285"/>
    </row>
    <row r="74" spans="1:96" ht="15.6">
      <c r="A74" s="285"/>
      <c r="B74" s="285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  <c r="N74" s="285"/>
      <c r="O74" s="285"/>
      <c r="P74" s="285"/>
      <c r="Q74" s="285"/>
      <c r="R74" s="285"/>
      <c r="S74" s="285"/>
      <c r="T74" s="285"/>
      <c r="U74" s="285"/>
      <c r="V74" s="285"/>
      <c r="W74" s="285"/>
      <c r="X74" s="285"/>
      <c r="Y74" s="285"/>
      <c r="Z74" s="285"/>
      <c r="AA74" s="285"/>
      <c r="AB74" s="285"/>
      <c r="AC74" s="285"/>
      <c r="AD74" s="285"/>
      <c r="AE74" s="285"/>
      <c r="AF74" s="285"/>
      <c r="AG74" s="285"/>
      <c r="AH74" s="285"/>
      <c r="AI74" s="285"/>
      <c r="AJ74" s="285"/>
      <c r="AK74" s="285"/>
      <c r="AL74" s="285"/>
      <c r="AM74" s="285"/>
      <c r="AN74" s="285"/>
      <c r="AO74" s="285"/>
      <c r="AP74" s="285"/>
      <c r="AQ74" s="285"/>
      <c r="AR74" s="285"/>
      <c r="AS74" s="285"/>
      <c r="AT74" s="285"/>
      <c r="AU74" s="285"/>
      <c r="AV74" s="285"/>
      <c r="AW74" s="285"/>
      <c r="AX74" s="285"/>
      <c r="AY74" s="285"/>
      <c r="AZ74" s="285"/>
      <c r="BA74" s="285"/>
      <c r="BB74" s="285"/>
      <c r="BC74" s="285"/>
      <c r="BD74" s="285"/>
      <c r="BE74" s="285"/>
      <c r="BF74" s="285"/>
      <c r="BG74" s="285"/>
      <c r="BH74" s="285"/>
      <c r="BI74" s="285"/>
      <c r="BJ74" s="285"/>
      <c r="BK74" s="285"/>
      <c r="BL74" s="285"/>
      <c r="BM74" s="285"/>
      <c r="BN74" s="285"/>
      <c r="BO74" s="285"/>
      <c r="BP74" s="285"/>
      <c r="BQ74" s="285"/>
      <c r="BR74" s="285"/>
      <c r="BS74" s="285"/>
      <c r="BT74" s="285"/>
      <c r="BU74" s="285"/>
      <c r="BV74" s="285"/>
      <c r="BW74" s="285"/>
      <c r="BX74" s="285"/>
      <c r="BY74" s="285"/>
      <c r="BZ74" s="285"/>
      <c r="CA74" s="285"/>
      <c r="CB74" s="285"/>
      <c r="CC74" s="285"/>
      <c r="CD74" s="285"/>
      <c r="CE74" s="285"/>
      <c r="CF74" s="285"/>
      <c r="CG74" s="285"/>
      <c r="CH74" s="285"/>
      <c r="CI74" s="285"/>
      <c r="CJ74" s="285"/>
      <c r="CK74" s="285"/>
      <c r="CL74" s="285"/>
      <c r="CM74" s="285"/>
      <c r="CN74" s="285"/>
      <c r="CO74" s="285"/>
      <c r="CP74" s="285"/>
      <c r="CQ74" s="285"/>
      <c r="CR74" s="285"/>
    </row>
    <row r="75" spans="1:96" ht="15.6">
      <c r="A75" s="285"/>
      <c r="B75" s="285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  <c r="N75" s="285"/>
      <c r="O75" s="285"/>
      <c r="P75" s="285"/>
      <c r="Q75" s="285"/>
      <c r="R75" s="285"/>
      <c r="S75" s="285"/>
      <c r="T75" s="285"/>
      <c r="U75" s="285"/>
      <c r="V75" s="285"/>
      <c r="W75" s="285"/>
      <c r="X75" s="285"/>
      <c r="Y75" s="285"/>
      <c r="Z75" s="285"/>
      <c r="AA75" s="285"/>
      <c r="AB75" s="285"/>
      <c r="AC75" s="285"/>
      <c r="AD75" s="285"/>
      <c r="AE75" s="285"/>
      <c r="AF75" s="285"/>
      <c r="AG75" s="285"/>
      <c r="AH75" s="285"/>
      <c r="AI75" s="285"/>
      <c r="AJ75" s="285"/>
      <c r="AK75" s="285"/>
      <c r="AL75" s="285"/>
      <c r="AM75" s="285"/>
      <c r="AN75" s="285"/>
      <c r="AO75" s="285"/>
      <c r="AP75" s="285"/>
      <c r="AQ75" s="285"/>
      <c r="AR75" s="285"/>
      <c r="AS75" s="285"/>
      <c r="AT75" s="285"/>
      <c r="AU75" s="285"/>
      <c r="AV75" s="285"/>
      <c r="AW75" s="285"/>
      <c r="AX75" s="285"/>
      <c r="AY75" s="285"/>
      <c r="AZ75" s="285"/>
      <c r="BA75" s="285"/>
      <c r="BB75" s="285"/>
      <c r="BC75" s="285"/>
      <c r="BD75" s="285"/>
      <c r="BE75" s="285"/>
      <c r="BF75" s="285"/>
      <c r="BG75" s="285"/>
      <c r="BH75" s="285"/>
      <c r="BI75" s="285"/>
      <c r="BJ75" s="285"/>
      <c r="BK75" s="285"/>
      <c r="BL75" s="285"/>
      <c r="BM75" s="285"/>
      <c r="BN75" s="285"/>
      <c r="BO75" s="285"/>
      <c r="BP75" s="285"/>
      <c r="BQ75" s="285"/>
      <c r="BR75" s="285"/>
      <c r="BS75" s="285"/>
      <c r="BT75" s="285"/>
      <c r="BU75" s="285"/>
      <c r="BV75" s="285"/>
      <c r="BW75" s="285"/>
      <c r="BX75" s="285"/>
      <c r="BY75" s="285"/>
      <c r="BZ75" s="285"/>
      <c r="CA75" s="285"/>
      <c r="CB75" s="285"/>
      <c r="CC75" s="285"/>
      <c r="CD75" s="285"/>
      <c r="CE75" s="285"/>
      <c r="CF75" s="285"/>
      <c r="CG75" s="285"/>
      <c r="CH75" s="285"/>
      <c r="CI75" s="285"/>
      <c r="CJ75" s="285"/>
      <c r="CK75" s="285"/>
      <c r="CL75" s="285"/>
      <c r="CM75" s="285"/>
      <c r="CN75" s="285"/>
      <c r="CO75" s="285"/>
      <c r="CP75" s="285"/>
      <c r="CQ75" s="285"/>
      <c r="CR75" s="285"/>
    </row>
    <row r="76" spans="1:96" ht="15.6">
      <c r="A76" s="285"/>
      <c r="B76" s="285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  <c r="N76" s="285"/>
      <c r="O76" s="285"/>
      <c r="P76" s="285"/>
      <c r="Q76" s="285"/>
      <c r="R76" s="285"/>
      <c r="S76" s="285"/>
      <c r="T76" s="285"/>
      <c r="U76" s="285"/>
      <c r="V76" s="285"/>
      <c r="W76" s="285"/>
      <c r="X76" s="285"/>
      <c r="Y76" s="285"/>
      <c r="Z76" s="285"/>
      <c r="AA76" s="285"/>
      <c r="AB76" s="285"/>
      <c r="AC76" s="285"/>
      <c r="AD76" s="285"/>
      <c r="AE76" s="285"/>
      <c r="AF76" s="285"/>
      <c r="AG76" s="285"/>
      <c r="AH76" s="285"/>
      <c r="AI76" s="285"/>
      <c r="AJ76" s="285"/>
      <c r="AK76" s="285"/>
      <c r="AL76" s="285"/>
      <c r="AM76" s="285"/>
      <c r="AN76" s="285"/>
      <c r="AO76" s="285"/>
      <c r="AP76" s="285"/>
      <c r="AQ76" s="285"/>
      <c r="AR76" s="285"/>
      <c r="AS76" s="285"/>
      <c r="AT76" s="285"/>
      <c r="AU76" s="285"/>
      <c r="AV76" s="285"/>
      <c r="AW76" s="285"/>
      <c r="AX76" s="285"/>
      <c r="AY76" s="285"/>
      <c r="AZ76" s="285"/>
      <c r="BA76" s="285"/>
      <c r="BB76" s="285"/>
      <c r="BC76" s="285"/>
      <c r="BD76" s="285"/>
      <c r="BE76" s="285"/>
      <c r="BF76" s="285"/>
      <c r="BG76" s="285"/>
      <c r="BH76" s="285"/>
      <c r="BI76" s="285"/>
      <c r="BJ76" s="285"/>
      <c r="BK76" s="285"/>
      <c r="BL76" s="285"/>
      <c r="BM76" s="285"/>
      <c r="BN76" s="285"/>
      <c r="BO76" s="285"/>
      <c r="BP76" s="285"/>
      <c r="BQ76" s="285"/>
      <c r="BR76" s="285"/>
      <c r="BS76" s="285"/>
      <c r="BT76" s="285"/>
      <c r="BU76" s="285"/>
      <c r="BV76" s="285"/>
      <c r="BW76" s="285"/>
      <c r="BX76" s="285"/>
      <c r="BY76" s="285"/>
      <c r="BZ76" s="285"/>
      <c r="CA76" s="285"/>
      <c r="CB76" s="285"/>
      <c r="CC76" s="285"/>
      <c r="CD76" s="285"/>
      <c r="CE76" s="285"/>
      <c r="CF76" s="285"/>
      <c r="CG76" s="285"/>
      <c r="CH76" s="285"/>
      <c r="CI76" s="285"/>
      <c r="CJ76" s="285"/>
      <c r="CK76" s="285"/>
      <c r="CL76" s="285"/>
      <c r="CM76" s="285"/>
      <c r="CN76" s="285"/>
      <c r="CO76" s="285"/>
      <c r="CP76" s="285"/>
      <c r="CQ76" s="285"/>
      <c r="CR76" s="285"/>
    </row>
    <row r="77" spans="1:96" ht="15.6">
      <c r="A77" s="285"/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85"/>
      <c r="X77" s="285"/>
      <c r="Y77" s="285"/>
      <c r="Z77" s="285"/>
      <c r="AA77" s="285"/>
      <c r="AB77" s="285"/>
      <c r="AC77" s="285"/>
      <c r="AD77" s="285"/>
      <c r="AE77" s="285"/>
      <c r="AF77" s="285"/>
      <c r="AG77" s="285"/>
      <c r="AH77" s="285"/>
      <c r="AI77" s="285"/>
      <c r="AJ77" s="285"/>
      <c r="AK77" s="285"/>
      <c r="AL77" s="285"/>
      <c r="AM77" s="285"/>
      <c r="AN77" s="285"/>
      <c r="AO77" s="285"/>
      <c r="AP77" s="285"/>
      <c r="AQ77" s="285"/>
      <c r="AR77" s="285"/>
      <c r="AS77" s="285"/>
      <c r="AT77" s="285"/>
      <c r="AU77" s="285"/>
      <c r="AV77" s="285"/>
      <c r="AW77" s="285"/>
      <c r="AX77" s="285"/>
      <c r="AY77" s="285"/>
      <c r="AZ77" s="285"/>
      <c r="BA77" s="285"/>
      <c r="BB77" s="285"/>
      <c r="BC77" s="285"/>
      <c r="BD77" s="285"/>
      <c r="BE77" s="285"/>
      <c r="BF77" s="285"/>
      <c r="BG77" s="285"/>
      <c r="BH77" s="285"/>
      <c r="BI77" s="285"/>
      <c r="BJ77" s="285"/>
      <c r="BK77" s="285"/>
      <c r="BL77" s="285"/>
      <c r="BM77" s="285"/>
      <c r="BN77" s="285"/>
      <c r="BO77" s="285"/>
      <c r="BP77" s="285"/>
      <c r="BQ77" s="285"/>
      <c r="BR77" s="285"/>
      <c r="BS77" s="285"/>
      <c r="BT77" s="285"/>
      <c r="BU77" s="285"/>
      <c r="BV77" s="285"/>
      <c r="BW77" s="285"/>
      <c r="BX77" s="285"/>
      <c r="BY77" s="285"/>
      <c r="BZ77" s="285"/>
      <c r="CA77" s="285"/>
      <c r="CB77" s="285"/>
      <c r="CC77" s="285"/>
      <c r="CD77" s="285"/>
      <c r="CE77" s="285"/>
      <c r="CF77" s="285"/>
      <c r="CG77" s="285"/>
      <c r="CH77" s="285"/>
      <c r="CI77" s="285"/>
      <c r="CJ77" s="285"/>
      <c r="CK77" s="285"/>
      <c r="CL77" s="285"/>
      <c r="CM77" s="285"/>
      <c r="CN77" s="285"/>
      <c r="CO77" s="285"/>
      <c r="CP77" s="285"/>
      <c r="CQ77" s="285"/>
      <c r="CR77" s="285"/>
    </row>
    <row r="78" spans="1:96" ht="15.6">
      <c r="A78" s="285"/>
      <c r="B78" s="285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  <c r="N78" s="285"/>
      <c r="O78" s="285"/>
      <c r="P78" s="285"/>
      <c r="Q78" s="285"/>
      <c r="R78" s="285"/>
      <c r="S78" s="285"/>
      <c r="T78" s="285"/>
      <c r="U78" s="285"/>
      <c r="V78" s="285"/>
      <c r="W78" s="285"/>
      <c r="X78" s="285"/>
      <c r="Y78" s="285"/>
      <c r="Z78" s="285"/>
      <c r="AA78" s="285"/>
      <c r="AB78" s="285"/>
      <c r="AC78" s="285"/>
      <c r="AD78" s="285"/>
      <c r="AE78" s="285"/>
      <c r="AF78" s="285"/>
      <c r="AG78" s="285"/>
      <c r="AH78" s="285"/>
      <c r="AI78" s="285"/>
      <c r="AJ78" s="285"/>
      <c r="AK78" s="285"/>
      <c r="AL78" s="285"/>
      <c r="AM78" s="285"/>
      <c r="AN78" s="285"/>
      <c r="AO78" s="285"/>
      <c r="AP78" s="285"/>
      <c r="AQ78" s="285"/>
      <c r="AR78" s="285"/>
      <c r="AS78" s="285"/>
      <c r="AT78" s="285"/>
      <c r="AU78" s="285"/>
      <c r="AV78" s="285"/>
      <c r="AW78" s="285"/>
      <c r="AX78" s="285"/>
      <c r="AY78" s="285"/>
      <c r="AZ78" s="285"/>
      <c r="BA78" s="285"/>
      <c r="BB78" s="285"/>
      <c r="BC78" s="285"/>
      <c r="BD78" s="285"/>
      <c r="BE78" s="285"/>
      <c r="BF78" s="285"/>
      <c r="BG78" s="285"/>
      <c r="BH78" s="285"/>
      <c r="BI78" s="285"/>
      <c r="BJ78" s="285"/>
      <c r="BK78" s="285"/>
      <c r="BL78" s="285"/>
      <c r="BM78" s="285"/>
      <c r="BN78" s="285"/>
      <c r="BO78" s="285"/>
      <c r="BP78" s="285"/>
      <c r="BQ78" s="285"/>
      <c r="BR78" s="285"/>
      <c r="BS78" s="285"/>
      <c r="BT78" s="285"/>
      <c r="BU78" s="285"/>
      <c r="BV78" s="285"/>
      <c r="BW78" s="285"/>
      <c r="BX78" s="285"/>
      <c r="BY78" s="285"/>
      <c r="BZ78" s="285"/>
      <c r="CA78" s="285"/>
      <c r="CB78" s="285"/>
      <c r="CC78" s="285"/>
      <c r="CD78" s="285"/>
      <c r="CE78" s="285"/>
      <c r="CF78" s="285"/>
      <c r="CG78" s="285"/>
      <c r="CH78" s="285"/>
      <c r="CI78" s="285"/>
      <c r="CJ78" s="285"/>
      <c r="CK78" s="285"/>
      <c r="CL78" s="285"/>
      <c r="CM78" s="285"/>
      <c r="CN78" s="285"/>
      <c r="CO78" s="285"/>
      <c r="CP78" s="285"/>
      <c r="CQ78" s="285"/>
      <c r="CR78" s="285"/>
    </row>
    <row r="79" spans="1:96" ht="15.6">
      <c r="A79" s="285"/>
      <c r="B79" s="285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  <c r="N79" s="285"/>
      <c r="O79" s="285"/>
      <c r="P79" s="285"/>
      <c r="Q79" s="285"/>
      <c r="R79" s="285"/>
      <c r="S79" s="285"/>
      <c r="T79" s="285"/>
      <c r="U79" s="285"/>
      <c r="V79" s="285"/>
      <c r="W79" s="285"/>
      <c r="X79" s="285"/>
      <c r="Y79" s="285"/>
      <c r="Z79" s="285"/>
      <c r="AA79" s="285"/>
      <c r="AB79" s="285"/>
      <c r="AC79" s="285"/>
      <c r="AD79" s="285"/>
      <c r="AE79" s="285"/>
      <c r="AF79" s="285"/>
      <c r="AG79" s="285"/>
      <c r="AH79" s="285"/>
      <c r="AI79" s="285"/>
      <c r="AJ79" s="285"/>
      <c r="AK79" s="285"/>
      <c r="AL79" s="285"/>
      <c r="AM79" s="285"/>
      <c r="AN79" s="285"/>
      <c r="AO79" s="285"/>
      <c r="AP79" s="285"/>
      <c r="AQ79" s="285"/>
      <c r="AR79" s="285"/>
      <c r="AS79" s="285"/>
      <c r="AT79" s="285"/>
      <c r="AU79" s="285"/>
      <c r="AV79" s="285"/>
      <c r="AW79" s="285"/>
      <c r="AX79" s="285"/>
      <c r="AY79" s="285"/>
      <c r="AZ79" s="285"/>
      <c r="BA79" s="285"/>
      <c r="BB79" s="285"/>
      <c r="BC79" s="285"/>
      <c r="BD79" s="285"/>
      <c r="BE79" s="285"/>
      <c r="BF79" s="285"/>
      <c r="BG79" s="285"/>
      <c r="BH79" s="285"/>
      <c r="BI79" s="285"/>
      <c r="BJ79" s="285"/>
      <c r="BK79" s="285"/>
      <c r="BL79" s="285"/>
      <c r="BM79" s="285"/>
      <c r="BN79" s="285"/>
      <c r="BO79" s="285"/>
      <c r="BP79" s="285"/>
      <c r="BQ79" s="285"/>
      <c r="BR79" s="285"/>
      <c r="BS79" s="285"/>
      <c r="BT79" s="285"/>
      <c r="BU79" s="285"/>
      <c r="BV79" s="285"/>
      <c r="BW79" s="285"/>
      <c r="BX79" s="285"/>
      <c r="BY79" s="285"/>
      <c r="BZ79" s="285"/>
      <c r="CA79" s="285"/>
      <c r="CB79" s="285"/>
      <c r="CC79" s="285"/>
      <c r="CD79" s="285"/>
      <c r="CE79" s="285"/>
      <c r="CF79" s="285"/>
      <c r="CG79" s="285"/>
      <c r="CH79" s="285"/>
      <c r="CI79" s="285"/>
      <c r="CJ79" s="285"/>
      <c r="CK79" s="285"/>
      <c r="CL79" s="285"/>
      <c r="CM79" s="285"/>
      <c r="CN79" s="285"/>
      <c r="CO79" s="285"/>
      <c r="CP79" s="285"/>
      <c r="CQ79" s="285"/>
      <c r="CR79" s="285"/>
    </row>
    <row r="80" spans="1:96" ht="15.6">
      <c r="A80" s="285"/>
      <c r="B80" s="285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  <c r="N80" s="285"/>
      <c r="O80" s="285"/>
      <c r="P80" s="285"/>
      <c r="Q80" s="285"/>
      <c r="R80" s="285"/>
      <c r="S80" s="285"/>
      <c r="T80" s="285"/>
      <c r="U80" s="285"/>
      <c r="V80" s="285"/>
      <c r="W80" s="285"/>
      <c r="X80" s="285"/>
      <c r="Y80" s="285"/>
      <c r="Z80" s="285"/>
      <c r="AA80" s="285"/>
      <c r="AB80" s="285"/>
      <c r="AC80" s="285"/>
      <c r="AD80" s="285"/>
      <c r="AE80" s="285"/>
      <c r="AF80" s="285"/>
      <c r="AG80" s="285"/>
      <c r="AH80" s="285"/>
      <c r="AI80" s="285"/>
      <c r="AJ80" s="285"/>
      <c r="AK80" s="285"/>
      <c r="AL80" s="285"/>
      <c r="AM80" s="285"/>
      <c r="AN80" s="285"/>
      <c r="AO80" s="285"/>
      <c r="AP80" s="285"/>
      <c r="AQ80" s="285"/>
      <c r="AR80" s="285"/>
      <c r="AS80" s="285"/>
      <c r="AT80" s="285"/>
      <c r="AU80" s="285"/>
      <c r="AV80" s="285"/>
      <c r="AW80" s="285"/>
      <c r="AX80" s="285"/>
      <c r="AY80" s="285"/>
      <c r="AZ80" s="285"/>
      <c r="BA80" s="285"/>
      <c r="BB80" s="285"/>
      <c r="BC80" s="285"/>
      <c r="BD80" s="285"/>
      <c r="BE80" s="285"/>
      <c r="BF80" s="285"/>
      <c r="BG80" s="285"/>
      <c r="BH80" s="285"/>
      <c r="BI80" s="285"/>
      <c r="BJ80" s="285"/>
      <c r="BK80" s="285"/>
      <c r="BL80" s="285"/>
      <c r="BM80" s="285"/>
      <c r="BN80" s="285"/>
      <c r="BO80" s="285"/>
      <c r="BP80" s="285"/>
      <c r="BQ80" s="285"/>
      <c r="BR80" s="285"/>
      <c r="BS80" s="285"/>
      <c r="BT80" s="285"/>
      <c r="BU80" s="285"/>
      <c r="BV80" s="285"/>
      <c r="BW80" s="285"/>
      <c r="BX80" s="285"/>
      <c r="BY80" s="285"/>
      <c r="BZ80" s="285"/>
      <c r="CA80" s="285"/>
      <c r="CB80" s="285"/>
      <c r="CC80" s="285"/>
      <c r="CD80" s="285"/>
      <c r="CE80" s="285"/>
      <c r="CF80" s="285"/>
      <c r="CG80" s="285"/>
      <c r="CH80" s="285"/>
      <c r="CI80" s="285"/>
      <c r="CJ80" s="285"/>
      <c r="CK80" s="285"/>
      <c r="CL80" s="285"/>
      <c r="CM80" s="285"/>
      <c r="CN80" s="285"/>
      <c r="CO80" s="285"/>
      <c r="CP80" s="285"/>
      <c r="CQ80" s="285"/>
      <c r="CR80" s="285"/>
    </row>
    <row r="81" spans="1:96" ht="15.6">
      <c r="A81" s="285"/>
      <c r="B81" s="285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  <c r="N81" s="285"/>
      <c r="O81" s="285"/>
      <c r="P81" s="285"/>
      <c r="Q81" s="285"/>
      <c r="R81" s="285"/>
      <c r="S81" s="285"/>
      <c r="T81" s="285"/>
      <c r="U81" s="285"/>
      <c r="V81" s="285"/>
      <c r="W81" s="285"/>
      <c r="X81" s="285"/>
      <c r="Y81" s="285"/>
      <c r="Z81" s="285"/>
      <c r="AA81" s="285"/>
      <c r="AB81" s="285"/>
      <c r="AC81" s="285"/>
      <c r="AD81" s="285"/>
      <c r="AE81" s="285"/>
      <c r="AF81" s="285"/>
      <c r="AG81" s="285"/>
      <c r="AH81" s="285"/>
      <c r="AI81" s="285"/>
      <c r="AJ81" s="285"/>
      <c r="AK81" s="285"/>
      <c r="AL81" s="285"/>
      <c r="AM81" s="285"/>
      <c r="AN81" s="285"/>
      <c r="AO81" s="285"/>
      <c r="AP81" s="285"/>
      <c r="AQ81" s="285"/>
      <c r="AR81" s="285"/>
      <c r="AS81" s="285"/>
      <c r="AT81" s="285"/>
      <c r="AU81" s="285"/>
      <c r="AV81" s="285"/>
      <c r="AW81" s="285"/>
      <c r="AX81" s="285"/>
      <c r="AY81" s="285"/>
      <c r="AZ81" s="285"/>
      <c r="BA81" s="285"/>
      <c r="BB81" s="285"/>
      <c r="BC81" s="285"/>
      <c r="BD81" s="285"/>
      <c r="BE81" s="285"/>
      <c r="BF81" s="285"/>
      <c r="BG81" s="285"/>
      <c r="BH81" s="285"/>
      <c r="BI81" s="285"/>
      <c r="BJ81" s="285"/>
      <c r="BK81" s="285"/>
      <c r="BL81" s="285"/>
      <c r="BM81" s="285"/>
      <c r="BN81" s="285"/>
      <c r="BO81" s="285"/>
      <c r="BP81" s="285"/>
      <c r="BQ81" s="285"/>
      <c r="BR81" s="285"/>
      <c r="BS81" s="285"/>
      <c r="BT81" s="285"/>
      <c r="BU81" s="285"/>
      <c r="BV81" s="285"/>
      <c r="BW81" s="285"/>
      <c r="BX81" s="285"/>
      <c r="BY81" s="285"/>
      <c r="BZ81" s="285"/>
      <c r="CA81" s="285"/>
      <c r="CB81" s="285"/>
      <c r="CC81" s="285"/>
      <c r="CD81" s="285"/>
      <c r="CE81" s="285"/>
      <c r="CF81" s="285"/>
      <c r="CG81" s="285"/>
      <c r="CH81" s="285"/>
      <c r="CI81" s="285"/>
      <c r="CJ81" s="285"/>
      <c r="CK81" s="285"/>
      <c r="CL81" s="285"/>
      <c r="CM81" s="285"/>
      <c r="CN81" s="285"/>
      <c r="CO81" s="285"/>
      <c r="CP81" s="285"/>
      <c r="CQ81" s="285"/>
      <c r="CR81" s="285"/>
    </row>
    <row r="82" spans="1:96" ht="15.6">
      <c r="A82" s="285"/>
      <c r="B82" s="30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85"/>
      <c r="X82" s="285"/>
      <c r="Y82" s="285"/>
      <c r="Z82" s="285"/>
      <c r="AA82" s="285"/>
      <c r="AB82" s="285"/>
      <c r="AC82" s="285"/>
      <c r="AD82" s="285"/>
      <c r="AE82" s="285"/>
      <c r="AF82" s="285"/>
      <c r="AG82" s="285"/>
      <c r="AH82" s="285"/>
      <c r="AI82" s="285"/>
      <c r="AJ82" s="285"/>
      <c r="AK82" s="285"/>
      <c r="AL82" s="285"/>
      <c r="AM82" s="285"/>
      <c r="AN82" s="285"/>
      <c r="AO82" s="285"/>
      <c r="AP82" s="285"/>
      <c r="AQ82" s="285"/>
      <c r="AR82" s="285"/>
      <c r="AS82" s="285"/>
      <c r="AT82" s="285"/>
      <c r="AU82" s="285"/>
      <c r="AV82" s="285"/>
      <c r="AW82" s="285"/>
      <c r="AX82" s="285"/>
      <c r="AY82" s="285"/>
      <c r="AZ82" s="285"/>
      <c r="BA82" s="285"/>
      <c r="BB82" s="285"/>
      <c r="BC82" s="285"/>
      <c r="BD82" s="285"/>
      <c r="BE82" s="285"/>
      <c r="BF82" s="285"/>
      <c r="BG82" s="285"/>
      <c r="BH82" s="285"/>
      <c r="BI82" s="285"/>
      <c r="BJ82" s="285"/>
      <c r="BK82" s="285"/>
      <c r="BL82" s="285"/>
      <c r="BM82" s="285"/>
      <c r="BN82" s="285"/>
      <c r="BO82" s="285"/>
      <c r="BP82" s="285"/>
      <c r="BQ82" s="285"/>
      <c r="BR82" s="285"/>
      <c r="BS82" s="285"/>
      <c r="BT82" s="285"/>
      <c r="BU82" s="285"/>
      <c r="BV82" s="285"/>
      <c r="BW82" s="285"/>
      <c r="BX82" s="285"/>
      <c r="BY82" s="285"/>
      <c r="BZ82" s="285"/>
      <c r="CA82" s="285"/>
      <c r="CB82" s="285"/>
      <c r="CC82" s="285"/>
      <c r="CD82" s="285"/>
      <c r="CE82" s="285"/>
      <c r="CF82" s="285"/>
      <c r="CG82" s="285"/>
      <c r="CH82" s="285"/>
      <c r="CI82" s="285"/>
      <c r="CJ82" s="285"/>
      <c r="CK82" s="285"/>
      <c r="CL82" s="285"/>
      <c r="CM82" s="285"/>
      <c r="CN82" s="285"/>
      <c r="CO82" s="285"/>
      <c r="CP82" s="285"/>
      <c r="CQ82" s="285"/>
      <c r="CR82" s="285"/>
    </row>
    <row r="83" spans="1:96" ht="15.6">
      <c r="A83" s="285"/>
      <c r="B83" s="295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85"/>
      <c r="X83" s="285"/>
      <c r="Y83" s="285"/>
      <c r="Z83" s="285"/>
      <c r="AA83" s="285"/>
      <c r="AB83" s="285"/>
      <c r="AC83" s="285"/>
      <c r="AD83" s="285"/>
      <c r="AE83" s="285"/>
      <c r="AF83" s="285"/>
      <c r="AG83" s="285"/>
      <c r="AH83" s="285"/>
      <c r="AI83" s="285"/>
      <c r="AJ83" s="285"/>
      <c r="AK83" s="285"/>
      <c r="AL83" s="285"/>
      <c r="AM83" s="285"/>
      <c r="AN83" s="285"/>
      <c r="AO83" s="285"/>
      <c r="AP83" s="285"/>
      <c r="AQ83" s="285"/>
      <c r="AR83" s="285"/>
      <c r="AS83" s="285"/>
      <c r="AT83" s="285"/>
      <c r="AU83" s="285"/>
      <c r="AV83" s="285"/>
      <c r="AW83" s="285"/>
      <c r="AX83" s="285"/>
      <c r="AY83" s="285"/>
      <c r="AZ83" s="285"/>
      <c r="BA83" s="285"/>
      <c r="BB83" s="285"/>
      <c r="BC83" s="285"/>
      <c r="BD83" s="285"/>
      <c r="BE83" s="285"/>
      <c r="BF83" s="285"/>
      <c r="BG83" s="285"/>
      <c r="BH83" s="285"/>
      <c r="BI83" s="285"/>
      <c r="BJ83" s="285"/>
      <c r="BK83" s="285"/>
      <c r="BL83" s="285"/>
      <c r="BM83" s="285"/>
      <c r="BN83" s="285"/>
      <c r="BO83" s="285"/>
      <c r="BP83" s="285"/>
      <c r="BQ83" s="285"/>
      <c r="BR83" s="285"/>
      <c r="BS83" s="285"/>
      <c r="BT83" s="285"/>
      <c r="BU83" s="285"/>
      <c r="BV83" s="285"/>
      <c r="BW83" s="285"/>
      <c r="BX83" s="285"/>
      <c r="BY83" s="285"/>
      <c r="BZ83" s="285"/>
      <c r="CA83" s="285"/>
      <c r="CB83" s="285"/>
      <c r="CC83" s="285"/>
      <c r="CD83" s="285"/>
      <c r="CE83" s="285"/>
      <c r="CF83" s="285"/>
      <c r="CG83" s="285"/>
      <c r="CH83" s="285"/>
      <c r="CI83" s="285"/>
      <c r="CJ83" s="285"/>
      <c r="CK83" s="285"/>
      <c r="CL83" s="285"/>
      <c r="CM83" s="285"/>
      <c r="CN83" s="285"/>
      <c r="CO83" s="285"/>
      <c r="CP83" s="285"/>
      <c r="CQ83" s="285"/>
      <c r="CR83" s="285"/>
    </row>
    <row r="84" spans="1:96" ht="15.6">
      <c r="A84" s="285"/>
      <c r="B84" s="295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85"/>
      <c r="X84" s="285"/>
      <c r="Y84" s="285"/>
      <c r="Z84" s="285"/>
      <c r="AA84" s="285"/>
      <c r="AB84" s="285"/>
      <c r="AC84" s="285"/>
      <c r="AD84" s="285"/>
      <c r="AE84" s="285"/>
      <c r="AF84" s="285"/>
      <c r="AG84" s="285"/>
      <c r="AH84" s="285"/>
      <c r="AI84" s="285"/>
      <c r="AJ84" s="285"/>
      <c r="AK84" s="285"/>
      <c r="AL84" s="285"/>
      <c r="AM84" s="285"/>
      <c r="AN84" s="285"/>
      <c r="AO84" s="285"/>
      <c r="AP84" s="285"/>
      <c r="AQ84" s="285"/>
      <c r="AR84" s="285"/>
      <c r="AS84" s="285"/>
      <c r="AT84" s="285"/>
      <c r="AU84" s="285"/>
      <c r="AV84" s="285"/>
      <c r="AW84" s="285"/>
      <c r="AX84" s="285"/>
      <c r="AY84" s="285"/>
      <c r="AZ84" s="285"/>
      <c r="BA84" s="285"/>
      <c r="BB84" s="285"/>
      <c r="BC84" s="285"/>
      <c r="BD84" s="285"/>
      <c r="BE84" s="285"/>
      <c r="BF84" s="285"/>
      <c r="BG84" s="285"/>
      <c r="BH84" s="285"/>
      <c r="BI84" s="285"/>
      <c r="BJ84" s="285"/>
      <c r="BK84" s="285"/>
      <c r="BL84" s="285"/>
      <c r="BM84" s="285"/>
      <c r="BN84" s="285"/>
      <c r="BO84" s="285"/>
      <c r="BP84" s="285"/>
      <c r="BQ84" s="285"/>
      <c r="BR84" s="285"/>
      <c r="BS84" s="285"/>
      <c r="BT84" s="285"/>
      <c r="BU84" s="285"/>
      <c r="BV84" s="285"/>
      <c r="BW84" s="285"/>
      <c r="BX84" s="285"/>
      <c r="BY84" s="285"/>
      <c r="BZ84" s="285"/>
      <c r="CA84" s="285"/>
      <c r="CB84" s="285"/>
      <c r="CC84" s="285"/>
      <c r="CD84" s="285"/>
      <c r="CE84" s="285"/>
      <c r="CF84" s="285"/>
      <c r="CG84" s="285"/>
      <c r="CH84" s="285"/>
      <c r="CI84" s="285"/>
      <c r="CJ84" s="285"/>
      <c r="CK84" s="285"/>
      <c r="CL84" s="285"/>
      <c r="CM84" s="285"/>
      <c r="CN84" s="285"/>
      <c r="CO84" s="285"/>
      <c r="CP84" s="285"/>
      <c r="CQ84" s="285"/>
      <c r="CR84" s="285"/>
    </row>
    <row r="85" spans="1:96" ht="15.6">
      <c r="A85" s="295"/>
      <c r="B85" s="305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285"/>
      <c r="X85" s="285"/>
      <c r="Y85" s="285"/>
      <c r="Z85" s="285"/>
      <c r="AA85" s="285"/>
      <c r="AB85" s="285"/>
      <c r="AC85" s="285"/>
      <c r="AD85" s="285"/>
      <c r="AE85" s="285"/>
      <c r="AF85" s="285"/>
      <c r="AG85" s="285"/>
      <c r="AH85" s="285"/>
      <c r="AI85" s="285"/>
      <c r="AJ85" s="285"/>
      <c r="AK85" s="285"/>
      <c r="AL85" s="285"/>
      <c r="AM85" s="285"/>
      <c r="AN85" s="285"/>
      <c r="AO85" s="285"/>
      <c r="AP85" s="285"/>
      <c r="AQ85" s="285"/>
      <c r="AR85" s="285"/>
      <c r="AS85" s="285"/>
      <c r="AT85" s="285"/>
      <c r="AU85" s="285"/>
      <c r="AV85" s="285"/>
      <c r="AW85" s="285"/>
      <c r="AX85" s="285"/>
      <c r="AY85" s="285"/>
      <c r="AZ85" s="285"/>
      <c r="BA85" s="285"/>
      <c r="BB85" s="285"/>
      <c r="BC85" s="285"/>
      <c r="BD85" s="285"/>
      <c r="BE85" s="285"/>
      <c r="BF85" s="285"/>
      <c r="BG85" s="285"/>
      <c r="BH85" s="285"/>
      <c r="BI85" s="285"/>
      <c r="BJ85" s="285"/>
      <c r="BK85" s="285"/>
      <c r="BL85" s="285"/>
      <c r="BM85" s="285"/>
      <c r="BN85" s="285"/>
      <c r="BO85" s="285"/>
      <c r="BP85" s="285"/>
      <c r="BQ85" s="285"/>
      <c r="BR85" s="285"/>
      <c r="BS85" s="285"/>
      <c r="BT85" s="285"/>
      <c r="BU85" s="285"/>
      <c r="BV85" s="285"/>
      <c r="BW85" s="285"/>
      <c r="BX85" s="285"/>
      <c r="BY85" s="285"/>
      <c r="BZ85" s="285"/>
      <c r="CA85" s="285"/>
      <c r="CB85" s="285"/>
      <c r="CC85" s="285"/>
      <c r="CD85" s="285"/>
      <c r="CE85" s="285"/>
      <c r="CF85" s="285"/>
      <c r="CG85" s="285"/>
      <c r="CH85" s="285"/>
      <c r="CI85" s="285"/>
      <c r="CJ85" s="285"/>
      <c r="CK85" s="285"/>
      <c r="CL85" s="285"/>
      <c r="CM85" s="285"/>
      <c r="CN85" s="285"/>
      <c r="CO85" s="285"/>
      <c r="CP85" s="285"/>
      <c r="CQ85" s="285"/>
      <c r="CR85" s="285"/>
    </row>
    <row r="86" spans="1:96" ht="15.6">
      <c r="A86" s="285"/>
      <c r="B86" s="285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  <c r="N86" s="285"/>
      <c r="O86" s="285"/>
      <c r="P86" s="285"/>
      <c r="Q86" s="285"/>
      <c r="R86" s="285"/>
      <c r="S86" s="285"/>
      <c r="T86" s="285"/>
      <c r="U86" s="285"/>
      <c r="V86" s="285"/>
      <c r="W86" s="285"/>
      <c r="X86" s="285"/>
      <c r="Y86" s="285"/>
      <c r="Z86" s="285"/>
      <c r="AA86" s="285"/>
      <c r="AB86" s="285"/>
      <c r="AC86" s="285"/>
      <c r="AD86" s="285"/>
      <c r="AE86" s="285"/>
      <c r="AF86" s="285"/>
      <c r="AG86" s="285"/>
      <c r="AH86" s="285"/>
      <c r="AI86" s="285"/>
      <c r="AJ86" s="285"/>
      <c r="AK86" s="285"/>
      <c r="AL86" s="285"/>
      <c r="AM86" s="285"/>
      <c r="AN86" s="285"/>
      <c r="AO86" s="285"/>
      <c r="AP86" s="285"/>
      <c r="AQ86" s="285"/>
      <c r="AR86" s="285"/>
      <c r="AS86" s="285"/>
      <c r="AT86" s="285"/>
      <c r="AU86" s="285"/>
      <c r="AV86" s="285"/>
      <c r="AW86" s="285"/>
      <c r="AX86" s="285"/>
      <c r="AY86" s="285"/>
      <c r="AZ86" s="285"/>
      <c r="BA86" s="285"/>
      <c r="BB86" s="285"/>
      <c r="BC86" s="285"/>
      <c r="BD86" s="285"/>
      <c r="BE86" s="285"/>
      <c r="BF86" s="285"/>
      <c r="BG86" s="285"/>
      <c r="BH86" s="285"/>
      <c r="BI86" s="285"/>
      <c r="BJ86" s="285"/>
      <c r="BK86" s="285"/>
      <c r="BL86" s="285"/>
      <c r="BM86" s="285"/>
      <c r="BN86" s="285"/>
      <c r="BO86" s="285"/>
      <c r="BP86" s="285"/>
      <c r="BQ86" s="285"/>
      <c r="BR86" s="285"/>
      <c r="BS86" s="285"/>
      <c r="BT86" s="285"/>
      <c r="BU86" s="285"/>
      <c r="BV86" s="285"/>
      <c r="BW86" s="285"/>
      <c r="BX86" s="285"/>
      <c r="BY86" s="285"/>
      <c r="BZ86" s="285"/>
      <c r="CA86" s="285"/>
      <c r="CB86" s="285"/>
      <c r="CC86" s="285"/>
      <c r="CD86" s="285"/>
      <c r="CE86" s="285"/>
      <c r="CF86" s="285"/>
      <c r="CG86" s="285"/>
      <c r="CH86" s="285"/>
      <c r="CI86" s="285"/>
      <c r="CJ86" s="285"/>
      <c r="CK86" s="285"/>
      <c r="CL86" s="285"/>
      <c r="CM86" s="285"/>
      <c r="CN86" s="285"/>
      <c r="CO86" s="285"/>
      <c r="CP86" s="285"/>
      <c r="CQ86" s="285"/>
      <c r="CR86" s="285"/>
    </row>
    <row r="87" spans="1:96" ht="15.6">
      <c r="A87" s="295"/>
      <c r="B87" s="305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5"/>
      <c r="P87" s="295"/>
      <c r="Q87" s="295"/>
      <c r="R87" s="295"/>
      <c r="S87" s="295"/>
      <c r="T87" s="295"/>
      <c r="U87" s="295"/>
      <c r="V87" s="295"/>
      <c r="W87" s="285"/>
      <c r="X87" s="285"/>
      <c r="Y87" s="285"/>
      <c r="Z87" s="285"/>
      <c r="AA87" s="285"/>
      <c r="AB87" s="285"/>
      <c r="AC87" s="285"/>
      <c r="AD87" s="285"/>
      <c r="AE87" s="285"/>
      <c r="AF87" s="285"/>
      <c r="AG87" s="285"/>
      <c r="AH87" s="285"/>
      <c r="AI87" s="285"/>
      <c r="AJ87" s="285"/>
      <c r="AK87" s="285"/>
      <c r="AL87" s="285"/>
      <c r="AM87" s="285"/>
      <c r="AN87" s="285"/>
      <c r="AO87" s="285"/>
      <c r="AP87" s="285"/>
      <c r="AQ87" s="285"/>
      <c r="AR87" s="285"/>
      <c r="AS87" s="285"/>
      <c r="AT87" s="285"/>
      <c r="AU87" s="285"/>
      <c r="AV87" s="285"/>
      <c r="AW87" s="285"/>
      <c r="AX87" s="285"/>
      <c r="AY87" s="285"/>
      <c r="AZ87" s="285"/>
      <c r="BA87" s="285"/>
      <c r="BB87" s="285"/>
      <c r="BC87" s="285"/>
      <c r="BD87" s="285"/>
      <c r="BE87" s="285"/>
      <c r="BF87" s="285"/>
      <c r="BG87" s="285"/>
      <c r="BH87" s="285"/>
      <c r="BI87" s="285"/>
      <c r="BJ87" s="285"/>
      <c r="BK87" s="285"/>
      <c r="BL87" s="285"/>
      <c r="BM87" s="285"/>
      <c r="BN87" s="285"/>
      <c r="BO87" s="285"/>
      <c r="BP87" s="285"/>
      <c r="BQ87" s="285"/>
      <c r="BR87" s="285"/>
      <c r="BS87" s="285"/>
      <c r="BT87" s="285"/>
      <c r="BU87" s="285"/>
      <c r="BV87" s="285"/>
      <c r="BW87" s="285"/>
      <c r="BX87" s="285"/>
      <c r="BY87" s="285"/>
      <c r="BZ87" s="285"/>
      <c r="CA87" s="285"/>
      <c r="CB87" s="285"/>
      <c r="CC87" s="285"/>
      <c r="CD87" s="285"/>
      <c r="CE87" s="285"/>
      <c r="CF87" s="285"/>
      <c r="CG87" s="285"/>
      <c r="CH87" s="285"/>
      <c r="CI87" s="285"/>
      <c r="CJ87" s="285"/>
      <c r="CK87" s="285"/>
      <c r="CL87" s="285"/>
      <c r="CM87" s="285"/>
      <c r="CN87" s="285"/>
      <c r="CO87" s="285"/>
      <c r="CP87" s="285"/>
      <c r="CQ87" s="285"/>
      <c r="CR87" s="285"/>
    </row>
    <row r="88" spans="1:96" ht="15.6">
      <c r="A88" s="295"/>
      <c r="B88" s="305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85"/>
      <c r="X88" s="285"/>
      <c r="Y88" s="285"/>
      <c r="Z88" s="285"/>
      <c r="AA88" s="285"/>
      <c r="AB88" s="285"/>
      <c r="AC88" s="285"/>
      <c r="AD88" s="285"/>
      <c r="AE88" s="285"/>
      <c r="AF88" s="285"/>
      <c r="AG88" s="285"/>
      <c r="AH88" s="285"/>
      <c r="AI88" s="285"/>
      <c r="AJ88" s="285"/>
      <c r="AK88" s="285"/>
      <c r="AL88" s="285"/>
      <c r="AM88" s="285"/>
      <c r="AN88" s="285"/>
      <c r="AO88" s="285"/>
      <c r="AP88" s="285"/>
      <c r="AQ88" s="285"/>
      <c r="AR88" s="285"/>
      <c r="AS88" s="285"/>
      <c r="AT88" s="285"/>
      <c r="AU88" s="285"/>
      <c r="AV88" s="285"/>
      <c r="AW88" s="285"/>
      <c r="AX88" s="285"/>
      <c r="AY88" s="285"/>
      <c r="AZ88" s="285"/>
      <c r="BA88" s="285"/>
      <c r="BB88" s="285"/>
      <c r="BC88" s="285"/>
      <c r="BD88" s="285"/>
      <c r="BE88" s="285"/>
      <c r="BF88" s="285"/>
      <c r="BG88" s="285"/>
      <c r="BH88" s="285"/>
      <c r="BI88" s="285"/>
      <c r="BJ88" s="285"/>
      <c r="BK88" s="285"/>
      <c r="BL88" s="285"/>
      <c r="BM88" s="285"/>
      <c r="BN88" s="285"/>
      <c r="BO88" s="285"/>
      <c r="BP88" s="285"/>
      <c r="BQ88" s="285"/>
      <c r="BR88" s="285"/>
      <c r="BS88" s="285"/>
      <c r="BT88" s="285"/>
      <c r="BU88" s="285"/>
      <c r="BV88" s="285"/>
      <c r="BW88" s="285"/>
      <c r="BX88" s="285"/>
      <c r="BY88" s="285"/>
      <c r="BZ88" s="285"/>
      <c r="CA88" s="285"/>
      <c r="CB88" s="285"/>
      <c r="CC88" s="285"/>
      <c r="CD88" s="285"/>
      <c r="CE88" s="285"/>
      <c r="CF88" s="285"/>
      <c r="CG88" s="285"/>
      <c r="CH88" s="285"/>
      <c r="CI88" s="285"/>
      <c r="CJ88" s="285"/>
      <c r="CK88" s="285"/>
      <c r="CL88" s="285"/>
      <c r="CM88" s="285"/>
      <c r="CN88" s="285"/>
      <c r="CO88" s="285"/>
      <c r="CP88" s="285"/>
      <c r="CQ88" s="285"/>
      <c r="CR88" s="285"/>
    </row>
    <row r="89" spans="1:96" ht="15.6">
      <c r="A89" s="295"/>
      <c r="B89" s="314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85"/>
      <c r="X89" s="285"/>
      <c r="Y89" s="285"/>
      <c r="Z89" s="285"/>
      <c r="AA89" s="285"/>
      <c r="AB89" s="285"/>
      <c r="AC89" s="285"/>
      <c r="AD89" s="285"/>
      <c r="AE89" s="285"/>
      <c r="AF89" s="285"/>
      <c r="AG89" s="285"/>
      <c r="AH89" s="285"/>
      <c r="AI89" s="285"/>
      <c r="AJ89" s="285"/>
      <c r="AK89" s="285"/>
      <c r="AL89" s="285"/>
      <c r="AM89" s="285"/>
      <c r="AN89" s="285"/>
      <c r="AO89" s="285"/>
      <c r="AP89" s="285"/>
      <c r="AQ89" s="285"/>
      <c r="AR89" s="285"/>
      <c r="AS89" s="285"/>
      <c r="AT89" s="285"/>
      <c r="AU89" s="285"/>
      <c r="AV89" s="285"/>
      <c r="AW89" s="285"/>
      <c r="AX89" s="285"/>
      <c r="AY89" s="285"/>
      <c r="AZ89" s="285"/>
      <c r="BA89" s="285"/>
      <c r="BB89" s="285"/>
      <c r="BC89" s="285"/>
      <c r="BD89" s="285"/>
      <c r="BE89" s="285"/>
      <c r="BF89" s="285"/>
      <c r="BG89" s="285"/>
      <c r="BH89" s="285"/>
      <c r="BI89" s="285"/>
      <c r="BJ89" s="285"/>
      <c r="BK89" s="285"/>
      <c r="BL89" s="285"/>
      <c r="BM89" s="285"/>
      <c r="BN89" s="285"/>
      <c r="BO89" s="285"/>
      <c r="BP89" s="285"/>
      <c r="BQ89" s="285"/>
      <c r="BR89" s="285"/>
      <c r="BS89" s="285"/>
      <c r="BT89" s="285"/>
      <c r="BU89" s="285"/>
      <c r="BV89" s="285"/>
      <c r="BW89" s="285"/>
      <c r="BX89" s="285"/>
      <c r="BY89" s="285"/>
      <c r="BZ89" s="285"/>
      <c r="CA89" s="285"/>
      <c r="CB89" s="285"/>
      <c r="CC89" s="285"/>
      <c r="CD89" s="285"/>
      <c r="CE89" s="285"/>
      <c r="CF89" s="285"/>
      <c r="CG89" s="285"/>
      <c r="CH89" s="285"/>
      <c r="CI89" s="285"/>
      <c r="CJ89" s="285"/>
      <c r="CK89" s="285"/>
      <c r="CL89" s="285"/>
      <c r="CM89" s="285"/>
      <c r="CN89" s="285"/>
      <c r="CO89" s="285"/>
      <c r="CP89" s="285"/>
      <c r="CQ89" s="285"/>
      <c r="CR89" s="285"/>
    </row>
    <row r="90" spans="1:96" ht="15.6">
      <c r="A90" s="295"/>
      <c r="B90" s="315"/>
      <c r="C90" s="315" t="e">
        <f>#REF!/0.75</f>
        <v>#REF!</v>
      </c>
      <c r="D90" s="315" t="e">
        <f>#REF!</f>
        <v>#REF!</v>
      </c>
      <c r="E90" s="315" t="e">
        <f>#REF!</f>
        <v>#REF!</v>
      </c>
      <c r="F90" s="315" t="e">
        <f>#REF!</f>
        <v>#REF!</v>
      </c>
      <c r="G90" s="315" t="e">
        <f>#REF!</f>
        <v>#REF!</v>
      </c>
      <c r="H90" s="315" t="e">
        <f>#REF!</f>
        <v>#REF!</v>
      </c>
      <c r="I90" s="315" t="e">
        <f>#REF!</f>
        <v>#REF!</v>
      </c>
      <c r="J90" s="315" t="e">
        <f>#REF!</f>
        <v>#REF!</v>
      </c>
      <c r="K90" s="315" t="e">
        <f>#REF!</f>
        <v>#REF!</v>
      </c>
      <c r="L90" s="315" t="e">
        <f>#REF!</f>
        <v>#REF!</v>
      </c>
      <c r="M90" s="315" t="e">
        <f>#REF!</f>
        <v>#REF!</v>
      </c>
      <c r="N90" s="315" t="e">
        <f>#REF!</f>
        <v>#REF!</v>
      </c>
      <c r="O90" s="315" t="e">
        <f>#REF!</f>
        <v>#REF!</v>
      </c>
      <c r="P90" s="315" t="e">
        <f>#REF!</f>
        <v>#REF!</v>
      </c>
      <c r="Q90" s="315" t="e">
        <f>#REF!</f>
        <v>#REF!</v>
      </c>
      <c r="R90" s="315" t="e">
        <f>#REF!</f>
        <v>#REF!</v>
      </c>
      <c r="S90" s="315" t="e">
        <f>#REF!</f>
        <v>#REF!</v>
      </c>
      <c r="T90" s="315" t="e">
        <f>#REF!</f>
        <v>#REF!</v>
      </c>
      <c r="U90" s="315" t="e">
        <f>#REF!</f>
        <v>#REF!</v>
      </c>
      <c r="V90" s="315" t="e">
        <f>#REF!</f>
        <v>#REF!</v>
      </c>
      <c r="W90" s="285"/>
      <c r="X90" s="285"/>
      <c r="Y90" s="285"/>
      <c r="Z90" s="285"/>
      <c r="AA90" s="285"/>
      <c r="AB90" s="285"/>
      <c r="AC90" s="285"/>
      <c r="AD90" s="285"/>
      <c r="AE90" s="285"/>
      <c r="AF90" s="285"/>
      <c r="AG90" s="285"/>
      <c r="AH90" s="285"/>
      <c r="AI90" s="285"/>
      <c r="AJ90" s="285"/>
      <c r="AK90" s="285"/>
      <c r="AL90" s="285"/>
      <c r="AM90" s="285"/>
      <c r="AN90" s="285"/>
      <c r="AO90" s="285"/>
      <c r="AP90" s="285"/>
      <c r="AQ90" s="285"/>
      <c r="AR90" s="285"/>
      <c r="AS90" s="285"/>
      <c r="AT90" s="285"/>
      <c r="AU90" s="285"/>
      <c r="AV90" s="285"/>
      <c r="AW90" s="285"/>
      <c r="AX90" s="285"/>
      <c r="AY90" s="285"/>
      <c r="AZ90" s="285"/>
      <c r="BA90" s="285"/>
      <c r="BB90" s="285"/>
      <c r="BC90" s="285"/>
      <c r="BD90" s="285"/>
      <c r="BE90" s="285"/>
      <c r="BF90" s="285"/>
      <c r="BG90" s="285"/>
      <c r="BH90" s="285"/>
      <c r="BI90" s="285"/>
      <c r="BJ90" s="285"/>
      <c r="BK90" s="285"/>
      <c r="BL90" s="285"/>
      <c r="BM90" s="285"/>
      <c r="BN90" s="285"/>
      <c r="BO90" s="285"/>
      <c r="BP90" s="285"/>
      <c r="BQ90" s="285"/>
      <c r="BR90" s="285"/>
      <c r="BS90" s="285"/>
      <c r="BT90" s="285"/>
      <c r="BU90" s="285"/>
      <c r="BV90" s="285"/>
      <c r="BW90" s="285"/>
      <c r="BX90" s="285"/>
      <c r="BY90" s="285"/>
      <c r="BZ90" s="285"/>
      <c r="CA90" s="285"/>
      <c r="CB90" s="285"/>
      <c r="CC90" s="285"/>
      <c r="CD90" s="285"/>
      <c r="CE90" s="285"/>
      <c r="CF90" s="285"/>
      <c r="CG90" s="285"/>
      <c r="CH90" s="285"/>
      <c r="CI90" s="285"/>
      <c r="CJ90" s="285"/>
      <c r="CK90" s="285"/>
      <c r="CL90" s="285"/>
      <c r="CM90" s="285"/>
      <c r="CN90" s="285"/>
      <c r="CO90" s="285"/>
      <c r="CP90" s="285"/>
      <c r="CQ90" s="285"/>
      <c r="CR90" s="285"/>
    </row>
    <row r="91" spans="1:96" ht="15.6">
      <c r="A91" s="283"/>
      <c r="B91" s="283"/>
      <c r="C91" s="283"/>
      <c r="D91" s="283"/>
      <c r="E91" s="283"/>
      <c r="F91" s="283"/>
      <c r="G91" s="283"/>
      <c r="H91" s="283"/>
      <c r="I91" s="283"/>
      <c r="J91" s="283"/>
      <c r="K91" s="283"/>
      <c r="L91" s="283"/>
      <c r="M91" s="283"/>
      <c r="N91" s="283"/>
      <c r="O91" s="283"/>
      <c r="P91" s="283"/>
      <c r="Q91" s="283"/>
      <c r="R91" s="283"/>
      <c r="S91" s="283"/>
      <c r="T91" s="283"/>
      <c r="U91" s="283"/>
      <c r="V91" s="283"/>
      <c r="W91" s="285"/>
      <c r="X91" s="285"/>
      <c r="Y91" s="285"/>
      <c r="Z91" s="285"/>
      <c r="AA91" s="285"/>
      <c r="AB91" s="285"/>
      <c r="AC91" s="285"/>
      <c r="AD91" s="285"/>
      <c r="AE91" s="285"/>
      <c r="AF91" s="285"/>
      <c r="AG91" s="285"/>
      <c r="AH91" s="285"/>
      <c r="AI91" s="285"/>
      <c r="AJ91" s="285"/>
      <c r="AK91" s="285"/>
      <c r="AL91" s="285"/>
      <c r="AM91" s="285"/>
      <c r="AN91" s="285"/>
      <c r="AO91" s="285"/>
      <c r="AP91" s="285"/>
      <c r="AQ91" s="285"/>
      <c r="AR91" s="285"/>
      <c r="AS91" s="285"/>
      <c r="AT91" s="285"/>
      <c r="AU91" s="285"/>
      <c r="AV91" s="285"/>
      <c r="AW91" s="285"/>
      <c r="AX91" s="285"/>
      <c r="AY91" s="285"/>
      <c r="AZ91" s="285"/>
      <c r="BA91" s="285"/>
      <c r="BB91" s="285"/>
      <c r="BC91" s="285"/>
      <c r="BD91" s="285"/>
      <c r="BE91" s="285"/>
      <c r="BF91" s="285"/>
      <c r="BG91" s="285"/>
      <c r="BH91" s="285"/>
      <c r="BI91" s="285"/>
      <c r="BJ91" s="285"/>
      <c r="BK91" s="285"/>
      <c r="BL91" s="285"/>
      <c r="BM91" s="285"/>
      <c r="BN91" s="285"/>
      <c r="BO91" s="285"/>
      <c r="BP91" s="285"/>
      <c r="BQ91" s="285"/>
      <c r="BR91" s="285"/>
      <c r="BS91" s="285"/>
      <c r="BT91" s="285"/>
      <c r="BU91" s="285"/>
      <c r="BV91" s="285"/>
      <c r="BW91" s="285"/>
      <c r="BX91" s="285"/>
      <c r="BY91" s="285"/>
      <c r="BZ91" s="285"/>
      <c r="CA91" s="285"/>
      <c r="CB91" s="285"/>
      <c r="CC91" s="285"/>
      <c r="CD91" s="285"/>
      <c r="CE91" s="285"/>
      <c r="CF91" s="285"/>
      <c r="CG91" s="285"/>
      <c r="CH91" s="285"/>
      <c r="CI91" s="285"/>
      <c r="CJ91" s="285"/>
      <c r="CK91" s="285"/>
      <c r="CL91" s="285"/>
      <c r="CM91" s="285"/>
      <c r="CN91" s="285"/>
      <c r="CO91" s="285"/>
      <c r="CP91" s="285"/>
      <c r="CQ91" s="285"/>
      <c r="CR91" s="285"/>
    </row>
    <row r="92" spans="1:96" ht="15.6">
      <c r="A92" s="283"/>
      <c r="B92" s="283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5"/>
      <c r="X92" s="285"/>
      <c r="Y92" s="285"/>
      <c r="Z92" s="285"/>
      <c r="AA92" s="285"/>
      <c r="AB92" s="285"/>
      <c r="AC92" s="285"/>
      <c r="AD92" s="285"/>
      <c r="AE92" s="285"/>
      <c r="AF92" s="285"/>
      <c r="AG92" s="285"/>
      <c r="AH92" s="285"/>
      <c r="AI92" s="285"/>
      <c r="AJ92" s="285"/>
      <c r="AK92" s="285"/>
      <c r="AL92" s="285"/>
      <c r="AM92" s="285"/>
      <c r="AN92" s="285"/>
      <c r="AO92" s="285"/>
      <c r="AP92" s="285"/>
      <c r="AQ92" s="285"/>
      <c r="AR92" s="285"/>
      <c r="AS92" s="285"/>
      <c r="AT92" s="285"/>
      <c r="AU92" s="285"/>
      <c r="AV92" s="285"/>
      <c r="AW92" s="285"/>
      <c r="AX92" s="285"/>
      <c r="AY92" s="285"/>
      <c r="AZ92" s="285"/>
      <c r="BA92" s="285"/>
      <c r="BB92" s="285"/>
      <c r="BC92" s="285"/>
      <c r="BD92" s="285"/>
      <c r="BE92" s="285"/>
      <c r="BF92" s="285"/>
      <c r="BG92" s="285"/>
      <c r="BH92" s="285"/>
      <c r="BI92" s="285"/>
      <c r="BJ92" s="285"/>
      <c r="BK92" s="285"/>
      <c r="BL92" s="285"/>
      <c r="BM92" s="285"/>
      <c r="BN92" s="285"/>
      <c r="BO92" s="285"/>
      <c r="BP92" s="285"/>
      <c r="BQ92" s="285"/>
      <c r="BR92" s="285"/>
      <c r="BS92" s="285"/>
      <c r="BT92" s="285"/>
      <c r="BU92" s="285"/>
      <c r="BV92" s="285"/>
      <c r="BW92" s="285"/>
      <c r="BX92" s="285"/>
      <c r="BY92" s="285"/>
      <c r="BZ92" s="285"/>
      <c r="CA92" s="285"/>
      <c r="CB92" s="285"/>
      <c r="CC92" s="285"/>
      <c r="CD92" s="285"/>
      <c r="CE92" s="285"/>
      <c r="CF92" s="285"/>
      <c r="CG92" s="285"/>
      <c r="CH92" s="285"/>
      <c r="CI92" s="285"/>
      <c r="CJ92" s="285"/>
      <c r="CK92" s="285"/>
      <c r="CL92" s="285"/>
      <c r="CM92" s="285"/>
      <c r="CN92" s="285"/>
      <c r="CO92" s="285"/>
      <c r="CP92" s="285"/>
      <c r="CQ92" s="285"/>
      <c r="CR92" s="285"/>
    </row>
    <row r="93" spans="1:96" ht="15.6">
      <c r="A93" s="283"/>
      <c r="B93" s="283"/>
      <c r="C93" s="283"/>
      <c r="D93" s="283"/>
      <c r="E93" s="283"/>
      <c r="F93" s="283"/>
      <c r="G93" s="283"/>
      <c r="H93" s="283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83"/>
      <c r="W93" s="285"/>
      <c r="X93" s="285"/>
      <c r="Y93" s="285"/>
      <c r="Z93" s="285"/>
      <c r="AA93" s="285"/>
      <c r="AB93" s="285"/>
      <c r="AC93" s="285"/>
      <c r="AD93" s="285"/>
      <c r="AE93" s="285"/>
      <c r="AF93" s="285"/>
      <c r="AG93" s="285"/>
      <c r="AH93" s="285"/>
      <c r="AI93" s="285"/>
      <c r="AJ93" s="285"/>
      <c r="AK93" s="285"/>
      <c r="AL93" s="285"/>
      <c r="AM93" s="285"/>
      <c r="AN93" s="285"/>
      <c r="AO93" s="285"/>
      <c r="AP93" s="285"/>
      <c r="AQ93" s="285"/>
      <c r="AR93" s="285"/>
      <c r="AS93" s="285"/>
      <c r="AT93" s="285"/>
      <c r="AU93" s="285"/>
      <c r="AV93" s="285"/>
      <c r="AW93" s="285"/>
      <c r="AX93" s="285"/>
      <c r="AY93" s="285"/>
      <c r="AZ93" s="285"/>
      <c r="BA93" s="285"/>
      <c r="BB93" s="285"/>
      <c r="BC93" s="285"/>
      <c r="BD93" s="285"/>
      <c r="BE93" s="285"/>
      <c r="BF93" s="285"/>
      <c r="BG93" s="285"/>
      <c r="BH93" s="285"/>
      <c r="BI93" s="285"/>
      <c r="BJ93" s="285"/>
      <c r="BK93" s="285"/>
      <c r="BL93" s="285"/>
      <c r="BM93" s="285"/>
      <c r="BN93" s="285"/>
      <c r="BO93" s="285"/>
      <c r="BP93" s="285"/>
      <c r="BQ93" s="285"/>
      <c r="BR93" s="285"/>
      <c r="BS93" s="285"/>
      <c r="BT93" s="285"/>
      <c r="BU93" s="285"/>
      <c r="BV93" s="285"/>
      <c r="BW93" s="285"/>
      <c r="BX93" s="285"/>
      <c r="BY93" s="285"/>
      <c r="BZ93" s="285"/>
      <c r="CA93" s="285"/>
      <c r="CB93" s="285"/>
      <c r="CC93" s="285"/>
      <c r="CD93" s="285"/>
      <c r="CE93" s="285"/>
      <c r="CF93" s="285"/>
      <c r="CG93" s="285"/>
      <c r="CH93" s="285"/>
      <c r="CI93" s="285"/>
      <c r="CJ93" s="285"/>
      <c r="CK93" s="285"/>
      <c r="CL93" s="285"/>
      <c r="CM93" s="285"/>
      <c r="CN93" s="285"/>
      <c r="CO93" s="285"/>
      <c r="CP93" s="285"/>
      <c r="CQ93" s="285"/>
      <c r="CR93" s="285"/>
    </row>
    <row r="94" spans="1:96" ht="15.6">
      <c r="A94" s="283"/>
      <c r="B94" s="283"/>
      <c r="C94" s="283"/>
      <c r="D94" s="283"/>
      <c r="E94" s="283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5"/>
      <c r="X94" s="285"/>
      <c r="Y94" s="285"/>
      <c r="Z94" s="285"/>
      <c r="AA94" s="285"/>
      <c r="AB94" s="285"/>
      <c r="AC94" s="285"/>
      <c r="AD94" s="285"/>
      <c r="AE94" s="285"/>
      <c r="AF94" s="285"/>
      <c r="AG94" s="285"/>
      <c r="AH94" s="285"/>
      <c r="AI94" s="285"/>
      <c r="AJ94" s="285"/>
      <c r="AK94" s="285"/>
      <c r="AL94" s="285"/>
      <c r="AM94" s="285"/>
      <c r="AN94" s="285"/>
      <c r="AO94" s="285"/>
      <c r="AP94" s="285"/>
      <c r="AQ94" s="285"/>
      <c r="AR94" s="285"/>
      <c r="AS94" s="285"/>
      <c r="AT94" s="285"/>
      <c r="AU94" s="285"/>
      <c r="AV94" s="285"/>
      <c r="AW94" s="285"/>
      <c r="AX94" s="285"/>
      <c r="AY94" s="285"/>
      <c r="AZ94" s="285"/>
      <c r="BA94" s="285"/>
      <c r="BB94" s="285"/>
      <c r="BC94" s="285"/>
      <c r="BD94" s="285"/>
      <c r="BE94" s="285"/>
      <c r="BF94" s="285"/>
      <c r="BG94" s="285"/>
      <c r="BH94" s="285"/>
      <c r="BI94" s="285"/>
      <c r="BJ94" s="285"/>
      <c r="BK94" s="285"/>
      <c r="BL94" s="285"/>
      <c r="BM94" s="285"/>
      <c r="BN94" s="285"/>
      <c r="BO94" s="285"/>
      <c r="BP94" s="285"/>
      <c r="BQ94" s="285"/>
      <c r="BR94" s="285"/>
      <c r="BS94" s="285"/>
      <c r="BT94" s="285"/>
      <c r="BU94" s="285"/>
      <c r="BV94" s="285"/>
      <c r="BW94" s="285"/>
      <c r="BX94" s="285"/>
      <c r="BY94" s="285"/>
      <c r="BZ94" s="285"/>
      <c r="CA94" s="285"/>
      <c r="CB94" s="285"/>
      <c r="CC94" s="285"/>
      <c r="CD94" s="285"/>
      <c r="CE94" s="285"/>
      <c r="CF94" s="285"/>
      <c r="CG94" s="285"/>
      <c r="CH94" s="285"/>
      <c r="CI94" s="285"/>
      <c r="CJ94" s="285"/>
      <c r="CK94" s="285"/>
      <c r="CL94" s="285"/>
      <c r="CM94" s="285"/>
      <c r="CN94" s="285"/>
      <c r="CO94" s="285"/>
      <c r="CP94" s="285"/>
      <c r="CQ94" s="285"/>
      <c r="CR94" s="285"/>
    </row>
    <row r="95" spans="1:96" ht="15.6">
      <c r="A95" s="283"/>
      <c r="B95" s="283"/>
      <c r="C95" s="283"/>
      <c r="D95" s="283"/>
      <c r="E95" s="283"/>
      <c r="F95" s="283"/>
      <c r="G95" s="283"/>
      <c r="H95" s="283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5"/>
      <c r="X95" s="285"/>
      <c r="Y95" s="285"/>
      <c r="Z95" s="285"/>
      <c r="AA95" s="285"/>
      <c r="AB95" s="285"/>
      <c r="AC95" s="285"/>
      <c r="AD95" s="285"/>
      <c r="AE95" s="285"/>
      <c r="AF95" s="285"/>
      <c r="AG95" s="285"/>
      <c r="AH95" s="285"/>
      <c r="AI95" s="285"/>
      <c r="AJ95" s="285"/>
      <c r="AK95" s="285"/>
      <c r="AL95" s="285"/>
      <c r="AM95" s="285"/>
      <c r="AN95" s="285"/>
      <c r="AO95" s="285"/>
      <c r="AP95" s="285"/>
      <c r="AQ95" s="285"/>
      <c r="AR95" s="285"/>
      <c r="AS95" s="285"/>
      <c r="AT95" s="285"/>
      <c r="AU95" s="285"/>
      <c r="AV95" s="285"/>
      <c r="AW95" s="285"/>
      <c r="AX95" s="285"/>
      <c r="AY95" s="285"/>
      <c r="AZ95" s="285"/>
      <c r="BA95" s="285"/>
      <c r="BB95" s="285"/>
      <c r="BC95" s="285"/>
      <c r="BD95" s="285"/>
      <c r="BE95" s="285"/>
      <c r="BF95" s="285"/>
      <c r="BG95" s="285"/>
      <c r="BH95" s="285"/>
      <c r="BI95" s="285"/>
      <c r="BJ95" s="285"/>
      <c r="BK95" s="285"/>
      <c r="BL95" s="285"/>
      <c r="BM95" s="285"/>
      <c r="BN95" s="285"/>
      <c r="BO95" s="285"/>
      <c r="BP95" s="285"/>
      <c r="BQ95" s="285"/>
      <c r="BR95" s="285"/>
      <c r="BS95" s="285"/>
      <c r="BT95" s="285"/>
      <c r="BU95" s="285"/>
      <c r="BV95" s="285"/>
      <c r="BW95" s="285"/>
      <c r="BX95" s="285"/>
      <c r="BY95" s="285"/>
      <c r="BZ95" s="285"/>
      <c r="CA95" s="285"/>
      <c r="CB95" s="285"/>
      <c r="CC95" s="285"/>
      <c r="CD95" s="285"/>
      <c r="CE95" s="285"/>
      <c r="CF95" s="285"/>
      <c r="CG95" s="285"/>
      <c r="CH95" s="285"/>
      <c r="CI95" s="285"/>
      <c r="CJ95" s="285"/>
      <c r="CK95" s="285"/>
      <c r="CL95" s="285"/>
      <c r="CM95" s="285"/>
      <c r="CN95" s="285"/>
      <c r="CO95" s="285"/>
      <c r="CP95" s="285"/>
      <c r="CQ95" s="285"/>
      <c r="CR95" s="285"/>
    </row>
    <row r="96" spans="1:96" ht="15.6">
      <c r="A96" s="283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3"/>
      <c r="P96" s="283"/>
      <c r="Q96" s="283"/>
      <c r="R96" s="283"/>
      <c r="S96" s="283"/>
      <c r="T96" s="283"/>
      <c r="U96" s="283"/>
      <c r="V96" s="283"/>
      <c r="W96" s="285"/>
      <c r="X96" s="285"/>
      <c r="Y96" s="285"/>
      <c r="Z96" s="285"/>
      <c r="AA96" s="285"/>
      <c r="AB96" s="285"/>
      <c r="AC96" s="285"/>
      <c r="AD96" s="285"/>
      <c r="AE96" s="285"/>
      <c r="AF96" s="285"/>
      <c r="AG96" s="285"/>
      <c r="AH96" s="285"/>
      <c r="AI96" s="285"/>
      <c r="AJ96" s="285"/>
      <c r="AK96" s="285"/>
      <c r="AL96" s="285"/>
      <c r="AM96" s="285"/>
      <c r="AN96" s="285"/>
      <c r="AO96" s="285"/>
      <c r="AP96" s="285"/>
      <c r="AQ96" s="285"/>
      <c r="AR96" s="285"/>
      <c r="AS96" s="285"/>
      <c r="AT96" s="285"/>
      <c r="AU96" s="285"/>
      <c r="AV96" s="285"/>
      <c r="AW96" s="285"/>
      <c r="AX96" s="285"/>
      <c r="AY96" s="285"/>
      <c r="AZ96" s="285"/>
      <c r="BA96" s="285"/>
      <c r="BB96" s="285"/>
      <c r="BC96" s="285"/>
      <c r="BD96" s="285"/>
      <c r="BE96" s="285"/>
      <c r="BF96" s="285"/>
      <c r="BG96" s="285"/>
      <c r="BH96" s="285"/>
      <c r="BI96" s="285"/>
      <c r="BJ96" s="285"/>
      <c r="BK96" s="285"/>
      <c r="BL96" s="285"/>
      <c r="BM96" s="285"/>
      <c r="BN96" s="285"/>
      <c r="BO96" s="285"/>
      <c r="BP96" s="285"/>
      <c r="BQ96" s="285"/>
      <c r="BR96" s="285"/>
      <c r="BS96" s="285"/>
      <c r="BT96" s="285"/>
      <c r="BU96" s="285"/>
      <c r="BV96" s="285"/>
      <c r="BW96" s="285"/>
      <c r="BX96" s="285"/>
      <c r="BY96" s="285"/>
      <c r="BZ96" s="285"/>
      <c r="CA96" s="285"/>
      <c r="CB96" s="285"/>
      <c r="CC96" s="285"/>
      <c r="CD96" s="285"/>
      <c r="CE96" s="285"/>
      <c r="CF96" s="285"/>
      <c r="CG96" s="285"/>
      <c r="CH96" s="285"/>
      <c r="CI96" s="285"/>
      <c r="CJ96" s="285"/>
      <c r="CK96" s="285"/>
      <c r="CL96" s="285"/>
      <c r="CM96" s="285"/>
      <c r="CN96" s="285"/>
      <c r="CO96" s="285"/>
      <c r="CP96" s="285"/>
      <c r="CQ96" s="285"/>
      <c r="CR96" s="285"/>
    </row>
    <row r="97" spans="1:96" ht="15.6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3"/>
      <c r="P97" s="283"/>
      <c r="Q97" s="283"/>
      <c r="R97" s="283"/>
      <c r="S97" s="283"/>
      <c r="T97" s="283"/>
      <c r="U97" s="283"/>
      <c r="V97" s="283"/>
      <c r="W97" s="285"/>
      <c r="X97" s="285"/>
      <c r="Y97" s="285"/>
      <c r="Z97" s="285"/>
      <c r="AA97" s="285"/>
      <c r="AB97" s="285"/>
      <c r="AC97" s="285"/>
      <c r="AD97" s="285"/>
      <c r="AE97" s="285"/>
      <c r="AF97" s="285"/>
      <c r="AG97" s="285"/>
      <c r="AH97" s="285"/>
      <c r="AI97" s="285"/>
      <c r="AJ97" s="285"/>
      <c r="AK97" s="285"/>
      <c r="AL97" s="285"/>
      <c r="AM97" s="285"/>
      <c r="AN97" s="285"/>
      <c r="AO97" s="285"/>
      <c r="AP97" s="285"/>
      <c r="AQ97" s="285"/>
      <c r="AR97" s="285"/>
      <c r="AS97" s="285"/>
      <c r="AT97" s="285"/>
      <c r="AU97" s="285"/>
      <c r="AV97" s="285"/>
      <c r="AW97" s="285"/>
      <c r="AX97" s="285"/>
      <c r="AY97" s="285"/>
      <c r="AZ97" s="285"/>
      <c r="BA97" s="285"/>
      <c r="BB97" s="285"/>
      <c r="BC97" s="285"/>
      <c r="BD97" s="285"/>
      <c r="BE97" s="285"/>
      <c r="BF97" s="285"/>
      <c r="BG97" s="285"/>
      <c r="BH97" s="285"/>
      <c r="BI97" s="285"/>
      <c r="BJ97" s="285"/>
      <c r="BK97" s="285"/>
      <c r="BL97" s="285"/>
      <c r="BM97" s="285"/>
      <c r="BN97" s="285"/>
      <c r="BO97" s="285"/>
      <c r="BP97" s="285"/>
      <c r="BQ97" s="285"/>
      <c r="BR97" s="285"/>
      <c r="BS97" s="285"/>
      <c r="BT97" s="285"/>
      <c r="BU97" s="285"/>
      <c r="BV97" s="285"/>
      <c r="BW97" s="285"/>
      <c r="BX97" s="285"/>
      <c r="BY97" s="285"/>
      <c r="BZ97" s="285"/>
      <c r="CA97" s="285"/>
      <c r="CB97" s="285"/>
      <c r="CC97" s="285"/>
      <c r="CD97" s="285"/>
      <c r="CE97" s="285"/>
      <c r="CF97" s="285"/>
      <c r="CG97" s="285"/>
      <c r="CH97" s="285"/>
      <c r="CI97" s="285"/>
      <c r="CJ97" s="285"/>
      <c r="CK97" s="285"/>
      <c r="CL97" s="285"/>
      <c r="CM97" s="285"/>
      <c r="CN97" s="285"/>
      <c r="CO97" s="285"/>
      <c r="CP97" s="285"/>
      <c r="CQ97" s="285"/>
      <c r="CR97" s="285"/>
    </row>
    <row r="98" spans="1:96" ht="15.6">
      <c r="A98" s="283"/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5"/>
      <c r="X98" s="285"/>
      <c r="Y98" s="285"/>
      <c r="Z98" s="285"/>
      <c r="AA98" s="285"/>
      <c r="AB98" s="285"/>
      <c r="AC98" s="285"/>
      <c r="AD98" s="285"/>
      <c r="AE98" s="285"/>
      <c r="AF98" s="285"/>
      <c r="AG98" s="285"/>
      <c r="AH98" s="285"/>
      <c r="AI98" s="285"/>
      <c r="AJ98" s="285"/>
      <c r="AK98" s="285"/>
      <c r="AL98" s="285"/>
      <c r="AM98" s="285"/>
      <c r="AN98" s="285"/>
      <c r="AO98" s="285"/>
      <c r="AP98" s="285"/>
      <c r="AQ98" s="285"/>
      <c r="AR98" s="285"/>
      <c r="AS98" s="285"/>
      <c r="AT98" s="285"/>
      <c r="AU98" s="285"/>
      <c r="AV98" s="285"/>
      <c r="AW98" s="285"/>
      <c r="AX98" s="285"/>
      <c r="AY98" s="285"/>
      <c r="AZ98" s="285"/>
      <c r="BA98" s="285"/>
      <c r="BB98" s="285"/>
      <c r="BC98" s="285"/>
      <c r="BD98" s="285"/>
      <c r="BE98" s="285"/>
      <c r="BF98" s="285"/>
      <c r="BG98" s="285"/>
      <c r="BH98" s="285"/>
      <c r="BI98" s="285"/>
      <c r="BJ98" s="285"/>
      <c r="BK98" s="285"/>
      <c r="BL98" s="285"/>
      <c r="BM98" s="285"/>
      <c r="BN98" s="285"/>
      <c r="BO98" s="285"/>
      <c r="BP98" s="285"/>
      <c r="BQ98" s="285"/>
      <c r="BR98" s="285"/>
      <c r="BS98" s="285"/>
      <c r="BT98" s="285"/>
      <c r="BU98" s="285"/>
      <c r="BV98" s="285"/>
      <c r="BW98" s="285"/>
      <c r="BX98" s="285"/>
      <c r="BY98" s="285"/>
      <c r="BZ98" s="285"/>
      <c r="CA98" s="285"/>
      <c r="CB98" s="285"/>
      <c r="CC98" s="285"/>
      <c r="CD98" s="285"/>
      <c r="CE98" s="285"/>
      <c r="CF98" s="285"/>
      <c r="CG98" s="285"/>
      <c r="CH98" s="285"/>
      <c r="CI98" s="285"/>
      <c r="CJ98" s="285"/>
      <c r="CK98" s="285"/>
      <c r="CL98" s="285"/>
      <c r="CM98" s="285"/>
      <c r="CN98" s="285"/>
      <c r="CO98" s="285"/>
      <c r="CP98" s="285"/>
      <c r="CQ98" s="285"/>
      <c r="CR98" s="285"/>
    </row>
    <row r="99" spans="1:96" ht="15.6">
      <c r="A99" s="283"/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5"/>
      <c r="X99" s="285"/>
      <c r="Y99" s="285"/>
      <c r="Z99" s="285"/>
      <c r="AA99" s="285"/>
      <c r="AB99" s="285"/>
      <c r="AC99" s="285"/>
      <c r="AD99" s="285"/>
      <c r="AE99" s="285"/>
      <c r="AF99" s="285"/>
      <c r="AG99" s="285"/>
      <c r="AH99" s="285"/>
      <c r="AI99" s="285"/>
      <c r="AJ99" s="285"/>
      <c r="AK99" s="285"/>
      <c r="AL99" s="285"/>
      <c r="AM99" s="285"/>
      <c r="AN99" s="285"/>
      <c r="AO99" s="285"/>
      <c r="AP99" s="285"/>
      <c r="AQ99" s="285"/>
      <c r="AR99" s="285"/>
      <c r="AS99" s="285"/>
      <c r="AT99" s="285"/>
      <c r="AU99" s="285"/>
      <c r="AV99" s="285"/>
      <c r="AW99" s="285"/>
      <c r="AX99" s="285"/>
      <c r="AY99" s="285"/>
      <c r="AZ99" s="285"/>
      <c r="BA99" s="285"/>
      <c r="BB99" s="285"/>
      <c r="BC99" s="285"/>
      <c r="BD99" s="285"/>
      <c r="BE99" s="285"/>
      <c r="BF99" s="285"/>
      <c r="BG99" s="285"/>
      <c r="BH99" s="285"/>
      <c r="BI99" s="285"/>
      <c r="BJ99" s="285"/>
      <c r="BK99" s="285"/>
      <c r="BL99" s="285"/>
      <c r="BM99" s="285"/>
      <c r="BN99" s="285"/>
      <c r="BO99" s="285"/>
      <c r="BP99" s="285"/>
      <c r="BQ99" s="285"/>
      <c r="BR99" s="285"/>
      <c r="BS99" s="285"/>
      <c r="BT99" s="285"/>
      <c r="BU99" s="285"/>
      <c r="BV99" s="285"/>
      <c r="BW99" s="285"/>
      <c r="BX99" s="285"/>
      <c r="BY99" s="285"/>
      <c r="BZ99" s="285"/>
      <c r="CA99" s="285"/>
      <c r="CB99" s="285"/>
      <c r="CC99" s="285"/>
      <c r="CD99" s="285"/>
      <c r="CE99" s="285"/>
      <c r="CF99" s="285"/>
      <c r="CG99" s="285"/>
      <c r="CH99" s="285"/>
      <c r="CI99" s="285"/>
      <c r="CJ99" s="285"/>
      <c r="CK99" s="285"/>
      <c r="CL99" s="285"/>
      <c r="CM99" s="285"/>
      <c r="CN99" s="285"/>
      <c r="CO99" s="285"/>
      <c r="CP99" s="285"/>
      <c r="CQ99" s="285"/>
      <c r="CR99" s="285"/>
    </row>
    <row r="100" spans="1:96" ht="15.6">
      <c r="A100" s="283"/>
      <c r="B100" s="283"/>
      <c r="C100" s="283"/>
      <c r="D100" s="283"/>
      <c r="E100" s="283"/>
      <c r="F100" s="283"/>
      <c r="G100" s="283"/>
      <c r="H100" s="283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83"/>
      <c r="W100" s="285"/>
      <c r="X100" s="285"/>
      <c r="Y100" s="285"/>
      <c r="Z100" s="285"/>
      <c r="AA100" s="285"/>
      <c r="AB100" s="285"/>
      <c r="AC100" s="285"/>
      <c r="AD100" s="285"/>
      <c r="AE100" s="285"/>
      <c r="AF100" s="285"/>
      <c r="AG100" s="285"/>
      <c r="AH100" s="285"/>
      <c r="AI100" s="285"/>
      <c r="AJ100" s="285"/>
      <c r="AK100" s="285"/>
      <c r="AL100" s="285"/>
      <c r="AM100" s="285"/>
      <c r="AN100" s="285"/>
      <c r="AO100" s="285"/>
      <c r="AP100" s="285"/>
      <c r="AQ100" s="285"/>
      <c r="AR100" s="285"/>
      <c r="AS100" s="285"/>
      <c r="AT100" s="285"/>
      <c r="AU100" s="285"/>
      <c r="AV100" s="285"/>
      <c r="AW100" s="285"/>
      <c r="AX100" s="285"/>
      <c r="AY100" s="285"/>
      <c r="AZ100" s="285"/>
      <c r="BA100" s="285"/>
      <c r="BB100" s="285"/>
      <c r="BC100" s="285"/>
      <c r="BD100" s="285"/>
      <c r="BE100" s="285"/>
      <c r="BF100" s="285"/>
      <c r="BG100" s="285"/>
      <c r="BH100" s="285"/>
      <c r="BI100" s="285"/>
      <c r="BJ100" s="285"/>
      <c r="BK100" s="285"/>
      <c r="BL100" s="285"/>
      <c r="BM100" s="285"/>
      <c r="BN100" s="285"/>
      <c r="BO100" s="285"/>
      <c r="BP100" s="285"/>
      <c r="BQ100" s="285"/>
      <c r="BR100" s="285"/>
      <c r="BS100" s="285"/>
      <c r="BT100" s="285"/>
      <c r="BU100" s="285"/>
      <c r="BV100" s="285"/>
      <c r="BW100" s="285"/>
      <c r="BX100" s="285"/>
      <c r="BY100" s="285"/>
      <c r="BZ100" s="285"/>
      <c r="CA100" s="285"/>
      <c r="CB100" s="285"/>
      <c r="CC100" s="285"/>
      <c r="CD100" s="285"/>
      <c r="CE100" s="285"/>
      <c r="CF100" s="285"/>
      <c r="CG100" s="285"/>
      <c r="CH100" s="285"/>
      <c r="CI100" s="285"/>
      <c r="CJ100" s="285"/>
      <c r="CK100" s="285"/>
      <c r="CL100" s="285"/>
      <c r="CM100" s="285"/>
      <c r="CN100" s="285"/>
      <c r="CO100" s="285"/>
      <c r="CP100" s="285"/>
      <c r="CQ100" s="285"/>
      <c r="CR100" s="285"/>
    </row>
    <row r="101" spans="1:96" ht="15.6">
      <c r="A101" s="285"/>
      <c r="B101" s="285"/>
      <c r="C101" s="285"/>
      <c r="D101" s="285"/>
      <c r="E101" s="285"/>
      <c r="F101" s="285"/>
      <c r="G101" s="285"/>
      <c r="H101" s="285"/>
      <c r="I101" s="285"/>
      <c r="J101" s="285"/>
      <c r="K101" s="285"/>
      <c r="L101" s="285"/>
      <c r="M101" s="285"/>
      <c r="N101" s="285"/>
      <c r="O101" s="285"/>
      <c r="P101" s="285"/>
      <c r="Q101" s="285"/>
      <c r="R101" s="285"/>
      <c r="S101" s="285"/>
      <c r="T101" s="285"/>
      <c r="U101" s="285"/>
      <c r="V101" s="285"/>
      <c r="W101" s="285"/>
      <c r="X101" s="285"/>
      <c r="Y101" s="285"/>
      <c r="Z101" s="285"/>
      <c r="AA101" s="285"/>
      <c r="AB101" s="285"/>
      <c r="AC101" s="285"/>
      <c r="AD101" s="285"/>
      <c r="AE101" s="285"/>
      <c r="AF101" s="285"/>
      <c r="AG101" s="285"/>
      <c r="AH101" s="285"/>
      <c r="AI101" s="285"/>
      <c r="AJ101" s="285"/>
      <c r="AK101" s="285"/>
      <c r="AL101" s="285"/>
      <c r="AM101" s="285"/>
      <c r="AN101" s="285"/>
      <c r="AO101" s="285"/>
      <c r="AP101" s="285"/>
      <c r="AQ101" s="285"/>
      <c r="AR101" s="285"/>
      <c r="AS101" s="285"/>
      <c r="AT101" s="285"/>
      <c r="AU101" s="285"/>
      <c r="AV101" s="285"/>
      <c r="AW101" s="285"/>
      <c r="AX101" s="285"/>
      <c r="AY101" s="285"/>
      <c r="AZ101" s="285"/>
      <c r="BA101" s="285"/>
      <c r="BB101" s="285"/>
      <c r="BC101" s="285"/>
      <c r="BD101" s="285"/>
      <c r="BE101" s="285"/>
      <c r="BF101" s="285"/>
      <c r="BG101" s="285"/>
      <c r="BH101" s="285"/>
      <c r="BI101" s="285"/>
      <c r="BJ101" s="285"/>
      <c r="BK101" s="285"/>
      <c r="BL101" s="285"/>
      <c r="BM101" s="285"/>
      <c r="BN101" s="285"/>
      <c r="BO101" s="285"/>
      <c r="BP101" s="285"/>
      <c r="BQ101" s="285"/>
      <c r="BR101" s="285"/>
      <c r="BS101" s="285"/>
      <c r="BT101" s="285"/>
      <c r="BU101" s="285"/>
      <c r="BV101" s="285"/>
      <c r="BW101" s="285"/>
      <c r="BX101" s="285"/>
      <c r="BY101" s="285"/>
      <c r="BZ101" s="285"/>
      <c r="CA101" s="285"/>
      <c r="CB101" s="285"/>
      <c r="CC101" s="285"/>
      <c r="CD101" s="285"/>
      <c r="CE101" s="285"/>
      <c r="CF101" s="285"/>
      <c r="CG101" s="285"/>
      <c r="CH101" s="285"/>
      <c r="CI101" s="285"/>
      <c r="CJ101" s="285"/>
      <c r="CK101" s="285"/>
      <c r="CL101" s="285"/>
      <c r="CM101" s="285"/>
      <c r="CN101" s="285"/>
      <c r="CO101" s="285"/>
      <c r="CP101" s="285"/>
      <c r="CQ101" s="285"/>
      <c r="CR101" s="285"/>
    </row>
    <row r="102" spans="1:96" ht="15.6">
      <c r="A102" s="285"/>
      <c r="B102" s="285"/>
      <c r="C102" s="285"/>
      <c r="D102" s="285"/>
      <c r="E102" s="285"/>
      <c r="F102" s="285"/>
      <c r="G102" s="285"/>
      <c r="H102" s="285"/>
      <c r="I102" s="285"/>
      <c r="J102" s="285"/>
      <c r="K102" s="285"/>
      <c r="L102" s="285"/>
      <c r="M102" s="285"/>
      <c r="N102" s="285"/>
      <c r="O102" s="285"/>
      <c r="P102" s="285"/>
      <c r="Q102" s="285"/>
      <c r="R102" s="285"/>
      <c r="S102" s="285"/>
      <c r="T102" s="285"/>
      <c r="U102" s="285"/>
      <c r="V102" s="285"/>
      <c r="W102" s="285"/>
      <c r="X102" s="285"/>
      <c r="Y102" s="285"/>
      <c r="Z102" s="285"/>
      <c r="AA102" s="285"/>
      <c r="AB102" s="285"/>
      <c r="AC102" s="285"/>
      <c r="AD102" s="285"/>
      <c r="AE102" s="285"/>
      <c r="AF102" s="285"/>
      <c r="AG102" s="285"/>
      <c r="AH102" s="285"/>
      <c r="AI102" s="285"/>
      <c r="AJ102" s="285"/>
      <c r="AK102" s="285"/>
      <c r="AL102" s="285"/>
      <c r="AM102" s="285"/>
      <c r="AN102" s="285"/>
      <c r="AO102" s="285"/>
      <c r="AP102" s="285"/>
      <c r="AQ102" s="285"/>
      <c r="AR102" s="285"/>
      <c r="AS102" s="285"/>
      <c r="AT102" s="285"/>
      <c r="AU102" s="285"/>
      <c r="AV102" s="285"/>
      <c r="AW102" s="285"/>
      <c r="AX102" s="285"/>
      <c r="AY102" s="285"/>
      <c r="AZ102" s="285"/>
      <c r="BA102" s="285"/>
      <c r="BB102" s="285"/>
      <c r="BC102" s="285"/>
      <c r="BD102" s="285"/>
      <c r="BE102" s="285"/>
      <c r="BF102" s="285"/>
      <c r="BG102" s="285"/>
      <c r="BH102" s="285"/>
      <c r="BI102" s="285"/>
      <c r="BJ102" s="285"/>
      <c r="BK102" s="285"/>
      <c r="BL102" s="285"/>
      <c r="BM102" s="285"/>
      <c r="BN102" s="285"/>
      <c r="BO102" s="285"/>
      <c r="BP102" s="285"/>
      <c r="BQ102" s="285"/>
      <c r="BR102" s="285"/>
      <c r="BS102" s="285"/>
      <c r="BT102" s="285"/>
      <c r="BU102" s="285"/>
      <c r="BV102" s="285"/>
      <c r="BW102" s="285"/>
      <c r="BX102" s="285"/>
      <c r="BY102" s="285"/>
      <c r="BZ102" s="285"/>
      <c r="CA102" s="285"/>
      <c r="CB102" s="285"/>
      <c r="CC102" s="285"/>
      <c r="CD102" s="285"/>
      <c r="CE102" s="285"/>
      <c r="CF102" s="285"/>
      <c r="CG102" s="285"/>
      <c r="CH102" s="285"/>
      <c r="CI102" s="285"/>
      <c r="CJ102" s="285"/>
      <c r="CK102" s="285"/>
      <c r="CL102" s="285"/>
      <c r="CM102" s="285"/>
      <c r="CN102" s="285"/>
      <c r="CO102" s="285"/>
      <c r="CP102" s="285"/>
      <c r="CQ102" s="285"/>
      <c r="CR102" s="285"/>
    </row>
    <row r="103" spans="1:96" ht="15.6">
      <c r="A103" s="285"/>
      <c r="B103" s="285"/>
      <c r="C103" s="285"/>
      <c r="D103" s="285"/>
      <c r="E103" s="285"/>
      <c r="F103" s="285"/>
      <c r="G103" s="285"/>
      <c r="H103" s="285"/>
      <c r="I103" s="285"/>
      <c r="J103" s="285"/>
      <c r="K103" s="285"/>
      <c r="L103" s="285"/>
      <c r="M103" s="285"/>
      <c r="N103" s="285"/>
      <c r="O103" s="285"/>
      <c r="P103" s="285"/>
      <c r="Q103" s="285"/>
      <c r="R103" s="285"/>
      <c r="S103" s="285"/>
      <c r="T103" s="285"/>
      <c r="U103" s="285"/>
      <c r="V103" s="285"/>
      <c r="W103" s="285"/>
      <c r="X103" s="285"/>
      <c r="Y103" s="285"/>
      <c r="Z103" s="285"/>
      <c r="AA103" s="285"/>
      <c r="AB103" s="285"/>
      <c r="AC103" s="285"/>
      <c r="AD103" s="285"/>
      <c r="AE103" s="285"/>
      <c r="AF103" s="285"/>
      <c r="AG103" s="285"/>
      <c r="AH103" s="285"/>
      <c r="AI103" s="285"/>
      <c r="AJ103" s="285"/>
      <c r="AK103" s="285"/>
      <c r="AL103" s="285"/>
      <c r="AM103" s="285"/>
      <c r="AN103" s="285"/>
      <c r="AO103" s="285"/>
      <c r="AP103" s="285"/>
      <c r="AQ103" s="285"/>
      <c r="AR103" s="285"/>
      <c r="AS103" s="285"/>
      <c r="AT103" s="285"/>
      <c r="AU103" s="285"/>
      <c r="AV103" s="285"/>
      <c r="AW103" s="285"/>
      <c r="AX103" s="285"/>
      <c r="AY103" s="285"/>
      <c r="AZ103" s="285"/>
      <c r="BA103" s="285"/>
      <c r="BB103" s="285"/>
      <c r="BC103" s="285"/>
      <c r="BD103" s="285"/>
      <c r="BE103" s="285"/>
      <c r="BF103" s="285"/>
      <c r="BG103" s="285"/>
      <c r="BH103" s="285"/>
      <c r="BI103" s="285"/>
      <c r="BJ103" s="285"/>
      <c r="BK103" s="285"/>
      <c r="BL103" s="285"/>
      <c r="BM103" s="285"/>
      <c r="BN103" s="285"/>
      <c r="BO103" s="285"/>
      <c r="BP103" s="285"/>
      <c r="BQ103" s="285"/>
      <c r="BR103" s="285"/>
      <c r="BS103" s="285"/>
      <c r="BT103" s="285"/>
      <c r="BU103" s="285"/>
      <c r="BV103" s="285"/>
      <c r="BW103" s="285"/>
      <c r="BX103" s="285"/>
      <c r="BY103" s="285"/>
      <c r="BZ103" s="285"/>
      <c r="CA103" s="285"/>
      <c r="CB103" s="285"/>
      <c r="CC103" s="285"/>
      <c r="CD103" s="285"/>
      <c r="CE103" s="285"/>
      <c r="CF103" s="285"/>
      <c r="CG103" s="285"/>
      <c r="CH103" s="285"/>
      <c r="CI103" s="285"/>
      <c r="CJ103" s="285"/>
      <c r="CK103" s="285"/>
      <c r="CL103" s="285"/>
      <c r="CM103" s="285"/>
      <c r="CN103" s="285"/>
      <c r="CO103" s="285"/>
      <c r="CP103" s="285"/>
      <c r="CQ103" s="285"/>
      <c r="CR103" s="285"/>
    </row>
    <row r="104" spans="1:96" ht="15.6">
      <c r="A104" s="285"/>
      <c r="B104" s="285"/>
      <c r="C104" s="285"/>
      <c r="D104" s="285"/>
      <c r="E104" s="285"/>
      <c r="F104" s="285"/>
      <c r="G104" s="285"/>
      <c r="H104" s="285"/>
      <c r="I104" s="285"/>
      <c r="J104" s="285"/>
      <c r="K104" s="285"/>
      <c r="L104" s="285"/>
      <c r="M104" s="285"/>
      <c r="N104" s="285"/>
      <c r="O104" s="285"/>
      <c r="P104" s="285"/>
      <c r="Q104" s="285"/>
      <c r="R104" s="285"/>
      <c r="S104" s="285"/>
      <c r="T104" s="285"/>
      <c r="U104" s="285"/>
      <c r="V104" s="285"/>
      <c r="W104" s="285"/>
      <c r="X104" s="285"/>
      <c r="Y104" s="285"/>
      <c r="Z104" s="285"/>
      <c r="AA104" s="285"/>
      <c r="AB104" s="285"/>
      <c r="AC104" s="285"/>
      <c r="AD104" s="285"/>
      <c r="AE104" s="285"/>
      <c r="AF104" s="285"/>
      <c r="AG104" s="285"/>
      <c r="AH104" s="285"/>
      <c r="AI104" s="285"/>
      <c r="AJ104" s="285"/>
      <c r="AK104" s="285"/>
      <c r="AL104" s="285"/>
      <c r="AM104" s="285"/>
      <c r="AN104" s="285"/>
      <c r="AO104" s="285"/>
      <c r="AP104" s="285"/>
      <c r="AQ104" s="285"/>
      <c r="AR104" s="285"/>
      <c r="AS104" s="285"/>
      <c r="AT104" s="285"/>
      <c r="AU104" s="285"/>
      <c r="AV104" s="285"/>
      <c r="AW104" s="285"/>
      <c r="AX104" s="285"/>
      <c r="AY104" s="285"/>
      <c r="AZ104" s="285"/>
      <c r="BA104" s="285"/>
      <c r="BB104" s="285"/>
      <c r="BC104" s="285"/>
      <c r="BD104" s="285"/>
      <c r="BE104" s="285"/>
      <c r="BF104" s="285"/>
      <c r="BG104" s="285"/>
      <c r="BH104" s="285"/>
      <c r="BI104" s="285"/>
      <c r="BJ104" s="285"/>
      <c r="BK104" s="285"/>
      <c r="BL104" s="285"/>
      <c r="BM104" s="285"/>
      <c r="BN104" s="285"/>
      <c r="BO104" s="285"/>
      <c r="BP104" s="285"/>
      <c r="BQ104" s="285"/>
      <c r="BR104" s="285"/>
      <c r="BS104" s="285"/>
      <c r="BT104" s="285"/>
      <c r="BU104" s="285"/>
      <c r="BV104" s="285"/>
      <c r="BW104" s="285"/>
      <c r="BX104" s="285"/>
      <c r="BY104" s="285"/>
      <c r="BZ104" s="285"/>
      <c r="CA104" s="285"/>
      <c r="CB104" s="285"/>
      <c r="CC104" s="285"/>
      <c r="CD104" s="285"/>
      <c r="CE104" s="285"/>
      <c r="CF104" s="285"/>
      <c r="CG104" s="285"/>
      <c r="CH104" s="285"/>
      <c r="CI104" s="285"/>
      <c r="CJ104" s="285"/>
      <c r="CK104" s="285"/>
      <c r="CL104" s="285"/>
      <c r="CM104" s="285"/>
      <c r="CN104" s="285"/>
      <c r="CO104" s="285"/>
      <c r="CP104" s="285"/>
      <c r="CQ104" s="285"/>
      <c r="CR104" s="285"/>
    </row>
    <row r="105" spans="1:96" ht="15.6">
      <c r="A105" s="285"/>
      <c r="B105" s="285"/>
      <c r="C105" s="285"/>
      <c r="D105" s="285"/>
      <c r="E105" s="285"/>
      <c r="F105" s="285"/>
      <c r="G105" s="285"/>
      <c r="H105" s="285"/>
      <c r="I105" s="285"/>
      <c r="J105" s="285"/>
      <c r="K105" s="285"/>
      <c r="L105" s="285"/>
      <c r="M105" s="285"/>
      <c r="N105" s="285"/>
      <c r="O105" s="285"/>
      <c r="P105" s="285"/>
      <c r="Q105" s="285"/>
      <c r="R105" s="285"/>
      <c r="S105" s="285"/>
      <c r="T105" s="285"/>
      <c r="U105" s="285"/>
      <c r="V105" s="285"/>
      <c r="W105" s="285"/>
      <c r="X105" s="285"/>
      <c r="Y105" s="285"/>
      <c r="Z105" s="285"/>
      <c r="AA105" s="285"/>
      <c r="AB105" s="285"/>
      <c r="AC105" s="285"/>
      <c r="AD105" s="285"/>
      <c r="AE105" s="285"/>
      <c r="AF105" s="285"/>
      <c r="AG105" s="285"/>
      <c r="AH105" s="285"/>
      <c r="AI105" s="285"/>
      <c r="AJ105" s="285"/>
      <c r="AK105" s="285"/>
      <c r="AL105" s="285"/>
      <c r="AM105" s="285"/>
      <c r="AN105" s="285"/>
      <c r="AO105" s="285"/>
      <c r="AP105" s="285"/>
      <c r="AQ105" s="285"/>
      <c r="AR105" s="285"/>
      <c r="AS105" s="285"/>
      <c r="AT105" s="285"/>
      <c r="AU105" s="285"/>
      <c r="AV105" s="285"/>
      <c r="AW105" s="285"/>
      <c r="AX105" s="285"/>
      <c r="AY105" s="285"/>
      <c r="AZ105" s="285"/>
      <c r="BA105" s="285"/>
      <c r="BB105" s="285"/>
      <c r="BC105" s="285"/>
      <c r="BD105" s="285"/>
      <c r="BE105" s="285"/>
      <c r="BF105" s="285"/>
      <c r="BG105" s="285"/>
      <c r="BH105" s="285"/>
      <c r="BI105" s="285"/>
      <c r="BJ105" s="285"/>
      <c r="BK105" s="285"/>
      <c r="BL105" s="285"/>
      <c r="BM105" s="285"/>
      <c r="BN105" s="285"/>
      <c r="BO105" s="285"/>
      <c r="BP105" s="285"/>
      <c r="BQ105" s="285"/>
      <c r="BR105" s="285"/>
      <c r="BS105" s="285"/>
      <c r="BT105" s="285"/>
      <c r="BU105" s="285"/>
      <c r="BV105" s="285"/>
      <c r="BW105" s="285"/>
      <c r="BX105" s="285"/>
      <c r="BY105" s="285"/>
      <c r="BZ105" s="285"/>
      <c r="CA105" s="285"/>
      <c r="CB105" s="285"/>
      <c r="CC105" s="285"/>
      <c r="CD105" s="285"/>
      <c r="CE105" s="285"/>
      <c r="CF105" s="285"/>
      <c r="CG105" s="285"/>
      <c r="CH105" s="285"/>
      <c r="CI105" s="285"/>
      <c r="CJ105" s="285"/>
      <c r="CK105" s="285"/>
      <c r="CL105" s="285"/>
      <c r="CM105" s="285"/>
      <c r="CN105" s="285"/>
      <c r="CO105" s="285"/>
      <c r="CP105" s="285"/>
      <c r="CQ105" s="285"/>
      <c r="CR105" s="285"/>
    </row>
    <row r="106" spans="1:96" ht="15.6">
      <c r="A106" s="285"/>
      <c r="B106" s="285"/>
      <c r="C106" s="285"/>
      <c r="D106" s="285"/>
      <c r="E106" s="285"/>
      <c r="F106" s="285"/>
      <c r="G106" s="285"/>
      <c r="H106" s="285"/>
      <c r="I106" s="285"/>
      <c r="J106" s="285"/>
      <c r="K106" s="285"/>
      <c r="L106" s="285"/>
      <c r="M106" s="285"/>
      <c r="N106" s="285"/>
      <c r="O106" s="285"/>
      <c r="P106" s="285"/>
      <c r="Q106" s="285"/>
      <c r="R106" s="285"/>
      <c r="S106" s="285"/>
      <c r="T106" s="285"/>
      <c r="U106" s="285"/>
      <c r="V106" s="285"/>
      <c r="W106" s="285"/>
      <c r="X106" s="285"/>
      <c r="Y106" s="285"/>
      <c r="Z106" s="285"/>
      <c r="AA106" s="285"/>
      <c r="AB106" s="285"/>
      <c r="AC106" s="285"/>
      <c r="AD106" s="285"/>
      <c r="AE106" s="285"/>
      <c r="AF106" s="285"/>
      <c r="AG106" s="285"/>
      <c r="AH106" s="285"/>
      <c r="AI106" s="285"/>
      <c r="AJ106" s="285"/>
      <c r="AK106" s="285"/>
      <c r="AL106" s="285"/>
      <c r="AM106" s="285"/>
      <c r="AN106" s="285"/>
      <c r="AO106" s="285"/>
      <c r="AP106" s="285"/>
      <c r="AQ106" s="285"/>
      <c r="AR106" s="285"/>
      <c r="AS106" s="285"/>
      <c r="AT106" s="285"/>
      <c r="AU106" s="285"/>
      <c r="AV106" s="285"/>
      <c r="AW106" s="285"/>
      <c r="AX106" s="285"/>
      <c r="AY106" s="285"/>
      <c r="AZ106" s="285"/>
      <c r="BA106" s="285"/>
      <c r="BB106" s="285"/>
      <c r="BC106" s="285"/>
      <c r="BD106" s="285"/>
      <c r="BE106" s="285"/>
      <c r="BF106" s="285"/>
      <c r="BG106" s="285"/>
      <c r="BH106" s="285"/>
      <c r="BI106" s="285"/>
      <c r="BJ106" s="285"/>
      <c r="BK106" s="285"/>
      <c r="BL106" s="285"/>
      <c r="BM106" s="285"/>
      <c r="BN106" s="285"/>
      <c r="BO106" s="285"/>
      <c r="BP106" s="285"/>
      <c r="BQ106" s="285"/>
      <c r="BR106" s="285"/>
      <c r="BS106" s="285"/>
      <c r="BT106" s="285"/>
      <c r="BU106" s="285"/>
      <c r="BV106" s="285"/>
      <c r="BW106" s="285"/>
      <c r="BX106" s="285"/>
      <c r="BY106" s="285"/>
      <c r="BZ106" s="285"/>
      <c r="CA106" s="285"/>
      <c r="CB106" s="285"/>
      <c r="CC106" s="285"/>
      <c r="CD106" s="285"/>
      <c r="CE106" s="285"/>
      <c r="CF106" s="285"/>
      <c r="CG106" s="285"/>
      <c r="CH106" s="285"/>
      <c r="CI106" s="285"/>
      <c r="CJ106" s="285"/>
      <c r="CK106" s="285"/>
      <c r="CL106" s="285"/>
      <c r="CM106" s="285"/>
      <c r="CN106" s="285"/>
      <c r="CO106" s="285"/>
      <c r="CP106" s="285"/>
      <c r="CQ106" s="285"/>
      <c r="CR106" s="285"/>
    </row>
    <row r="107" spans="1:96" ht="15.6">
      <c r="A107" s="285"/>
      <c r="B107" s="285"/>
      <c r="C107" s="285"/>
      <c r="D107" s="285"/>
      <c r="E107" s="285"/>
      <c r="F107" s="285"/>
      <c r="G107" s="285"/>
      <c r="H107" s="285"/>
      <c r="I107" s="285"/>
      <c r="J107" s="285"/>
      <c r="K107" s="285"/>
      <c r="L107" s="285"/>
      <c r="M107" s="285"/>
      <c r="N107" s="285"/>
      <c r="O107" s="285"/>
      <c r="P107" s="285"/>
      <c r="Q107" s="285"/>
      <c r="R107" s="285"/>
      <c r="S107" s="285"/>
      <c r="T107" s="285"/>
      <c r="U107" s="285"/>
      <c r="V107" s="285"/>
      <c r="W107" s="285"/>
      <c r="X107" s="285"/>
      <c r="Y107" s="285"/>
      <c r="Z107" s="285"/>
      <c r="AA107" s="285"/>
      <c r="AB107" s="285"/>
      <c r="AC107" s="285"/>
      <c r="AD107" s="285"/>
      <c r="AE107" s="285"/>
      <c r="AF107" s="285"/>
      <c r="AG107" s="285"/>
      <c r="AH107" s="285"/>
      <c r="AI107" s="285"/>
      <c r="AJ107" s="285"/>
      <c r="AK107" s="285"/>
      <c r="AL107" s="285"/>
      <c r="AM107" s="285"/>
      <c r="AN107" s="285"/>
      <c r="AO107" s="285"/>
      <c r="AP107" s="285"/>
      <c r="AQ107" s="285"/>
      <c r="AR107" s="285"/>
      <c r="AS107" s="285"/>
      <c r="AT107" s="285"/>
      <c r="AU107" s="285"/>
      <c r="AV107" s="285"/>
      <c r="AW107" s="285"/>
      <c r="AX107" s="285"/>
      <c r="AY107" s="285"/>
      <c r="AZ107" s="285"/>
      <c r="BA107" s="285"/>
      <c r="BB107" s="285"/>
      <c r="BC107" s="285"/>
      <c r="BD107" s="285"/>
      <c r="BE107" s="285"/>
      <c r="BF107" s="285"/>
      <c r="BG107" s="285"/>
      <c r="BH107" s="285"/>
      <c r="BI107" s="285"/>
      <c r="BJ107" s="285"/>
      <c r="BK107" s="285"/>
      <c r="BL107" s="285"/>
      <c r="BM107" s="285"/>
      <c r="BN107" s="285"/>
      <c r="BO107" s="285"/>
      <c r="BP107" s="285"/>
      <c r="BQ107" s="285"/>
      <c r="BR107" s="285"/>
      <c r="BS107" s="285"/>
      <c r="BT107" s="285"/>
      <c r="BU107" s="285"/>
      <c r="BV107" s="285"/>
      <c r="BW107" s="285"/>
      <c r="BX107" s="285"/>
      <c r="BY107" s="285"/>
      <c r="BZ107" s="285"/>
      <c r="CA107" s="285"/>
      <c r="CB107" s="285"/>
      <c r="CC107" s="285"/>
      <c r="CD107" s="285"/>
      <c r="CE107" s="285"/>
      <c r="CF107" s="285"/>
      <c r="CG107" s="285"/>
      <c r="CH107" s="285"/>
      <c r="CI107" s="285"/>
      <c r="CJ107" s="285"/>
      <c r="CK107" s="285"/>
      <c r="CL107" s="285"/>
      <c r="CM107" s="285"/>
      <c r="CN107" s="285"/>
      <c r="CO107" s="285"/>
      <c r="CP107" s="285"/>
      <c r="CQ107" s="285"/>
      <c r="CR107" s="285"/>
    </row>
    <row r="108" spans="1:96" ht="15.6">
      <c r="A108" s="285"/>
      <c r="B108" s="285"/>
      <c r="C108" s="285"/>
      <c r="D108" s="285"/>
      <c r="E108" s="285"/>
      <c r="F108" s="285"/>
      <c r="G108" s="285"/>
      <c r="H108" s="285"/>
      <c r="I108" s="285"/>
      <c r="J108" s="285"/>
      <c r="K108" s="285"/>
      <c r="L108" s="285"/>
      <c r="M108" s="285"/>
      <c r="N108" s="285"/>
      <c r="O108" s="285"/>
      <c r="P108" s="285"/>
      <c r="Q108" s="285"/>
      <c r="R108" s="285"/>
      <c r="S108" s="285"/>
      <c r="T108" s="285"/>
      <c r="U108" s="285"/>
      <c r="V108" s="285"/>
      <c r="W108" s="285"/>
      <c r="X108" s="285"/>
      <c r="Y108" s="285"/>
      <c r="Z108" s="285"/>
      <c r="AA108" s="285"/>
      <c r="AB108" s="285"/>
      <c r="AC108" s="285"/>
      <c r="AD108" s="285"/>
      <c r="AE108" s="285"/>
      <c r="AF108" s="285"/>
      <c r="AG108" s="285"/>
      <c r="AH108" s="285"/>
      <c r="AI108" s="285"/>
      <c r="AJ108" s="285"/>
      <c r="AK108" s="285"/>
      <c r="AL108" s="285"/>
      <c r="AM108" s="285"/>
      <c r="AN108" s="285"/>
      <c r="AO108" s="285"/>
      <c r="AP108" s="285"/>
      <c r="AQ108" s="285"/>
      <c r="AR108" s="285"/>
      <c r="AS108" s="285"/>
      <c r="AT108" s="285"/>
      <c r="AU108" s="285"/>
      <c r="AV108" s="285"/>
      <c r="AW108" s="285"/>
      <c r="AX108" s="285"/>
      <c r="AY108" s="285"/>
      <c r="AZ108" s="285"/>
      <c r="BA108" s="285"/>
      <c r="BB108" s="285"/>
      <c r="BC108" s="285"/>
      <c r="BD108" s="285"/>
      <c r="BE108" s="285"/>
      <c r="BF108" s="285"/>
      <c r="BG108" s="285"/>
      <c r="BH108" s="285"/>
      <c r="BI108" s="285"/>
      <c r="BJ108" s="285"/>
      <c r="BK108" s="285"/>
      <c r="BL108" s="285"/>
      <c r="BM108" s="285"/>
      <c r="BN108" s="285"/>
      <c r="BO108" s="285"/>
      <c r="BP108" s="285"/>
      <c r="BQ108" s="285"/>
      <c r="BR108" s="285"/>
      <c r="BS108" s="285"/>
      <c r="BT108" s="285"/>
      <c r="BU108" s="285"/>
      <c r="BV108" s="285"/>
      <c r="BW108" s="285"/>
      <c r="BX108" s="285"/>
      <c r="BY108" s="285"/>
      <c r="BZ108" s="285"/>
      <c r="CA108" s="285"/>
      <c r="CB108" s="285"/>
      <c r="CC108" s="285"/>
      <c r="CD108" s="285"/>
      <c r="CE108" s="285"/>
      <c r="CF108" s="285"/>
      <c r="CG108" s="285"/>
      <c r="CH108" s="285"/>
      <c r="CI108" s="285"/>
      <c r="CJ108" s="285"/>
      <c r="CK108" s="285"/>
      <c r="CL108" s="285"/>
      <c r="CM108" s="285"/>
      <c r="CN108" s="285"/>
      <c r="CO108" s="285"/>
      <c r="CP108" s="285"/>
      <c r="CQ108" s="285"/>
      <c r="CR108" s="285"/>
    </row>
    <row r="109" spans="1:96" ht="15.6">
      <c r="A109" s="285"/>
      <c r="B109" s="285"/>
      <c r="C109" s="285"/>
      <c r="D109" s="285"/>
      <c r="E109" s="285"/>
      <c r="F109" s="285"/>
      <c r="G109" s="285"/>
      <c r="H109" s="285"/>
      <c r="I109" s="285"/>
      <c r="J109" s="285"/>
      <c r="K109" s="285"/>
      <c r="L109" s="285"/>
      <c r="M109" s="285"/>
      <c r="N109" s="285"/>
      <c r="O109" s="285"/>
      <c r="P109" s="285"/>
      <c r="Q109" s="285"/>
      <c r="R109" s="285"/>
      <c r="S109" s="285"/>
      <c r="T109" s="285"/>
      <c r="U109" s="285"/>
      <c r="V109" s="285"/>
      <c r="W109" s="285"/>
      <c r="X109" s="285"/>
      <c r="Y109" s="285"/>
      <c r="Z109" s="285"/>
      <c r="AA109" s="285"/>
      <c r="AB109" s="285"/>
      <c r="AC109" s="285"/>
      <c r="AD109" s="285"/>
      <c r="AE109" s="285"/>
      <c r="AF109" s="285"/>
      <c r="AG109" s="285"/>
      <c r="AH109" s="285"/>
      <c r="AI109" s="285"/>
      <c r="AJ109" s="285"/>
      <c r="AK109" s="285"/>
      <c r="AL109" s="285"/>
      <c r="AM109" s="285"/>
      <c r="AN109" s="285"/>
      <c r="AO109" s="285"/>
      <c r="AP109" s="285"/>
      <c r="AQ109" s="285"/>
      <c r="AR109" s="285"/>
      <c r="AS109" s="285"/>
      <c r="AT109" s="285"/>
      <c r="AU109" s="285"/>
      <c r="AV109" s="285"/>
      <c r="AW109" s="285"/>
      <c r="AX109" s="285"/>
      <c r="AY109" s="285"/>
      <c r="AZ109" s="285"/>
      <c r="BA109" s="285"/>
      <c r="BB109" s="285"/>
      <c r="BC109" s="285"/>
      <c r="BD109" s="285"/>
      <c r="BE109" s="285"/>
      <c r="BF109" s="285"/>
      <c r="BG109" s="285"/>
      <c r="BH109" s="285"/>
      <c r="BI109" s="285"/>
      <c r="BJ109" s="285"/>
      <c r="BK109" s="285"/>
      <c r="BL109" s="285"/>
      <c r="BM109" s="285"/>
      <c r="BN109" s="285"/>
      <c r="BO109" s="285"/>
      <c r="BP109" s="285"/>
      <c r="BQ109" s="285"/>
      <c r="BR109" s="285"/>
      <c r="BS109" s="285"/>
      <c r="BT109" s="285"/>
      <c r="BU109" s="285"/>
      <c r="BV109" s="285"/>
      <c r="BW109" s="285"/>
      <c r="BX109" s="285"/>
      <c r="BY109" s="285"/>
      <c r="BZ109" s="285"/>
      <c r="CA109" s="285"/>
      <c r="CB109" s="285"/>
      <c r="CC109" s="285"/>
      <c r="CD109" s="285"/>
      <c r="CE109" s="285"/>
      <c r="CF109" s="285"/>
      <c r="CG109" s="285"/>
      <c r="CH109" s="285"/>
      <c r="CI109" s="285"/>
      <c r="CJ109" s="285"/>
      <c r="CK109" s="285"/>
      <c r="CL109" s="285"/>
      <c r="CM109" s="285"/>
      <c r="CN109" s="285"/>
      <c r="CO109" s="285"/>
      <c r="CP109" s="285"/>
      <c r="CQ109" s="285"/>
      <c r="CR109" s="285"/>
    </row>
    <row r="110" spans="1:96" ht="15.6">
      <c r="A110" s="285"/>
      <c r="B110" s="285"/>
      <c r="C110" s="285"/>
      <c r="D110" s="285"/>
      <c r="E110" s="285"/>
      <c r="F110" s="285"/>
      <c r="G110" s="285"/>
      <c r="H110" s="285"/>
      <c r="I110" s="285"/>
      <c r="J110" s="285"/>
      <c r="K110" s="285"/>
      <c r="L110" s="285"/>
      <c r="M110" s="285"/>
      <c r="N110" s="285"/>
      <c r="O110" s="285"/>
      <c r="P110" s="285"/>
      <c r="Q110" s="285"/>
      <c r="R110" s="285"/>
      <c r="S110" s="285"/>
      <c r="T110" s="285"/>
      <c r="U110" s="285"/>
      <c r="V110" s="285"/>
      <c r="W110" s="285"/>
      <c r="X110" s="285"/>
      <c r="Y110" s="285"/>
      <c r="Z110" s="285"/>
      <c r="AA110" s="285"/>
      <c r="AB110" s="285"/>
      <c r="AC110" s="285"/>
      <c r="AD110" s="285"/>
      <c r="AE110" s="285"/>
      <c r="AF110" s="285"/>
      <c r="AG110" s="285"/>
      <c r="AH110" s="285"/>
      <c r="AI110" s="285"/>
      <c r="AJ110" s="285"/>
      <c r="AK110" s="285"/>
      <c r="AL110" s="285"/>
      <c r="AM110" s="285"/>
      <c r="AN110" s="285"/>
      <c r="AO110" s="285"/>
      <c r="AP110" s="285"/>
      <c r="AQ110" s="285"/>
      <c r="AR110" s="285"/>
      <c r="AS110" s="285"/>
      <c r="AT110" s="285"/>
      <c r="AU110" s="285"/>
      <c r="AV110" s="285"/>
      <c r="AW110" s="285"/>
      <c r="AX110" s="285"/>
      <c r="AY110" s="285"/>
      <c r="AZ110" s="285"/>
      <c r="BA110" s="285"/>
      <c r="BB110" s="285"/>
      <c r="BC110" s="285"/>
      <c r="BD110" s="285"/>
      <c r="BE110" s="285"/>
      <c r="BF110" s="285"/>
      <c r="BG110" s="285"/>
      <c r="BH110" s="285"/>
      <c r="BI110" s="285"/>
      <c r="BJ110" s="285"/>
      <c r="BK110" s="285"/>
      <c r="BL110" s="285"/>
      <c r="BM110" s="285"/>
      <c r="BN110" s="285"/>
      <c r="BO110" s="285"/>
      <c r="BP110" s="285"/>
      <c r="BQ110" s="285"/>
      <c r="BR110" s="285"/>
      <c r="BS110" s="285"/>
      <c r="BT110" s="285"/>
      <c r="BU110" s="285"/>
      <c r="BV110" s="285"/>
      <c r="BW110" s="285"/>
      <c r="BX110" s="285"/>
      <c r="BY110" s="285"/>
      <c r="BZ110" s="285"/>
      <c r="CA110" s="285"/>
      <c r="CB110" s="285"/>
      <c r="CC110" s="285"/>
      <c r="CD110" s="285"/>
      <c r="CE110" s="285"/>
      <c r="CF110" s="285"/>
      <c r="CG110" s="285"/>
      <c r="CH110" s="285"/>
      <c r="CI110" s="285"/>
      <c r="CJ110" s="285"/>
      <c r="CK110" s="285"/>
      <c r="CL110" s="285"/>
      <c r="CM110" s="285"/>
      <c r="CN110" s="285"/>
      <c r="CO110" s="285"/>
      <c r="CP110" s="285"/>
      <c r="CQ110" s="285"/>
      <c r="CR110" s="285"/>
    </row>
    <row r="111" spans="1:96" ht="15.6">
      <c r="A111" s="285"/>
      <c r="B111" s="285"/>
      <c r="C111" s="285"/>
      <c r="D111" s="285"/>
      <c r="E111" s="285"/>
      <c r="F111" s="285"/>
      <c r="G111" s="285"/>
      <c r="H111" s="285"/>
      <c r="I111" s="285"/>
      <c r="J111" s="285"/>
      <c r="K111" s="285"/>
      <c r="L111" s="285"/>
      <c r="M111" s="285"/>
      <c r="N111" s="285"/>
      <c r="O111" s="285"/>
      <c r="P111" s="285"/>
      <c r="Q111" s="285"/>
      <c r="R111" s="285"/>
      <c r="S111" s="285"/>
      <c r="T111" s="285"/>
      <c r="U111" s="285"/>
      <c r="V111" s="285"/>
      <c r="W111" s="285"/>
      <c r="X111" s="285"/>
      <c r="Y111" s="285"/>
      <c r="Z111" s="285"/>
      <c r="AA111" s="285"/>
      <c r="AB111" s="285"/>
      <c r="AC111" s="285"/>
      <c r="AD111" s="285"/>
      <c r="AE111" s="285"/>
      <c r="AF111" s="285"/>
      <c r="AG111" s="285"/>
      <c r="AH111" s="285"/>
      <c r="AI111" s="285"/>
      <c r="AJ111" s="285"/>
      <c r="AK111" s="285"/>
      <c r="AL111" s="285"/>
      <c r="AM111" s="285"/>
      <c r="AN111" s="285"/>
      <c r="AO111" s="285"/>
      <c r="AP111" s="285"/>
      <c r="AQ111" s="285"/>
      <c r="AR111" s="285"/>
      <c r="AS111" s="285"/>
      <c r="AT111" s="285"/>
      <c r="AU111" s="285"/>
      <c r="AV111" s="285"/>
      <c r="AW111" s="285"/>
      <c r="AX111" s="285"/>
      <c r="AY111" s="285"/>
      <c r="AZ111" s="285"/>
      <c r="BA111" s="285"/>
      <c r="BB111" s="285"/>
      <c r="BC111" s="285"/>
      <c r="BD111" s="285"/>
      <c r="BE111" s="285"/>
      <c r="BF111" s="285"/>
      <c r="BG111" s="285"/>
      <c r="BH111" s="285"/>
      <c r="BI111" s="285"/>
      <c r="BJ111" s="285"/>
      <c r="BK111" s="285"/>
      <c r="BL111" s="285"/>
      <c r="BM111" s="285"/>
      <c r="BN111" s="285"/>
      <c r="BO111" s="285"/>
      <c r="BP111" s="285"/>
      <c r="BQ111" s="285"/>
      <c r="BR111" s="285"/>
      <c r="BS111" s="285"/>
      <c r="BT111" s="285"/>
      <c r="BU111" s="285"/>
      <c r="BV111" s="285"/>
      <c r="BW111" s="285"/>
      <c r="BX111" s="285"/>
      <c r="BY111" s="285"/>
      <c r="BZ111" s="285"/>
      <c r="CA111" s="285"/>
      <c r="CB111" s="285"/>
      <c r="CC111" s="285"/>
      <c r="CD111" s="285"/>
      <c r="CE111" s="285"/>
      <c r="CF111" s="285"/>
      <c r="CG111" s="285"/>
      <c r="CH111" s="285"/>
      <c r="CI111" s="285"/>
      <c r="CJ111" s="285"/>
      <c r="CK111" s="285"/>
      <c r="CL111" s="285"/>
      <c r="CM111" s="285"/>
      <c r="CN111" s="285"/>
      <c r="CO111" s="285"/>
      <c r="CP111" s="285"/>
      <c r="CQ111" s="285"/>
      <c r="CR111" s="285"/>
    </row>
    <row r="112" spans="1:96" ht="15.6">
      <c r="A112" s="285"/>
      <c r="B112" s="285"/>
      <c r="C112" s="285"/>
      <c r="D112" s="285"/>
      <c r="E112" s="285"/>
      <c r="F112" s="285"/>
      <c r="G112" s="285"/>
      <c r="H112" s="285"/>
      <c r="I112" s="285"/>
      <c r="J112" s="285"/>
      <c r="K112" s="285"/>
      <c r="L112" s="285"/>
      <c r="M112" s="285"/>
      <c r="N112" s="285"/>
      <c r="O112" s="285"/>
      <c r="P112" s="285"/>
      <c r="Q112" s="285"/>
      <c r="R112" s="285"/>
      <c r="S112" s="285"/>
      <c r="T112" s="285"/>
      <c r="U112" s="285"/>
      <c r="V112" s="285"/>
      <c r="W112" s="285"/>
      <c r="X112" s="285"/>
      <c r="Y112" s="285"/>
      <c r="Z112" s="285"/>
      <c r="AA112" s="285"/>
      <c r="AB112" s="285"/>
      <c r="AC112" s="285"/>
      <c r="AD112" s="285"/>
      <c r="AE112" s="285"/>
      <c r="AF112" s="285"/>
      <c r="AG112" s="285"/>
      <c r="AH112" s="285"/>
      <c r="AI112" s="285"/>
      <c r="AJ112" s="285"/>
      <c r="AK112" s="285"/>
      <c r="AL112" s="285"/>
      <c r="AM112" s="285"/>
      <c r="AN112" s="285"/>
      <c r="AO112" s="285"/>
      <c r="AP112" s="285"/>
      <c r="AQ112" s="285"/>
      <c r="AR112" s="285"/>
      <c r="AS112" s="285"/>
      <c r="AT112" s="285"/>
      <c r="AU112" s="285"/>
      <c r="AV112" s="285"/>
      <c r="AW112" s="285"/>
      <c r="AX112" s="285"/>
      <c r="AY112" s="285"/>
      <c r="AZ112" s="285"/>
      <c r="BA112" s="285"/>
      <c r="BB112" s="285"/>
      <c r="BC112" s="285"/>
      <c r="BD112" s="285"/>
      <c r="BE112" s="285"/>
      <c r="BF112" s="285"/>
      <c r="BG112" s="285"/>
      <c r="BH112" s="285"/>
      <c r="BI112" s="285"/>
      <c r="BJ112" s="285"/>
      <c r="BK112" s="285"/>
      <c r="BL112" s="285"/>
      <c r="BM112" s="285"/>
      <c r="BN112" s="285"/>
      <c r="BO112" s="285"/>
      <c r="BP112" s="285"/>
      <c r="BQ112" s="285"/>
      <c r="BR112" s="285"/>
      <c r="BS112" s="285"/>
      <c r="BT112" s="285"/>
      <c r="BU112" s="285"/>
      <c r="BV112" s="285"/>
      <c r="BW112" s="285"/>
      <c r="BX112" s="285"/>
      <c r="BY112" s="285"/>
      <c r="BZ112" s="285"/>
      <c r="CA112" s="285"/>
      <c r="CB112" s="285"/>
      <c r="CC112" s="285"/>
      <c r="CD112" s="285"/>
      <c r="CE112" s="285"/>
      <c r="CF112" s="285"/>
      <c r="CG112" s="285"/>
      <c r="CH112" s="285"/>
      <c r="CI112" s="285"/>
      <c r="CJ112" s="285"/>
      <c r="CK112" s="285"/>
      <c r="CL112" s="285"/>
      <c r="CM112" s="285"/>
      <c r="CN112" s="285"/>
      <c r="CO112" s="285"/>
      <c r="CP112" s="285"/>
      <c r="CQ112" s="285"/>
      <c r="CR112" s="285"/>
    </row>
    <row r="113" spans="1:96" ht="15.6">
      <c r="A113" s="285"/>
      <c r="B113" s="285"/>
      <c r="C113" s="285"/>
      <c r="D113" s="285"/>
      <c r="E113" s="285"/>
      <c r="F113" s="285"/>
      <c r="G113" s="285"/>
      <c r="H113" s="285"/>
      <c r="I113" s="285"/>
      <c r="J113" s="285"/>
      <c r="K113" s="285"/>
      <c r="L113" s="285"/>
      <c r="M113" s="285"/>
      <c r="N113" s="285"/>
      <c r="O113" s="285"/>
      <c r="P113" s="285"/>
      <c r="Q113" s="285"/>
      <c r="R113" s="285"/>
      <c r="S113" s="285"/>
      <c r="T113" s="285"/>
      <c r="U113" s="285"/>
      <c r="V113" s="285"/>
      <c r="W113" s="285"/>
      <c r="X113" s="285"/>
      <c r="Y113" s="285"/>
      <c r="Z113" s="285"/>
      <c r="AA113" s="285"/>
      <c r="AB113" s="285"/>
      <c r="AC113" s="285"/>
      <c r="AD113" s="285"/>
      <c r="AE113" s="285"/>
      <c r="AF113" s="285"/>
      <c r="AG113" s="285"/>
      <c r="AH113" s="285"/>
      <c r="AI113" s="285"/>
      <c r="AJ113" s="285"/>
      <c r="AK113" s="285"/>
      <c r="AL113" s="285"/>
      <c r="AM113" s="285"/>
      <c r="AN113" s="285"/>
      <c r="AO113" s="285"/>
      <c r="AP113" s="285"/>
      <c r="AQ113" s="285"/>
      <c r="AR113" s="285"/>
      <c r="AS113" s="285"/>
      <c r="AT113" s="285"/>
      <c r="AU113" s="285"/>
      <c r="AV113" s="285"/>
      <c r="AW113" s="285"/>
      <c r="AX113" s="285"/>
      <c r="AY113" s="285"/>
      <c r="AZ113" s="285"/>
      <c r="BA113" s="285"/>
      <c r="BB113" s="285"/>
      <c r="BC113" s="285"/>
      <c r="BD113" s="285"/>
      <c r="BE113" s="285"/>
      <c r="BF113" s="285"/>
      <c r="BG113" s="285"/>
      <c r="BH113" s="285"/>
      <c r="BI113" s="285"/>
      <c r="BJ113" s="285"/>
      <c r="BK113" s="285"/>
      <c r="BL113" s="285"/>
      <c r="BM113" s="285"/>
      <c r="BN113" s="285"/>
      <c r="BO113" s="285"/>
      <c r="BP113" s="285"/>
      <c r="BQ113" s="285"/>
      <c r="BR113" s="285"/>
      <c r="BS113" s="285"/>
      <c r="BT113" s="285"/>
      <c r="BU113" s="285"/>
      <c r="BV113" s="285"/>
      <c r="BW113" s="285"/>
      <c r="BX113" s="285"/>
      <c r="BY113" s="285"/>
      <c r="BZ113" s="285"/>
      <c r="CA113" s="285"/>
      <c r="CB113" s="285"/>
      <c r="CC113" s="285"/>
      <c r="CD113" s="285"/>
      <c r="CE113" s="285"/>
      <c r="CF113" s="285"/>
      <c r="CG113" s="285"/>
      <c r="CH113" s="285"/>
      <c r="CI113" s="285"/>
      <c r="CJ113" s="285"/>
      <c r="CK113" s="285"/>
      <c r="CL113" s="285"/>
      <c r="CM113" s="285"/>
      <c r="CN113" s="285"/>
      <c r="CO113" s="285"/>
      <c r="CP113" s="285"/>
      <c r="CQ113" s="285"/>
      <c r="CR113" s="285"/>
    </row>
    <row r="114" spans="1:96" ht="15.6">
      <c r="A114" s="285"/>
      <c r="B114" s="285"/>
      <c r="C114" s="285"/>
      <c r="D114" s="285"/>
      <c r="E114" s="285"/>
      <c r="F114" s="285"/>
      <c r="G114" s="285"/>
      <c r="H114" s="285"/>
      <c r="I114" s="285"/>
      <c r="J114" s="285"/>
      <c r="K114" s="285"/>
      <c r="L114" s="285"/>
      <c r="M114" s="285"/>
      <c r="N114" s="285"/>
      <c r="O114" s="285"/>
      <c r="P114" s="285"/>
      <c r="Q114" s="285"/>
      <c r="R114" s="285"/>
      <c r="S114" s="285"/>
      <c r="T114" s="285"/>
      <c r="U114" s="285"/>
      <c r="V114" s="285"/>
      <c r="W114" s="285"/>
      <c r="X114" s="285"/>
      <c r="Y114" s="285"/>
      <c r="Z114" s="285"/>
      <c r="AA114" s="285"/>
      <c r="AB114" s="285"/>
      <c r="AC114" s="285"/>
      <c r="AD114" s="285"/>
      <c r="AE114" s="285"/>
      <c r="AF114" s="285"/>
      <c r="AG114" s="285"/>
      <c r="AH114" s="285"/>
      <c r="AI114" s="285"/>
      <c r="AJ114" s="285"/>
      <c r="AK114" s="285"/>
      <c r="AL114" s="285"/>
      <c r="AM114" s="285"/>
      <c r="AN114" s="285"/>
      <c r="AO114" s="285"/>
      <c r="AP114" s="285"/>
      <c r="AQ114" s="285"/>
      <c r="AR114" s="285"/>
      <c r="AS114" s="285"/>
      <c r="AT114" s="285"/>
      <c r="AU114" s="285"/>
      <c r="AV114" s="285"/>
      <c r="AW114" s="285"/>
      <c r="AX114" s="285"/>
      <c r="AY114" s="285"/>
      <c r="AZ114" s="285"/>
      <c r="BA114" s="285"/>
      <c r="BB114" s="285"/>
      <c r="BC114" s="285"/>
      <c r="BD114" s="285"/>
      <c r="BE114" s="285"/>
      <c r="BF114" s="285"/>
      <c r="BG114" s="285"/>
      <c r="BH114" s="285"/>
      <c r="BI114" s="285"/>
      <c r="BJ114" s="285"/>
      <c r="BK114" s="285"/>
      <c r="BL114" s="285"/>
      <c r="BM114" s="285"/>
      <c r="BN114" s="285"/>
      <c r="BO114" s="285"/>
      <c r="BP114" s="285"/>
      <c r="BQ114" s="285"/>
      <c r="BR114" s="285"/>
      <c r="BS114" s="285"/>
      <c r="BT114" s="285"/>
      <c r="BU114" s="285"/>
      <c r="BV114" s="285"/>
      <c r="BW114" s="285"/>
      <c r="BX114" s="285"/>
      <c r="BY114" s="285"/>
      <c r="BZ114" s="285"/>
      <c r="CA114" s="285"/>
      <c r="CB114" s="285"/>
      <c r="CC114" s="285"/>
      <c r="CD114" s="285"/>
      <c r="CE114" s="285"/>
      <c r="CF114" s="285"/>
      <c r="CG114" s="285"/>
      <c r="CH114" s="285"/>
      <c r="CI114" s="285"/>
      <c r="CJ114" s="285"/>
      <c r="CK114" s="285"/>
      <c r="CL114" s="285"/>
      <c r="CM114" s="285"/>
      <c r="CN114" s="285"/>
      <c r="CO114" s="285"/>
      <c r="CP114" s="285"/>
      <c r="CQ114" s="285"/>
      <c r="CR114" s="285"/>
    </row>
    <row r="115" spans="1:96" ht="15.6">
      <c r="A115" s="285"/>
      <c r="B115" s="285"/>
      <c r="C115" s="285"/>
      <c r="D115" s="285"/>
      <c r="E115" s="285"/>
      <c r="F115" s="285"/>
      <c r="G115" s="285"/>
      <c r="H115" s="285"/>
      <c r="I115" s="285"/>
      <c r="J115" s="285"/>
      <c r="K115" s="285"/>
      <c r="L115" s="285"/>
      <c r="M115" s="285"/>
      <c r="N115" s="285"/>
      <c r="O115" s="285"/>
      <c r="P115" s="285"/>
      <c r="Q115" s="285"/>
      <c r="R115" s="285"/>
      <c r="S115" s="285"/>
      <c r="T115" s="285"/>
      <c r="U115" s="285"/>
      <c r="V115" s="285"/>
      <c r="W115" s="285"/>
      <c r="X115" s="285"/>
      <c r="Y115" s="285"/>
      <c r="Z115" s="285"/>
      <c r="AA115" s="285"/>
      <c r="AB115" s="285"/>
      <c r="AC115" s="285"/>
      <c r="AD115" s="285"/>
      <c r="AE115" s="285"/>
      <c r="AF115" s="285"/>
      <c r="AG115" s="285"/>
      <c r="AH115" s="285"/>
      <c r="AI115" s="285"/>
      <c r="AJ115" s="285"/>
      <c r="AK115" s="285"/>
      <c r="AL115" s="285"/>
      <c r="AM115" s="285"/>
      <c r="AN115" s="285"/>
      <c r="AO115" s="285"/>
      <c r="AP115" s="285"/>
      <c r="AQ115" s="285"/>
      <c r="AR115" s="285"/>
      <c r="AS115" s="285"/>
      <c r="AT115" s="285"/>
      <c r="AU115" s="285"/>
      <c r="AV115" s="285"/>
      <c r="AW115" s="285"/>
      <c r="AX115" s="285"/>
      <c r="AY115" s="285"/>
      <c r="AZ115" s="285"/>
      <c r="BA115" s="285"/>
      <c r="BB115" s="285"/>
      <c r="BC115" s="285"/>
      <c r="BD115" s="285"/>
      <c r="BE115" s="285"/>
      <c r="BF115" s="285"/>
      <c r="BG115" s="285"/>
      <c r="BH115" s="285"/>
      <c r="BI115" s="285"/>
      <c r="BJ115" s="285"/>
      <c r="BK115" s="285"/>
      <c r="BL115" s="285"/>
      <c r="BM115" s="285"/>
      <c r="BN115" s="285"/>
      <c r="BO115" s="285"/>
      <c r="BP115" s="285"/>
      <c r="BQ115" s="285"/>
      <c r="BR115" s="285"/>
      <c r="BS115" s="285"/>
      <c r="BT115" s="285"/>
      <c r="BU115" s="285"/>
      <c r="BV115" s="285"/>
      <c r="BW115" s="285"/>
      <c r="BX115" s="285"/>
      <c r="BY115" s="285"/>
      <c r="BZ115" s="285"/>
      <c r="CA115" s="285"/>
      <c r="CB115" s="285"/>
      <c r="CC115" s="285"/>
      <c r="CD115" s="285"/>
      <c r="CE115" s="285"/>
      <c r="CF115" s="285"/>
      <c r="CG115" s="285"/>
      <c r="CH115" s="285"/>
      <c r="CI115" s="285"/>
      <c r="CJ115" s="285"/>
      <c r="CK115" s="285"/>
      <c r="CL115" s="285"/>
      <c r="CM115" s="285"/>
      <c r="CN115" s="285"/>
      <c r="CO115" s="285"/>
      <c r="CP115" s="285"/>
      <c r="CQ115" s="285"/>
      <c r="CR115" s="285"/>
    </row>
    <row r="116" spans="1:96" ht="15.6">
      <c r="A116" s="285"/>
      <c r="B116" s="285"/>
      <c r="C116" s="285"/>
      <c r="D116" s="285"/>
      <c r="E116" s="285"/>
      <c r="F116" s="285"/>
      <c r="G116" s="285"/>
      <c r="H116" s="285"/>
      <c r="I116" s="285"/>
      <c r="J116" s="285"/>
      <c r="K116" s="285"/>
      <c r="L116" s="285"/>
      <c r="M116" s="285"/>
      <c r="N116" s="285"/>
      <c r="O116" s="285"/>
      <c r="P116" s="285"/>
      <c r="Q116" s="285"/>
      <c r="R116" s="285"/>
      <c r="S116" s="285"/>
      <c r="T116" s="285"/>
      <c r="U116" s="285"/>
      <c r="V116" s="285"/>
      <c r="W116" s="285"/>
      <c r="X116" s="285"/>
      <c r="Y116" s="285"/>
      <c r="Z116" s="285"/>
      <c r="AA116" s="285"/>
      <c r="AB116" s="285"/>
      <c r="AC116" s="285"/>
      <c r="AD116" s="285"/>
      <c r="AE116" s="285"/>
      <c r="AF116" s="285"/>
      <c r="AG116" s="285"/>
      <c r="AH116" s="285"/>
      <c r="AI116" s="285"/>
      <c r="AJ116" s="285"/>
      <c r="AK116" s="285"/>
      <c r="AL116" s="285"/>
      <c r="AM116" s="285"/>
      <c r="AN116" s="285"/>
      <c r="AO116" s="285"/>
      <c r="AP116" s="285"/>
      <c r="AQ116" s="285"/>
      <c r="AR116" s="285"/>
      <c r="AS116" s="285"/>
      <c r="AT116" s="285"/>
      <c r="AU116" s="285"/>
      <c r="AV116" s="285"/>
      <c r="AW116" s="285"/>
      <c r="AX116" s="285"/>
      <c r="AY116" s="285"/>
      <c r="AZ116" s="285"/>
      <c r="BA116" s="285"/>
      <c r="BB116" s="285"/>
      <c r="BC116" s="285"/>
      <c r="BD116" s="285"/>
      <c r="BE116" s="285"/>
      <c r="BF116" s="285"/>
      <c r="BG116" s="285"/>
      <c r="BH116" s="285"/>
      <c r="BI116" s="285"/>
      <c r="BJ116" s="285"/>
      <c r="BK116" s="285"/>
      <c r="BL116" s="285"/>
      <c r="BM116" s="285"/>
      <c r="BN116" s="285"/>
      <c r="BO116" s="285"/>
      <c r="BP116" s="285"/>
      <c r="BQ116" s="285"/>
      <c r="BR116" s="285"/>
      <c r="BS116" s="285"/>
      <c r="BT116" s="285"/>
      <c r="BU116" s="285"/>
      <c r="BV116" s="285"/>
      <c r="BW116" s="285"/>
      <c r="BX116" s="285"/>
      <c r="BY116" s="285"/>
      <c r="BZ116" s="285"/>
      <c r="CA116" s="285"/>
      <c r="CB116" s="285"/>
      <c r="CC116" s="285"/>
      <c r="CD116" s="285"/>
      <c r="CE116" s="285"/>
      <c r="CF116" s="285"/>
      <c r="CG116" s="285"/>
      <c r="CH116" s="285"/>
      <c r="CI116" s="285"/>
      <c r="CJ116" s="285"/>
      <c r="CK116" s="285"/>
      <c r="CL116" s="285"/>
      <c r="CM116" s="285"/>
      <c r="CN116" s="285"/>
      <c r="CO116" s="285"/>
      <c r="CP116" s="285"/>
      <c r="CQ116" s="285"/>
      <c r="CR116" s="285"/>
    </row>
    <row r="117" spans="1:96" ht="15.6">
      <c r="A117" s="285"/>
      <c r="B117" s="285"/>
      <c r="C117" s="285"/>
      <c r="D117" s="285"/>
      <c r="E117" s="285"/>
      <c r="F117" s="285"/>
      <c r="G117" s="285"/>
      <c r="H117" s="285"/>
      <c r="I117" s="285"/>
      <c r="J117" s="285"/>
      <c r="K117" s="285"/>
      <c r="L117" s="285"/>
      <c r="M117" s="285"/>
      <c r="N117" s="285"/>
      <c r="O117" s="285"/>
      <c r="P117" s="285"/>
      <c r="Q117" s="285"/>
      <c r="R117" s="285"/>
      <c r="S117" s="285"/>
      <c r="T117" s="285"/>
      <c r="U117" s="285"/>
      <c r="V117" s="285"/>
      <c r="W117" s="285"/>
      <c r="X117" s="285"/>
      <c r="Y117" s="285"/>
      <c r="Z117" s="285"/>
      <c r="AA117" s="285"/>
      <c r="AB117" s="285"/>
      <c r="AC117" s="285"/>
      <c r="AD117" s="285"/>
      <c r="AE117" s="285"/>
      <c r="AF117" s="285"/>
      <c r="AG117" s="285"/>
      <c r="AH117" s="285"/>
      <c r="AI117" s="285"/>
      <c r="AJ117" s="285"/>
      <c r="AK117" s="285"/>
      <c r="AL117" s="285"/>
      <c r="AM117" s="285"/>
      <c r="AN117" s="285"/>
      <c r="AO117" s="285"/>
      <c r="AP117" s="285"/>
      <c r="AQ117" s="285"/>
      <c r="AR117" s="285"/>
      <c r="AS117" s="285"/>
      <c r="AT117" s="285"/>
      <c r="AU117" s="285"/>
      <c r="AV117" s="285"/>
      <c r="AW117" s="285"/>
      <c r="AX117" s="285"/>
      <c r="AY117" s="285"/>
      <c r="AZ117" s="285"/>
      <c r="BA117" s="285"/>
      <c r="BB117" s="285"/>
      <c r="BC117" s="285"/>
      <c r="BD117" s="285"/>
      <c r="BE117" s="285"/>
      <c r="BF117" s="285"/>
      <c r="BG117" s="285"/>
      <c r="BH117" s="285"/>
      <c r="BI117" s="285"/>
      <c r="BJ117" s="285"/>
      <c r="BK117" s="285"/>
      <c r="BL117" s="285"/>
      <c r="BM117" s="285"/>
      <c r="BN117" s="285"/>
      <c r="BO117" s="285"/>
      <c r="BP117" s="285"/>
      <c r="BQ117" s="285"/>
      <c r="BR117" s="285"/>
      <c r="BS117" s="285"/>
      <c r="BT117" s="285"/>
      <c r="BU117" s="285"/>
      <c r="BV117" s="285"/>
      <c r="BW117" s="285"/>
      <c r="BX117" s="285"/>
      <c r="BY117" s="285"/>
      <c r="BZ117" s="285"/>
      <c r="CA117" s="285"/>
      <c r="CB117" s="285"/>
      <c r="CC117" s="285"/>
      <c r="CD117" s="285"/>
      <c r="CE117" s="285"/>
      <c r="CF117" s="285"/>
      <c r="CG117" s="285"/>
      <c r="CH117" s="285"/>
      <c r="CI117" s="285"/>
      <c r="CJ117" s="285"/>
      <c r="CK117" s="285"/>
      <c r="CL117" s="285"/>
      <c r="CM117" s="285"/>
      <c r="CN117" s="285"/>
      <c r="CO117" s="285"/>
      <c r="CP117" s="285"/>
      <c r="CQ117" s="285"/>
      <c r="CR117" s="285"/>
    </row>
    <row r="118" spans="1:96" ht="15.6">
      <c r="A118" s="285"/>
      <c r="B118" s="285"/>
      <c r="C118" s="285"/>
      <c r="D118" s="285"/>
      <c r="E118" s="285"/>
      <c r="F118" s="285"/>
      <c r="G118" s="285"/>
      <c r="H118" s="285"/>
      <c r="I118" s="285"/>
      <c r="J118" s="285"/>
      <c r="K118" s="285"/>
      <c r="L118" s="285"/>
      <c r="M118" s="285"/>
      <c r="N118" s="285"/>
      <c r="O118" s="285"/>
      <c r="P118" s="285"/>
      <c r="Q118" s="285"/>
      <c r="R118" s="285"/>
      <c r="S118" s="285"/>
      <c r="T118" s="285"/>
      <c r="U118" s="285"/>
      <c r="V118" s="285"/>
      <c r="W118" s="285"/>
      <c r="X118" s="285"/>
      <c r="Y118" s="285"/>
      <c r="Z118" s="285"/>
      <c r="AA118" s="285"/>
      <c r="AB118" s="285"/>
      <c r="AC118" s="285"/>
      <c r="AD118" s="285"/>
      <c r="AE118" s="285"/>
      <c r="AF118" s="285"/>
      <c r="AG118" s="285"/>
      <c r="AH118" s="285"/>
      <c r="AI118" s="285"/>
      <c r="AJ118" s="285"/>
      <c r="AK118" s="285"/>
      <c r="AL118" s="285"/>
      <c r="AM118" s="285"/>
      <c r="AN118" s="285"/>
      <c r="AO118" s="285"/>
      <c r="AP118" s="285"/>
      <c r="AQ118" s="285"/>
      <c r="AR118" s="285"/>
      <c r="AS118" s="285"/>
      <c r="AT118" s="285"/>
      <c r="AU118" s="285"/>
      <c r="AV118" s="285"/>
      <c r="AW118" s="285"/>
      <c r="AX118" s="285"/>
      <c r="AY118" s="285"/>
      <c r="AZ118" s="285"/>
      <c r="BA118" s="285"/>
      <c r="BB118" s="285"/>
      <c r="BC118" s="285"/>
      <c r="BD118" s="285"/>
      <c r="BE118" s="285"/>
      <c r="BF118" s="285"/>
      <c r="BG118" s="285"/>
      <c r="BH118" s="285"/>
      <c r="BI118" s="285"/>
      <c r="BJ118" s="285"/>
      <c r="BK118" s="285"/>
      <c r="BL118" s="285"/>
      <c r="BM118" s="285"/>
      <c r="BN118" s="285"/>
      <c r="BO118" s="285"/>
      <c r="BP118" s="285"/>
      <c r="BQ118" s="285"/>
      <c r="BR118" s="285"/>
      <c r="BS118" s="285"/>
      <c r="BT118" s="285"/>
      <c r="BU118" s="285"/>
      <c r="BV118" s="285"/>
      <c r="BW118" s="285"/>
      <c r="BX118" s="285"/>
      <c r="BY118" s="285"/>
      <c r="BZ118" s="285"/>
      <c r="CA118" s="285"/>
      <c r="CB118" s="285"/>
      <c r="CC118" s="285"/>
      <c r="CD118" s="285"/>
      <c r="CE118" s="285"/>
      <c r="CF118" s="285"/>
      <c r="CG118" s="285"/>
      <c r="CH118" s="285"/>
      <c r="CI118" s="285"/>
      <c r="CJ118" s="285"/>
      <c r="CK118" s="285"/>
      <c r="CL118" s="285"/>
      <c r="CM118" s="285"/>
      <c r="CN118" s="285"/>
      <c r="CO118" s="285"/>
      <c r="CP118" s="285"/>
      <c r="CQ118" s="285"/>
      <c r="CR118" s="285"/>
    </row>
    <row r="119" spans="1:96" ht="15.6">
      <c r="A119" s="285"/>
      <c r="B119" s="285"/>
      <c r="C119" s="285"/>
      <c r="D119" s="285"/>
      <c r="E119" s="285"/>
      <c r="F119" s="285"/>
      <c r="G119" s="285"/>
      <c r="H119" s="285"/>
      <c r="I119" s="285"/>
      <c r="J119" s="285"/>
      <c r="K119" s="285"/>
      <c r="L119" s="285"/>
      <c r="M119" s="285"/>
      <c r="N119" s="285"/>
      <c r="O119" s="285"/>
      <c r="P119" s="285"/>
      <c r="Q119" s="285"/>
      <c r="R119" s="285"/>
      <c r="S119" s="285"/>
      <c r="T119" s="285"/>
      <c r="U119" s="285"/>
      <c r="V119" s="285"/>
      <c r="W119" s="285"/>
      <c r="X119" s="285"/>
      <c r="Y119" s="285"/>
      <c r="Z119" s="285"/>
      <c r="AA119" s="285"/>
      <c r="AB119" s="285"/>
      <c r="AC119" s="285"/>
      <c r="AD119" s="285"/>
      <c r="AE119" s="285"/>
      <c r="AF119" s="285"/>
      <c r="AG119" s="285"/>
      <c r="AH119" s="285"/>
      <c r="AI119" s="285"/>
      <c r="AJ119" s="285"/>
      <c r="AK119" s="285"/>
      <c r="AL119" s="285"/>
      <c r="AM119" s="285"/>
      <c r="AN119" s="285"/>
      <c r="AO119" s="285"/>
      <c r="AP119" s="285"/>
      <c r="AQ119" s="285"/>
      <c r="AR119" s="285"/>
      <c r="AS119" s="285"/>
      <c r="AT119" s="285"/>
      <c r="AU119" s="285"/>
      <c r="AV119" s="285"/>
      <c r="AW119" s="285"/>
      <c r="AX119" s="285"/>
      <c r="AY119" s="285"/>
      <c r="AZ119" s="285"/>
      <c r="BA119" s="285"/>
      <c r="BB119" s="285"/>
      <c r="BC119" s="285"/>
      <c r="BD119" s="285"/>
      <c r="BE119" s="285"/>
      <c r="BF119" s="285"/>
      <c r="BG119" s="285"/>
      <c r="BH119" s="285"/>
      <c r="BI119" s="285"/>
      <c r="BJ119" s="285"/>
      <c r="BK119" s="285"/>
      <c r="BL119" s="285"/>
      <c r="BM119" s="285"/>
      <c r="BN119" s="285"/>
      <c r="BO119" s="285"/>
      <c r="BP119" s="285"/>
      <c r="BQ119" s="285"/>
      <c r="BR119" s="285"/>
      <c r="BS119" s="285"/>
      <c r="BT119" s="285"/>
      <c r="BU119" s="285"/>
      <c r="BV119" s="285"/>
      <c r="BW119" s="285"/>
      <c r="BX119" s="285"/>
      <c r="BY119" s="285"/>
      <c r="BZ119" s="285"/>
      <c r="CA119" s="285"/>
      <c r="CB119" s="285"/>
      <c r="CC119" s="285"/>
      <c r="CD119" s="285"/>
      <c r="CE119" s="285"/>
      <c r="CF119" s="285"/>
      <c r="CG119" s="285"/>
      <c r="CH119" s="285"/>
      <c r="CI119" s="285"/>
      <c r="CJ119" s="285"/>
      <c r="CK119" s="285"/>
      <c r="CL119" s="285"/>
      <c r="CM119" s="285"/>
      <c r="CN119" s="285"/>
      <c r="CO119" s="285"/>
      <c r="CP119" s="285"/>
      <c r="CQ119" s="285"/>
      <c r="CR119" s="285"/>
    </row>
    <row r="120" spans="1:96" ht="15.6">
      <c r="A120" s="285"/>
      <c r="B120" s="285"/>
      <c r="C120" s="285"/>
      <c r="D120" s="285"/>
      <c r="E120" s="285"/>
      <c r="F120" s="285"/>
      <c r="G120" s="285"/>
      <c r="H120" s="285"/>
      <c r="I120" s="285"/>
      <c r="J120" s="285"/>
      <c r="K120" s="285"/>
      <c r="L120" s="285"/>
      <c r="M120" s="285"/>
      <c r="N120" s="285"/>
      <c r="O120" s="285"/>
      <c r="P120" s="285"/>
      <c r="Q120" s="285"/>
      <c r="R120" s="285"/>
      <c r="S120" s="285"/>
      <c r="T120" s="285"/>
      <c r="U120" s="285"/>
      <c r="V120" s="285"/>
      <c r="W120" s="285"/>
      <c r="X120" s="285"/>
      <c r="Y120" s="285"/>
      <c r="Z120" s="285"/>
      <c r="AA120" s="285"/>
      <c r="AB120" s="285"/>
      <c r="AC120" s="285"/>
      <c r="AD120" s="285"/>
      <c r="AE120" s="285"/>
      <c r="AF120" s="285"/>
      <c r="AG120" s="285"/>
      <c r="AH120" s="285"/>
      <c r="AI120" s="285"/>
      <c r="AJ120" s="285"/>
      <c r="AK120" s="285"/>
      <c r="AL120" s="285"/>
      <c r="AM120" s="285"/>
      <c r="AN120" s="285"/>
      <c r="AO120" s="285"/>
      <c r="AP120" s="285"/>
      <c r="AQ120" s="285"/>
      <c r="AR120" s="285"/>
      <c r="AS120" s="285"/>
      <c r="AT120" s="285"/>
      <c r="AU120" s="285"/>
      <c r="AV120" s="285"/>
      <c r="AW120" s="285"/>
      <c r="AX120" s="285"/>
      <c r="AY120" s="285"/>
      <c r="AZ120" s="285"/>
      <c r="BA120" s="285"/>
      <c r="BB120" s="285"/>
      <c r="BC120" s="285"/>
      <c r="BD120" s="285"/>
      <c r="BE120" s="285"/>
      <c r="BF120" s="285"/>
      <c r="BG120" s="285"/>
      <c r="BH120" s="285"/>
      <c r="BI120" s="285"/>
      <c r="BJ120" s="285"/>
      <c r="BK120" s="285"/>
      <c r="BL120" s="285"/>
      <c r="BM120" s="285"/>
      <c r="BN120" s="285"/>
      <c r="BO120" s="285"/>
      <c r="BP120" s="285"/>
      <c r="BQ120" s="285"/>
      <c r="BR120" s="285"/>
      <c r="BS120" s="285"/>
      <c r="BT120" s="285"/>
      <c r="BU120" s="285"/>
      <c r="BV120" s="285"/>
      <c r="BW120" s="285"/>
      <c r="BX120" s="285"/>
      <c r="BY120" s="285"/>
      <c r="BZ120" s="285"/>
      <c r="CA120" s="285"/>
      <c r="CB120" s="285"/>
      <c r="CC120" s="285"/>
      <c r="CD120" s="285"/>
      <c r="CE120" s="285"/>
      <c r="CF120" s="285"/>
      <c r="CG120" s="285"/>
      <c r="CH120" s="285"/>
      <c r="CI120" s="285"/>
      <c r="CJ120" s="285"/>
      <c r="CK120" s="285"/>
      <c r="CL120" s="285"/>
      <c r="CM120" s="285"/>
      <c r="CN120" s="285"/>
      <c r="CO120" s="285"/>
      <c r="CP120" s="285"/>
      <c r="CQ120" s="285"/>
      <c r="CR120" s="285"/>
    </row>
    <row r="121" spans="1:96" ht="15.6">
      <c r="A121" s="285"/>
      <c r="B121" s="285"/>
      <c r="C121" s="285"/>
      <c r="D121" s="285"/>
      <c r="E121" s="285"/>
      <c r="F121" s="285"/>
      <c r="G121" s="285"/>
      <c r="H121" s="285"/>
      <c r="I121" s="285"/>
      <c r="J121" s="285"/>
      <c r="K121" s="285"/>
      <c r="L121" s="285"/>
      <c r="M121" s="285"/>
      <c r="N121" s="285"/>
      <c r="O121" s="285"/>
      <c r="P121" s="285"/>
      <c r="Q121" s="285"/>
      <c r="R121" s="285"/>
      <c r="S121" s="285"/>
      <c r="T121" s="285"/>
      <c r="U121" s="285"/>
      <c r="V121" s="285"/>
      <c r="W121" s="285"/>
      <c r="X121" s="285"/>
      <c r="Y121" s="285"/>
      <c r="Z121" s="285"/>
      <c r="AA121" s="285"/>
      <c r="AB121" s="285"/>
      <c r="AC121" s="285"/>
      <c r="AD121" s="285"/>
      <c r="AE121" s="285"/>
      <c r="AF121" s="285"/>
      <c r="AG121" s="285"/>
      <c r="AH121" s="285"/>
      <c r="AI121" s="285"/>
      <c r="AJ121" s="285"/>
      <c r="AK121" s="285"/>
      <c r="AL121" s="285"/>
      <c r="AM121" s="285"/>
      <c r="AN121" s="285"/>
      <c r="AO121" s="285"/>
      <c r="AP121" s="285"/>
      <c r="AQ121" s="285"/>
      <c r="AR121" s="285"/>
      <c r="AS121" s="285"/>
      <c r="AT121" s="285"/>
      <c r="AU121" s="285"/>
      <c r="AV121" s="285"/>
      <c r="AW121" s="285"/>
      <c r="AX121" s="285"/>
      <c r="AY121" s="285"/>
      <c r="AZ121" s="285"/>
      <c r="BA121" s="285"/>
      <c r="BB121" s="285"/>
      <c r="BC121" s="285"/>
      <c r="BD121" s="285"/>
      <c r="BE121" s="285"/>
      <c r="BF121" s="285"/>
      <c r="BG121" s="285"/>
      <c r="BH121" s="285"/>
      <c r="BI121" s="285"/>
      <c r="BJ121" s="285"/>
      <c r="BK121" s="285"/>
      <c r="BL121" s="285"/>
      <c r="BM121" s="285"/>
      <c r="BN121" s="285"/>
      <c r="BO121" s="285"/>
      <c r="BP121" s="285"/>
      <c r="BQ121" s="285"/>
      <c r="BR121" s="285"/>
      <c r="BS121" s="285"/>
      <c r="BT121" s="285"/>
      <c r="BU121" s="285"/>
      <c r="BV121" s="285"/>
      <c r="BW121" s="285"/>
      <c r="BX121" s="285"/>
      <c r="BY121" s="285"/>
      <c r="BZ121" s="285"/>
      <c r="CA121" s="285"/>
      <c r="CB121" s="285"/>
      <c r="CC121" s="285"/>
      <c r="CD121" s="285"/>
      <c r="CE121" s="285"/>
      <c r="CF121" s="285"/>
      <c r="CG121" s="285"/>
      <c r="CH121" s="285"/>
      <c r="CI121" s="285"/>
      <c r="CJ121" s="285"/>
      <c r="CK121" s="285"/>
      <c r="CL121" s="285"/>
      <c r="CM121" s="285"/>
      <c r="CN121" s="285"/>
      <c r="CO121" s="285"/>
      <c r="CP121" s="285"/>
      <c r="CQ121" s="285"/>
      <c r="CR121" s="285"/>
    </row>
    <row r="122" spans="1:96" ht="15.6">
      <c r="A122" s="285"/>
      <c r="B122" s="285"/>
      <c r="C122" s="285"/>
      <c r="D122" s="285"/>
      <c r="E122" s="285"/>
      <c r="F122" s="285"/>
      <c r="G122" s="285"/>
      <c r="H122" s="285"/>
      <c r="I122" s="285"/>
      <c r="J122" s="285"/>
      <c r="K122" s="285"/>
      <c r="L122" s="285"/>
      <c r="M122" s="285"/>
      <c r="N122" s="285"/>
      <c r="O122" s="285"/>
      <c r="P122" s="285"/>
      <c r="Q122" s="285"/>
      <c r="R122" s="285"/>
      <c r="S122" s="285"/>
      <c r="T122" s="285"/>
      <c r="U122" s="285"/>
      <c r="V122" s="285"/>
      <c r="W122" s="285"/>
      <c r="X122" s="285"/>
      <c r="Y122" s="285"/>
      <c r="Z122" s="285"/>
      <c r="AA122" s="285"/>
      <c r="AB122" s="285"/>
      <c r="AC122" s="285"/>
      <c r="AD122" s="285"/>
      <c r="AE122" s="285"/>
      <c r="AF122" s="285"/>
      <c r="AG122" s="285"/>
      <c r="AH122" s="285"/>
      <c r="AI122" s="285"/>
      <c r="AJ122" s="285"/>
      <c r="AK122" s="285"/>
      <c r="AL122" s="285"/>
      <c r="AM122" s="285"/>
      <c r="AN122" s="285"/>
      <c r="AO122" s="285"/>
      <c r="AP122" s="285"/>
      <c r="AQ122" s="285"/>
      <c r="AR122" s="285"/>
      <c r="AS122" s="285"/>
      <c r="AT122" s="285"/>
      <c r="AU122" s="285"/>
      <c r="AV122" s="285"/>
      <c r="AW122" s="285"/>
      <c r="AX122" s="285"/>
      <c r="AY122" s="285"/>
      <c r="AZ122" s="285"/>
      <c r="BA122" s="285"/>
      <c r="BB122" s="285"/>
      <c r="BC122" s="285"/>
      <c r="BD122" s="285"/>
      <c r="BE122" s="285"/>
      <c r="BF122" s="285"/>
      <c r="BG122" s="285"/>
      <c r="BH122" s="285"/>
      <c r="BI122" s="285"/>
      <c r="BJ122" s="285"/>
      <c r="BK122" s="285"/>
      <c r="BL122" s="285"/>
      <c r="BM122" s="285"/>
      <c r="BN122" s="285"/>
      <c r="BO122" s="285"/>
      <c r="BP122" s="285"/>
      <c r="BQ122" s="285"/>
      <c r="BR122" s="285"/>
      <c r="BS122" s="285"/>
      <c r="BT122" s="285"/>
      <c r="BU122" s="285"/>
      <c r="BV122" s="285"/>
      <c r="BW122" s="285"/>
      <c r="BX122" s="285"/>
      <c r="BY122" s="285"/>
      <c r="BZ122" s="285"/>
      <c r="CA122" s="285"/>
      <c r="CB122" s="285"/>
      <c r="CC122" s="285"/>
      <c r="CD122" s="285"/>
      <c r="CE122" s="285"/>
      <c r="CF122" s="285"/>
      <c r="CG122" s="285"/>
      <c r="CH122" s="285"/>
      <c r="CI122" s="285"/>
      <c r="CJ122" s="285"/>
      <c r="CK122" s="285"/>
      <c r="CL122" s="285"/>
      <c r="CM122" s="285"/>
      <c r="CN122" s="285"/>
      <c r="CO122" s="285"/>
      <c r="CP122" s="285"/>
      <c r="CQ122" s="285"/>
      <c r="CR122" s="285"/>
    </row>
    <row r="123" spans="1:96" ht="15.6">
      <c r="A123" s="285"/>
      <c r="B123" s="285"/>
      <c r="C123" s="285"/>
      <c r="D123" s="285"/>
      <c r="E123" s="285"/>
      <c r="F123" s="285"/>
      <c r="G123" s="285"/>
      <c r="H123" s="285"/>
      <c r="I123" s="285"/>
      <c r="J123" s="285"/>
      <c r="K123" s="285"/>
      <c r="L123" s="285"/>
      <c r="M123" s="285"/>
      <c r="N123" s="285"/>
      <c r="O123" s="285"/>
      <c r="P123" s="285"/>
      <c r="Q123" s="285"/>
      <c r="R123" s="285"/>
      <c r="S123" s="285"/>
      <c r="T123" s="285"/>
      <c r="U123" s="285"/>
      <c r="V123" s="285"/>
      <c r="W123" s="285"/>
      <c r="X123" s="285"/>
      <c r="Y123" s="285"/>
      <c r="Z123" s="285"/>
      <c r="AA123" s="285"/>
      <c r="AB123" s="285"/>
      <c r="AC123" s="285"/>
      <c r="AD123" s="285"/>
      <c r="AE123" s="285"/>
      <c r="AF123" s="285"/>
      <c r="AG123" s="285"/>
      <c r="AH123" s="285"/>
      <c r="AI123" s="285"/>
      <c r="AJ123" s="285"/>
      <c r="AK123" s="285"/>
      <c r="AL123" s="285"/>
      <c r="AM123" s="285"/>
      <c r="AN123" s="285"/>
      <c r="AO123" s="285"/>
      <c r="AP123" s="285"/>
      <c r="AQ123" s="285"/>
      <c r="AR123" s="285"/>
      <c r="AS123" s="285"/>
      <c r="AT123" s="285"/>
      <c r="AU123" s="285"/>
      <c r="AV123" s="285"/>
      <c r="AW123" s="285"/>
      <c r="AX123" s="285"/>
      <c r="AY123" s="285"/>
      <c r="AZ123" s="285"/>
      <c r="BA123" s="285"/>
      <c r="BB123" s="285"/>
      <c r="BC123" s="285"/>
      <c r="BD123" s="285"/>
      <c r="BE123" s="285"/>
      <c r="BF123" s="285"/>
      <c r="BG123" s="285"/>
      <c r="BH123" s="285"/>
      <c r="BI123" s="285"/>
      <c r="BJ123" s="285"/>
      <c r="BK123" s="285"/>
      <c r="BL123" s="285"/>
      <c r="BM123" s="285"/>
      <c r="BN123" s="285"/>
      <c r="BO123" s="285"/>
      <c r="BP123" s="285"/>
      <c r="BQ123" s="285"/>
      <c r="BR123" s="285"/>
      <c r="BS123" s="285"/>
      <c r="BT123" s="285"/>
      <c r="BU123" s="285"/>
      <c r="BV123" s="285"/>
      <c r="BW123" s="285"/>
      <c r="BX123" s="285"/>
      <c r="BY123" s="285"/>
      <c r="BZ123" s="285"/>
      <c r="CA123" s="285"/>
      <c r="CB123" s="285"/>
      <c r="CC123" s="285"/>
      <c r="CD123" s="285"/>
      <c r="CE123" s="285"/>
      <c r="CF123" s="285"/>
      <c r="CG123" s="285"/>
      <c r="CH123" s="285"/>
      <c r="CI123" s="285"/>
      <c r="CJ123" s="285"/>
      <c r="CK123" s="285"/>
      <c r="CL123" s="285"/>
      <c r="CM123" s="285"/>
      <c r="CN123" s="285"/>
      <c r="CO123" s="285"/>
      <c r="CP123" s="285"/>
      <c r="CQ123" s="285"/>
      <c r="CR123" s="285"/>
    </row>
    <row r="124" spans="1:96" ht="15.6">
      <c r="A124" s="285"/>
      <c r="B124" s="285"/>
      <c r="C124" s="285"/>
      <c r="D124" s="285"/>
      <c r="E124" s="285"/>
      <c r="F124" s="285"/>
      <c r="G124" s="285"/>
      <c r="H124" s="285"/>
      <c r="I124" s="285"/>
      <c r="J124" s="285"/>
      <c r="K124" s="285"/>
      <c r="L124" s="285"/>
      <c r="M124" s="285"/>
      <c r="N124" s="285"/>
      <c r="O124" s="285"/>
      <c r="P124" s="285"/>
      <c r="Q124" s="285"/>
      <c r="R124" s="285"/>
      <c r="S124" s="285"/>
      <c r="T124" s="285"/>
      <c r="U124" s="285"/>
      <c r="V124" s="285"/>
      <c r="W124" s="285"/>
      <c r="X124" s="285"/>
      <c r="Y124" s="285"/>
      <c r="Z124" s="285"/>
      <c r="AA124" s="285"/>
      <c r="AB124" s="285"/>
      <c r="AC124" s="285"/>
      <c r="AD124" s="285"/>
      <c r="AE124" s="285"/>
      <c r="AF124" s="285"/>
      <c r="AG124" s="285"/>
      <c r="AH124" s="285"/>
      <c r="AI124" s="285"/>
      <c r="AJ124" s="285"/>
      <c r="AK124" s="285"/>
      <c r="AL124" s="285"/>
      <c r="AM124" s="285"/>
      <c r="AN124" s="285"/>
      <c r="AO124" s="285"/>
      <c r="AP124" s="285"/>
      <c r="AQ124" s="285"/>
      <c r="AR124" s="285"/>
      <c r="AS124" s="285"/>
      <c r="AT124" s="285"/>
      <c r="AU124" s="285"/>
      <c r="AV124" s="285"/>
      <c r="AW124" s="285"/>
      <c r="AX124" s="285"/>
      <c r="AY124" s="285"/>
      <c r="AZ124" s="285"/>
      <c r="BA124" s="285"/>
      <c r="BB124" s="285"/>
      <c r="BC124" s="285"/>
      <c r="BD124" s="285"/>
      <c r="BE124" s="285"/>
      <c r="BF124" s="285"/>
      <c r="BG124" s="285"/>
      <c r="BH124" s="285"/>
      <c r="BI124" s="285"/>
      <c r="BJ124" s="285"/>
      <c r="BK124" s="285"/>
      <c r="BL124" s="285"/>
      <c r="BM124" s="285"/>
      <c r="BN124" s="285"/>
      <c r="BO124" s="285"/>
      <c r="BP124" s="285"/>
      <c r="BQ124" s="285"/>
      <c r="BR124" s="285"/>
      <c r="BS124" s="285"/>
      <c r="BT124" s="285"/>
      <c r="BU124" s="285"/>
      <c r="BV124" s="285"/>
      <c r="BW124" s="285"/>
      <c r="BX124" s="285"/>
      <c r="BY124" s="285"/>
      <c r="BZ124" s="285"/>
      <c r="CA124" s="285"/>
      <c r="CB124" s="285"/>
      <c r="CC124" s="285"/>
      <c r="CD124" s="285"/>
      <c r="CE124" s="285"/>
      <c r="CF124" s="285"/>
      <c r="CG124" s="285"/>
      <c r="CH124" s="285"/>
      <c r="CI124" s="285"/>
      <c r="CJ124" s="285"/>
      <c r="CK124" s="285"/>
      <c r="CL124" s="285"/>
      <c r="CM124" s="285"/>
      <c r="CN124" s="285"/>
      <c r="CO124" s="285"/>
      <c r="CP124" s="285"/>
      <c r="CQ124" s="285"/>
      <c r="CR124" s="285"/>
    </row>
    <row r="125" spans="1:96" ht="15.6">
      <c r="A125" s="285"/>
      <c r="B125" s="285"/>
      <c r="C125" s="285"/>
      <c r="D125" s="285"/>
      <c r="E125" s="285"/>
      <c r="F125" s="285"/>
      <c r="G125" s="285"/>
      <c r="H125" s="285"/>
      <c r="I125" s="285"/>
      <c r="J125" s="285"/>
      <c r="K125" s="285"/>
      <c r="L125" s="285"/>
      <c r="M125" s="285"/>
      <c r="N125" s="285"/>
      <c r="O125" s="285"/>
      <c r="P125" s="285"/>
      <c r="Q125" s="285"/>
      <c r="R125" s="285"/>
      <c r="S125" s="285"/>
      <c r="T125" s="285"/>
      <c r="U125" s="285"/>
      <c r="V125" s="285"/>
      <c r="W125" s="285"/>
      <c r="X125" s="285"/>
      <c r="Y125" s="285"/>
      <c r="Z125" s="285"/>
      <c r="AA125" s="285"/>
      <c r="AB125" s="285"/>
      <c r="AC125" s="285"/>
      <c r="AD125" s="285"/>
      <c r="AE125" s="285"/>
      <c r="AF125" s="285"/>
      <c r="AG125" s="285"/>
      <c r="AH125" s="285"/>
      <c r="AI125" s="285"/>
      <c r="AJ125" s="285"/>
      <c r="AK125" s="285"/>
      <c r="AL125" s="285"/>
      <c r="AM125" s="285"/>
      <c r="AN125" s="285"/>
      <c r="AO125" s="285"/>
      <c r="AP125" s="285"/>
      <c r="AQ125" s="285"/>
      <c r="AR125" s="285"/>
      <c r="AS125" s="285"/>
      <c r="AT125" s="285"/>
      <c r="AU125" s="285"/>
      <c r="AV125" s="285"/>
      <c r="AW125" s="285"/>
      <c r="AX125" s="285"/>
      <c r="AY125" s="285"/>
      <c r="AZ125" s="285"/>
      <c r="BA125" s="285"/>
      <c r="BB125" s="285"/>
      <c r="BC125" s="285"/>
      <c r="BD125" s="285"/>
      <c r="BE125" s="285"/>
      <c r="BF125" s="285"/>
      <c r="BG125" s="285"/>
      <c r="BH125" s="285"/>
      <c r="BI125" s="285"/>
      <c r="BJ125" s="285"/>
      <c r="BK125" s="285"/>
      <c r="BL125" s="285"/>
      <c r="BM125" s="285"/>
      <c r="BN125" s="285"/>
      <c r="BO125" s="285"/>
      <c r="BP125" s="285"/>
      <c r="BQ125" s="285"/>
      <c r="BR125" s="285"/>
      <c r="BS125" s="285"/>
      <c r="BT125" s="285"/>
      <c r="BU125" s="285"/>
      <c r="BV125" s="285"/>
      <c r="BW125" s="285"/>
      <c r="BX125" s="285"/>
      <c r="BY125" s="285"/>
      <c r="BZ125" s="285"/>
      <c r="CA125" s="285"/>
      <c r="CB125" s="285"/>
      <c r="CC125" s="285"/>
      <c r="CD125" s="285"/>
      <c r="CE125" s="285"/>
      <c r="CF125" s="285"/>
      <c r="CG125" s="285"/>
      <c r="CH125" s="285"/>
      <c r="CI125" s="285"/>
      <c r="CJ125" s="285"/>
      <c r="CK125" s="285"/>
      <c r="CL125" s="285"/>
      <c r="CM125" s="285"/>
      <c r="CN125" s="285"/>
      <c r="CO125" s="285"/>
      <c r="CP125" s="285"/>
      <c r="CQ125" s="285"/>
      <c r="CR125" s="285"/>
    </row>
    <row r="126" spans="1:96" ht="15.6">
      <c r="A126" s="285"/>
      <c r="B126" s="285"/>
      <c r="C126" s="285"/>
      <c r="D126" s="285"/>
      <c r="E126" s="285"/>
      <c r="F126" s="285"/>
      <c r="G126" s="285"/>
      <c r="H126" s="285"/>
      <c r="I126" s="285"/>
      <c r="J126" s="285"/>
      <c r="K126" s="285"/>
      <c r="L126" s="285"/>
      <c r="M126" s="285"/>
      <c r="N126" s="285"/>
      <c r="O126" s="285"/>
      <c r="P126" s="285"/>
      <c r="Q126" s="285"/>
      <c r="R126" s="285"/>
      <c r="S126" s="285"/>
      <c r="T126" s="285"/>
      <c r="U126" s="285"/>
      <c r="V126" s="285"/>
      <c r="W126" s="285"/>
      <c r="X126" s="285"/>
      <c r="Y126" s="285"/>
      <c r="Z126" s="285"/>
      <c r="AA126" s="285"/>
      <c r="AB126" s="285"/>
      <c r="AC126" s="285"/>
      <c r="AD126" s="285"/>
      <c r="AE126" s="285"/>
      <c r="AF126" s="285"/>
      <c r="AG126" s="285"/>
      <c r="AH126" s="285"/>
      <c r="AI126" s="285"/>
      <c r="AJ126" s="285"/>
      <c r="AK126" s="285"/>
      <c r="AL126" s="285"/>
      <c r="AM126" s="285"/>
      <c r="AN126" s="285"/>
      <c r="AO126" s="285"/>
      <c r="AP126" s="285"/>
      <c r="AQ126" s="285"/>
      <c r="AR126" s="285"/>
      <c r="AS126" s="285"/>
      <c r="AT126" s="285"/>
      <c r="AU126" s="285"/>
      <c r="AV126" s="285"/>
      <c r="AW126" s="285"/>
      <c r="AX126" s="285"/>
      <c r="AY126" s="285"/>
      <c r="AZ126" s="285"/>
      <c r="BA126" s="285"/>
      <c r="BB126" s="285"/>
      <c r="BC126" s="285"/>
      <c r="BD126" s="285"/>
      <c r="BE126" s="285"/>
      <c r="BF126" s="285"/>
      <c r="BG126" s="285"/>
      <c r="BH126" s="285"/>
      <c r="BI126" s="285"/>
      <c r="BJ126" s="285"/>
      <c r="BK126" s="285"/>
      <c r="BL126" s="285"/>
      <c r="BM126" s="285"/>
      <c r="BN126" s="285"/>
      <c r="BO126" s="285"/>
      <c r="BP126" s="285"/>
      <c r="BQ126" s="285"/>
      <c r="BR126" s="285"/>
      <c r="BS126" s="285"/>
      <c r="BT126" s="285"/>
      <c r="BU126" s="285"/>
      <c r="BV126" s="285"/>
      <c r="BW126" s="285"/>
      <c r="BX126" s="285"/>
      <c r="BY126" s="285"/>
      <c r="BZ126" s="285"/>
      <c r="CA126" s="285"/>
      <c r="CB126" s="285"/>
      <c r="CC126" s="285"/>
      <c r="CD126" s="285"/>
      <c r="CE126" s="285"/>
      <c r="CF126" s="285"/>
      <c r="CG126" s="285"/>
      <c r="CH126" s="285"/>
      <c r="CI126" s="285"/>
      <c r="CJ126" s="285"/>
      <c r="CK126" s="285"/>
      <c r="CL126" s="285"/>
      <c r="CM126" s="285"/>
      <c r="CN126" s="285"/>
      <c r="CO126" s="285"/>
      <c r="CP126" s="285"/>
      <c r="CQ126" s="285"/>
      <c r="CR126" s="285"/>
    </row>
    <row r="127" spans="1:96" ht="15.6">
      <c r="A127" s="285"/>
      <c r="B127" s="285"/>
      <c r="C127" s="285"/>
      <c r="D127" s="285"/>
      <c r="E127" s="285"/>
      <c r="F127" s="285"/>
      <c r="G127" s="285"/>
      <c r="H127" s="285"/>
      <c r="I127" s="285"/>
      <c r="J127" s="285"/>
      <c r="K127" s="285"/>
      <c r="L127" s="285"/>
      <c r="M127" s="285"/>
      <c r="N127" s="285"/>
      <c r="O127" s="285"/>
      <c r="P127" s="285"/>
      <c r="Q127" s="285"/>
      <c r="R127" s="285"/>
      <c r="S127" s="285"/>
      <c r="T127" s="285"/>
      <c r="U127" s="285"/>
      <c r="V127" s="285"/>
      <c r="W127" s="285"/>
      <c r="X127" s="285"/>
      <c r="Y127" s="285"/>
      <c r="Z127" s="285"/>
      <c r="AA127" s="285"/>
      <c r="AB127" s="285"/>
      <c r="AC127" s="285"/>
      <c r="AD127" s="285"/>
      <c r="AE127" s="285"/>
      <c r="AF127" s="285"/>
      <c r="AG127" s="285"/>
      <c r="AH127" s="285"/>
      <c r="AI127" s="285"/>
      <c r="AJ127" s="285"/>
      <c r="AK127" s="285"/>
      <c r="AL127" s="285"/>
      <c r="AM127" s="285"/>
      <c r="AN127" s="285"/>
      <c r="AO127" s="285"/>
      <c r="AP127" s="285"/>
      <c r="AQ127" s="285"/>
      <c r="AR127" s="285"/>
      <c r="AS127" s="285"/>
      <c r="AT127" s="285"/>
      <c r="AU127" s="285"/>
      <c r="AV127" s="285"/>
      <c r="AW127" s="285"/>
      <c r="AX127" s="285"/>
      <c r="AY127" s="285"/>
      <c r="AZ127" s="285"/>
      <c r="BA127" s="285"/>
      <c r="BB127" s="285"/>
      <c r="BC127" s="285"/>
      <c r="BD127" s="285"/>
      <c r="BE127" s="285"/>
      <c r="BF127" s="285"/>
      <c r="BG127" s="285"/>
      <c r="BH127" s="285"/>
      <c r="BI127" s="285"/>
      <c r="BJ127" s="285"/>
      <c r="BK127" s="285"/>
      <c r="BL127" s="285"/>
      <c r="BM127" s="285"/>
      <c r="BN127" s="285"/>
      <c r="BO127" s="285"/>
      <c r="BP127" s="285"/>
      <c r="BQ127" s="285"/>
      <c r="BR127" s="285"/>
      <c r="BS127" s="285"/>
      <c r="BT127" s="285"/>
      <c r="BU127" s="285"/>
      <c r="BV127" s="285"/>
      <c r="BW127" s="285"/>
      <c r="BX127" s="285"/>
      <c r="BY127" s="285"/>
      <c r="BZ127" s="285"/>
      <c r="CA127" s="285"/>
      <c r="CB127" s="285"/>
      <c r="CC127" s="285"/>
      <c r="CD127" s="285"/>
      <c r="CE127" s="285"/>
      <c r="CF127" s="285"/>
      <c r="CG127" s="285"/>
      <c r="CH127" s="285"/>
      <c r="CI127" s="285"/>
      <c r="CJ127" s="285"/>
      <c r="CK127" s="285"/>
      <c r="CL127" s="285"/>
      <c r="CM127" s="285"/>
      <c r="CN127" s="285"/>
      <c r="CO127" s="285"/>
      <c r="CP127" s="285"/>
      <c r="CQ127" s="285"/>
      <c r="CR127" s="285"/>
    </row>
    <row r="128" spans="1:96" ht="15.6">
      <c r="A128" s="285"/>
      <c r="B128" s="285"/>
      <c r="C128" s="285"/>
      <c r="D128" s="285"/>
      <c r="E128" s="285"/>
      <c r="F128" s="285"/>
      <c r="G128" s="285"/>
      <c r="H128" s="285"/>
      <c r="I128" s="285"/>
      <c r="J128" s="285"/>
      <c r="K128" s="285"/>
      <c r="L128" s="285"/>
      <c r="M128" s="285"/>
      <c r="N128" s="285"/>
      <c r="O128" s="285"/>
      <c r="P128" s="285"/>
      <c r="Q128" s="285"/>
      <c r="R128" s="285"/>
      <c r="S128" s="285"/>
      <c r="T128" s="285"/>
      <c r="U128" s="285"/>
      <c r="V128" s="285"/>
      <c r="W128" s="285"/>
      <c r="X128" s="285"/>
      <c r="Y128" s="285"/>
      <c r="Z128" s="285"/>
      <c r="AA128" s="285"/>
      <c r="AB128" s="285"/>
      <c r="AC128" s="285"/>
      <c r="AD128" s="285"/>
      <c r="AE128" s="285"/>
      <c r="AF128" s="285"/>
      <c r="AG128" s="285"/>
      <c r="AH128" s="285"/>
      <c r="AI128" s="285"/>
      <c r="AJ128" s="285"/>
      <c r="AK128" s="285"/>
      <c r="AL128" s="285"/>
      <c r="AM128" s="285"/>
      <c r="AN128" s="285"/>
      <c r="AO128" s="285"/>
      <c r="AP128" s="285"/>
      <c r="AQ128" s="285"/>
      <c r="AR128" s="285"/>
      <c r="AS128" s="285"/>
      <c r="AT128" s="285"/>
      <c r="AU128" s="285"/>
      <c r="AV128" s="285"/>
      <c r="AW128" s="285"/>
      <c r="AX128" s="285"/>
      <c r="AY128" s="285"/>
      <c r="AZ128" s="285"/>
      <c r="BA128" s="285"/>
      <c r="BB128" s="285"/>
      <c r="BC128" s="285"/>
      <c r="BD128" s="285"/>
      <c r="BE128" s="285"/>
      <c r="BF128" s="285"/>
      <c r="BG128" s="285"/>
      <c r="BH128" s="285"/>
      <c r="BI128" s="285"/>
      <c r="BJ128" s="285"/>
      <c r="BK128" s="285"/>
      <c r="BL128" s="285"/>
      <c r="BM128" s="285"/>
      <c r="BN128" s="285"/>
      <c r="BO128" s="285"/>
      <c r="BP128" s="285"/>
      <c r="BQ128" s="285"/>
      <c r="BR128" s="285"/>
      <c r="BS128" s="285"/>
      <c r="BT128" s="285"/>
      <c r="BU128" s="285"/>
      <c r="BV128" s="285"/>
      <c r="BW128" s="285"/>
      <c r="BX128" s="285"/>
      <c r="BY128" s="285"/>
      <c r="BZ128" s="285"/>
      <c r="CA128" s="285"/>
      <c r="CB128" s="285"/>
      <c r="CC128" s="285"/>
      <c r="CD128" s="285"/>
      <c r="CE128" s="285"/>
      <c r="CF128" s="285"/>
      <c r="CG128" s="285"/>
      <c r="CH128" s="285"/>
      <c r="CI128" s="285"/>
      <c r="CJ128" s="285"/>
      <c r="CK128" s="285"/>
      <c r="CL128" s="285"/>
      <c r="CM128" s="285"/>
      <c r="CN128" s="285"/>
      <c r="CO128" s="285"/>
      <c r="CP128" s="285"/>
      <c r="CQ128" s="285"/>
      <c r="CR128" s="285"/>
    </row>
    <row r="129" spans="1:96" ht="15.6">
      <c r="A129" s="285"/>
      <c r="B129" s="285"/>
      <c r="C129" s="285"/>
      <c r="D129" s="285"/>
      <c r="E129" s="285"/>
      <c r="F129" s="285"/>
      <c r="G129" s="285"/>
      <c r="H129" s="285"/>
      <c r="I129" s="285"/>
      <c r="J129" s="285"/>
      <c r="K129" s="285"/>
      <c r="L129" s="285"/>
      <c r="M129" s="285"/>
      <c r="N129" s="285"/>
      <c r="O129" s="285"/>
      <c r="P129" s="285"/>
      <c r="Q129" s="285"/>
      <c r="R129" s="285"/>
      <c r="S129" s="285"/>
      <c r="T129" s="285"/>
      <c r="U129" s="285"/>
      <c r="V129" s="285"/>
      <c r="W129" s="285"/>
      <c r="X129" s="285"/>
      <c r="Y129" s="285"/>
      <c r="Z129" s="285"/>
      <c r="AA129" s="285"/>
      <c r="AB129" s="285"/>
      <c r="AC129" s="285"/>
      <c r="AD129" s="285"/>
      <c r="AE129" s="285"/>
      <c r="AF129" s="285"/>
      <c r="AG129" s="285"/>
      <c r="AH129" s="285"/>
      <c r="AI129" s="285"/>
      <c r="AJ129" s="285"/>
      <c r="AK129" s="285"/>
      <c r="AL129" s="285"/>
      <c r="AM129" s="285"/>
      <c r="AN129" s="285"/>
      <c r="AO129" s="285"/>
      <c r="AP129" s="285"/>
      <c r="AQ129" s="285"/>
      <c r="AR129" s="285"/>
      <c r="AS129" s="285"/>
      <c r="AT129" s="285"/>
      <c r="AU129" s="285"/>
      <c r="AV129" s="285"/>
      <c r="AW129" s="285"/>
      <c r="AX129" s="285"/>
      <c r="AY129" s="285"/>
      <c r="AZ129" s="285"/>
      <c r="BA129" s="285"/>
      <c r="BB129" s="285"/>
      <c r="BC129" s="285"/>
      <c r="BD129" s="285"/>
      <c r="BE129" s="285"/>
      <c r="BF129" s="285"/>
      <c r="BG129" s="285"/>
      <c r="BH129" s="285"/>
      <c r="BI129" s="285"/>
      <c r="BJ129" s="285"/>
      <c r="BK129" s="285"/>
      <c r="BL129" s="285"/>
      <c r="BM129" s="285"/>
      <c r="BN129" s="285"/>
      <c r="BO129" s="285"/>
      <c r="BP129" s="285"/>
      <c r="BQ129" s="285"/>
      <c r="BR129" s="285"/>
      <c r="BS129" s="285"/>
      <c r="BT129" s="285"/>
      <c r="BU129" s="285"/>
      <c r="BV129" s="285"/>
      <c r="BW129" s="285"/>
      <c r="BX129" s="285"/>
      <c r="BY129" s="285"/>
      <c r="BZ129" s="285"/>
      <c r="CA129" s="285"/>
      <c r="CB129" s="285"/>
      <c r="CC129" s="285"/>
      <c r="CD129" s="285"/>
      <c r="CE129" s="285"/>
      <c r="CF129" s="285"/>
      <c r="CG129" s="285"/>
      <c r="CH129" s="285"/>
      <c r="CI129" s="285"/>
      <c r="CJ129" s="285"/>
      <c r="CK129" s="285"/>
      <c r="CL129" s="285"/>
      <c r="CM129" s="285"/>
      <c r="CN129" s="285"/>
      <c r="CO129" s="285"/>
      <c r="CP129" s="285"/>
      <c r="CQ129" s="285"/>
      <c r="CR129" s="285"/>
    </row>
    <row r="130" spans="1:96" ht="15.6">
      <c r="A130" s="285"/>
      <c r="B130" s="285"/>
      <c r="C130" s="285"/>
      <c r="D130" s="285"/>
      <c r="E130" s="285"/>
      <c r="F130" s="285"/>
      <c r="G130" s="285"/>
      <c r="H130" s="285"/>
      <c r="I130" s="285"/>
      <c r="J130" s="285"/>
      <c r="K130" s="285"/>
      <c r="L130" s="285"/>
      <c r="M130" s="285"/>
      <c r="N130" s="285"/>
      <c r="O130" s="285"/>
      <c r="P130" s="285"/>
      <c r="Q130" s="285"/>
      <c r="R130" s="285"/>
      <c r="S130" s="285"/>
      <c r="T130" s="285"/>
      <c r="U130" s="285"/>
      <c r="V130" s="285"/>
      <c r="W130" s="285"/>
      <c r="X130" s="285"/>
      <c r="Y130" s="285"/>
      <c r="Z130" s="285"/>
      <c r="AA130" s="285"/>
      <c r="AB130" s="285"/>
      <c r="AC130" s="285"/>
      <c r="AD130" s="285"/>
      <c r="AE130" s="285"/>
      <c r="AF130" s="285"/>
      <c r="AG130" s="285"/>
      <c r="AH130" s="285"/>
      <c r="AI130" s="285"/>
      <c r="AJ130" s="285"/>
      <c r="AK130" s="285"/>
      <c r="AL130" s="285"/>
      <c r="AM130" s="285"/>
      <c r="AN130" s="285"/>
      <c r="AO130" s="285"/>
      <c r="AP130" s="285"/>
      <c r="AQ130" s="285"/>
      <c r="AR130" s="285"/>
      <c r="AS130" s="285"/>
      <c r="AT130" s="285"/>
      <c r="AU130" s="285"/>
      <c r="AV130" s="285"/>
      <c r="AW130" s="285"/>
      <c r="AX130" s="285"/>
      <c r="AY130" s="285"/>
      <c r="AZ130" s="285"/>
      <c r="BA130" s="285"/>
      <c r="BB130" s="285"/>
      <c r="BC130" s="285"/>
      <c r="BD130" s="285"/>
      <c r="BE130" s="285"/>
      <c r="BF130" s="285"/>
      <c r="BG130" s="285"/>
      <c r="BH130" s="285"/>
      <c r="BI130" s="285"/>
      <c r="BJ130" s="285"/>
      <c r="BK130" s="285"/>
      <c r="BL130" s="285"/>
      <c r="BM130" s="285"/>
      <c r="BN130" s="285"/>
      <c r="BO130" s="285"/>
      <c r="BP130" s="285"/>
      <c r="BQ130" s="285"/>
      <c r="BR130" s="285"/>
      <c r="BS130" s="285"/>
      <c r="BT130" s="285"/>
      <c r="BU130" s="285"/>
      <c r="BV130" s="285"/>
      <c r="BW130" s="285"/>
      <c r="BX130" s="285"/>
      <c r="BY130" s="285"/>
      <c r="BZ130" s="285"/>
      <c r="CA130" s="285"/>
      <c r="CB130" s="285"/>
      <c r="CC130" s="285"/>
      <c r="CD130" s="285"/>
      <c r="CE130" s="285"/>
      <c r="CF130" s="285"/>
      <c r="CG130" s="285"/>
      <c r="CH130" s="285"/>
      <c r="CI130" s="285"/>
      <c r="CJ130" s="285"/>
      <c r="CK130" s="285"/>
      <c r="CL130" s="285"/>
      <c r="CM130" s="285"/>
      <c r="CN130" s="285"/>
      <c r="CO130" s="285"/>
      <c r="CP130" s="285"/>
      <c r="CQ130" s="285"/>
      <c r="CR130" s="285"/>
    </row>
    <row r="131" spans="1:96" ht="15.6">
      <c r="A131" s="285"/>
      <c r="B131" s="285"/>
      <c r="C131" s="285"/>
      <c r="D131" s="285"/>
      <c r="E131" s="285"/>
      <c r="F131" s="285"/>
      <c r="G131" s="285"/>
      <c r="H131" s="285"/>
      <c r="I131" s="285"/>
      <c r="J131" s="285"/>
      <c r="K131" s="285"/>
      <c r="L131" s="285"/>
      <c r="M131" s="285"/>
      <c r="N131" s="285"/>
      <c r="O131" s="285"/>
      <c r="P131" s="285"/>
      <c r="Q131" s="285"/>
      <c r="R131" s="285"/>
      <c r="S131" s="285"/>
      <c r="T131" s="285"/>
      <c r="U131" s="285"/>
      <c r="V131" s="285"/>
      <c r="W131" s="285"/>
      <c r="X131" s="285"/>
      <c r="Y131" s="285"/>
      <c r="Z131" s="285"/>
      <c r="AA131" s="285"/>
      <c r="AB131" s="285"/>
      <c r="AC131" s="285"/>
      <c r="AD131" s="285"/>
      <c r="AE131" s="285"/>
      <c r="AF131" s="285"/>
      <c r="AG131" s="285"/>
      <c r="AH131" s="285"/>
      <c r="AI131" s="285"/>
      <c r="AJ131" s="285"/>
      <c r="AK131" s="285"/>
      <c r="AL131" s="285"/>
      <c r="AM131" s="285"/>
      <c r="AN131" s="285"/>
      <c r="AO131" s="285"/>
      <c r="AP131" s="285"/>
      <c r="AQ131" s="285"/>
      <c r="AR131" s="285"/>
      <c r="AS131" s="285"/>
      <c r="AT131" s="285"/>
      <c r="AU131" s="285"/>
      <c r="AV131" s="285"/>
      <c r="AW131" s="285"/>
      <c r="AX131" s="285"/>
      <c r="AY131" s="285"/>
      <c r="AZ131" s="285"/>
      <c r="BA131" s="285"/>
      <c r="BB131" s="285"/>
      <c r="BC131" s="285"/>
      <c r="BD131" s="285"/>
      <c r="BE131" s="285"/>
      <c r="BF131" s="285"/>
      <c r="BG131" s="285"/>
      <c r="BH131" s="285"/>
      <c r="BI131" s="285"/>
      <c r="BJ131" s="285"/>
      <c r="BK131" s="285"/>
      <c r="BL131" s="285"/>
      <c r="BM131" s="285"/>
      <c r="BN131" s="285"/>
      <c r="BO131" s="285"/>
      <c r="BP131" s="285"/>
      <c r="BQ131" s="285"/>
      <c r="BR131" s="285"/>
      <c r="BS131" s="285"/>
      <c r="BT131" s="285"/>
      <c r="BU131" s="285"/>
      <c r="BV131" s="285"/>
      <c r="BW131" s="285"/>
      <c r="BX131" s="285"/>
      <c r="BY131" s="285"/>
      <c r="BZ131" s="285"/>
      <c r="CA131" s="285"/>
      <c r="CB131" s="285"/>
      <c r="CC131" s="285"/>
      <c r="CD131" s="285"/>
      <c r="CE131" s="285"/>
      <c r="CF131" s="285"/>
      <c r="CG131" s="285"/>
      <c r="CH131" s="285"/>
      <c r="CI131" s="285"/>
      <c r="CJ131" s="285"/>
      <c r="CK131" s="285"/>
      <c r="CL131" s="285"/>
      <c r="CM131" s="285"/>
      <c r="CN131" s="285"/>
      <c r="CO131" s="285"/>
      <c r="CP131" s="285"/>
      <c r="CQ131" s="285"/>
      <c r="CR131" s="285"/>
    </row>
    <row r="132" spans="1:96" ht="15.6">
      <c r="A132" s="285"/>
      <c r="B132" s="285"/>
      <c r="C132" s="285"/>
      <c r="D132" s="285"/>
      <c r="E132" s="285"/>
      <c r="F132" s="285"/>
      <c r="G132" s="285"/>
      <c r="H132" s="285"/>
      <c r="I132" s="285"/>
      <c r="J132" s="285"/>
      <c r="K132" s="285"/>
      <c r="L132" s="285"/>
      <c r="M132" s="285"/>
      <c r="N132" s="285"/>
      <c r="O132" s="285"/>
      <c r="P132" s="285"/>
      <c r="Q132" s="285"/>
      <c r="R132" s="285"/>
      <c r="S132" s="285"/>
      <c r="T132" s="285"/>
      <c r="U132" s="285"/>
      <c r="V132" s="285"/>
      <c r="W132" s="285"/>
      <c r="X132" s="285"/>
      <c r="Y132" s="285"/>
      <c r="Z132" s="285"/>
      <c r="AA132" s="285"/>
      <c r="AB132" s="285"/>
      <c r="AC132" s="285"/>
      <c r="AD132" s="285"/>
      <c r="AE132" s="285"/>
      <c r="AF132" s="285"/>
      <c r="AG132" s="285"/>
      <c r="AH132" s="285"/>
      <c r="AI132" s="285"/>
      <c r="AJ132" s="285"/>
      <c r="AK132" s="285"/>
      <c r="AL132" s="285"/>
      <c r="AM132" s="285"/>
      <c r="AN132" s="285"/>
      <c r="AO132" s="285"/>
      <c r="AP132" s="285"/>
      <c r="AQ132" s="285"/>
      <c r="AR132" s="285"/>
      <c r="AS132" s="285"/>
      <c r="AT132" s="285"/>
      <c r="AU132" s="285"/>
      <c r="AV132" s="285"/>
      <c r="AW132" s="285"/>
      <c r="AX132" s="285"/>
      <c r="AY132" s="285"/>
      <c r="AZ132" s="285"/>
      <c r="BA132" s="285"/>
      <c r="BB132" s="285"/>
      <c r="BC132" s="285"/>
      <c r="BD132" s="285"/>
      <c r="BE132" s="285"/>
      <c r="BF132" s="285"/>
      <c r="BG132" s="285"/>
      <c r="BH132" s="285"/>
      <c r="BI132" s="285"/>
      <c r="BJ132" s="285"/>
      <c r="BK132" s="285"/>
      <c r="BL132" s="285"/>
      <c r="BM132" s="285"/>
      <c r="BN132" s="285"/>
      <c r="BO132" s="285"/>
      <c r="BP132" s="285"/>
      <c r="BQ132" s="285"/>
      <c r="BR132" s="285"/>
      <c r="BS132" s="285"/>
      <c r="BT132" s="285"/>
      <c r="BU132" s="285"/>
      <c r="BV132" s="285"/>
      <c r="BW132" s="285"/>
      <c r="BX132" s="285"/>
      <c r="BY132" s="285"/>
      <c r="BZ132" s="285"/>
      <c r="CA132" s="285"/>
      <c r="CB132" s="285"/>
      <c r="CC132" s="285"/>
      <c r="CD132" s="285"/>
      <c r="CE132" s="285"/>
      <c r="CF132" s="285"/>
      <c r="CG132" s="285"/>
      <c r="CH132" s="285"/>
      <c r="CI132" s="285"/>
      <c r="CJ132" s="285"/>
      <c r="CK132" s="285"/>
      <c r="CL132" s="285"/>
      <c r="CM132" s="285"/>
      <c r="CN132" s="285"/>
      <c r="CO132" s="285"/>
      <c r="CP132" s="285"/>
      <c r="CQ132" s="285"/>
      <c r="CR132" s="285"/>
    </row>
    <row r="133" spans="1:96" ht="15.6">
      <c r="A133" s="285"/>
      <c r="B133" s="285"/>
      <c r="C133" s="285"/>
      <c r="D133" s="285"/>
      <c r="E133" s="285"/>
      <c r="F133" s="285"/>
      <c r="G133" s="285"/>
      <c r="H133" s="285"/>
      <c r="I133" s="285"/>
      <c r="J133" s="285"/>
      <c r="K133" s="285"/>
      <c r="L133" s="285"/>
      <c r="M133" s="285"/>
      <c r="N133" s="285"/>
      <c r="O133" s="285"/>
      <c r="P133" s="285"/>
      <c r="Q133" s="285"/>
      <c r="R133" s="285"/>
      <c r="S133" s="285"/>
      <c r="T133" s="285"/>
      <c r="U133" s="285"/>
      <c r="V133" s="285"/>
      <c r="W133" s="285"/>
      <c r="X133" s="285"/>
      <c r="Y133" s="285"/>
      <c r="Z133" s="285"/>
      <c r="AA133" s="285"/>
      <c r="AB133" s="285"/>
      <c r="AC133" s="285"/>
      <c r="AD133" s="285"/>
      <c r="AE133" s="285"/>
      <c r="AF133" s="285"/>
      <c r="AG133" s="285"/>
      <c r="AH133" s="285"/>
      <c r="AI133" s="285"/>
      <c r="AJ133" s="285"/>
      <c r="AK133" s="285"/>
      <c r="AL133" s="285"/>
      <c r="AM133" s="285"/>
      <c r="AN133" s="285"/>
      <c r="AO133" s="285"/>
      <c r="AP133" s="285"/>
      <c r="AQ133" s="285"/>
      <c r="AR133" s="285"/>
      <c r="AS133" s="285"/>
      <c r="AT133" s="285"/>
      <c r="AU133" s="285"/>
      <c r="AV133" s="285"/>
      <c r="AW133" s="285"/>
      <c r="AX133" s="285"/>
      <c r="AY133" s="285"/>
      <c r="AZ133" s="285"/>
      <c r="BA133" s="285"/>
      <c r="BB133" s="285"/>
      <c r="BC133" s="285"/>
      <c r="BD133" s="285"/>
      <c r="BE133" s="285"/>
      <c r="BF133" s="285"/>
      <c r="BG133" s="285"/>
      <c r="BH133" s="285"/>
      <c r="BI133" s="285"/>
      <c r="BJ133" s="285"/>
      <c r="BK133" s="285"/>
      <c r="BL133" s="285"/>
      <c r="BM133" s="285"/>
      <c r="BN133" s="285"/>
      <c r="BO133" s="285"/>
      <c r="BP133" s="285"/>
      <c r="BQ133" s="285"/>
      <c r="BR133" s="285"/>
      <c r="BS133" s="285"/>
      <c r="BT133" s="285"/>
      <c r="BU133" s="285"/>
      <c r="BV133" s="285"/>
      <c r="BW133" s="285"/>
      <c r="BX133" s="285"/>
      <c r="BY133" s="285"/>
      <c r="BZ133" s="285"/>
      <c r="CA133" s="285"/>
      <c r="CB133" s="285"/>
      <c r="CC133" s="285"/>
      <c r="CD133" s="285"/>
      <c r="CE133" s="285"/>
      <c r="CF133" s="285"/>
      <c r="CG133" s="285"/>
      <c r="CH133" s="285"/>
      <c r="CI133" s="285"/>
      <c r="CJ133" s="285"/>
      <c r="CK133" s="285"/>
      <c r="CL133" s="285"/>
      <c r="CM133" s="285"/>
      <c r="CN133" s="285"/>
      <c r="CO133" s="285"/>
      <c r="CP133" s="285"/>
      <c r="CQ133" s="285"/>
      <c r="CR133" s="285"/>
    </row>
    <row r="134" spans="1:96" ht="15.6">
      <c r="A134" s="285"/>
      <c r="B134" s="285"/>
      <c r="C134" s="285"/>
      <c r="D134" s="285"/>
      <c r="E134" s="285"/>
      <c r="F134" s="285"/>
      <c r="G134" s="285"/>
      <c r="H134" s="285"/>
      <c r="I134" s="285"/>
      <c r="J134" s="285"/>
      <c r="K134" s="285"/>
      <c r="L134" s="285"/>
      <c r="M134" s="285"/>
      <c r="N134" s="285"/>
      <c r="O134" s="285"/>
      <c r="P134" s="285"/>
      <c r="Q134" s="285"/>
      <c r="R134" s="285"/>
      <c r="S134" s="285"/>
      <c r="T134" s="285"/>
      <c r="U134" s="285"/>
      <c r="V134" s="285"/>
      <c r="W134" s="285"/>
      <c r="X134" s="285"/>
      <c r="Y134" s="285"/>
      <c r="Z134" s="285"/>
      <c r="AA134" s="285"/>
      <c r="AB134" s="285"/>
      <c r="AC134" s="285"/>
      <c r="AD134" s="285"/>
      <c r="AE134" s="285"/>
      <c r="AF134" s="285"/>
      <c r="AG134" s="285"/>
      <c r="AH134" s="285"/>
      <c r="AI134" s="285"/>
      <c r="AJ134" s="285"/>
      <c r="AK134" s="285"/>
      <c r="AL134" s="285"/>
      <c r="AM134" s="285"/>
      <c r="AN134" s="285"/>
      <c r="AO134" s="285"/>
      <c r="AP134" s="285"/>
      <c r="AQ134" s="285"/>
      <c r="AR134" s="285"/>
      <c r="AS134" s="285"/>
      <c r="AT134" s="285"/>
      <c r="AU134" s="285"/>
      <c r="AV134" s="285"/>
      <c r="AW134" s="285"/>
      <c r="AX134" s="285"/>
      <c r="AY134" s="285"/>
      <c r="AZ134" s="285"/>
      <c r="BA134" s="285"/>
      <c r="BB134" s="285"/>
      <c r="BC134" s="285"/>
      <c r="BD134" s="285"/>
      <c r="BE134" s="285"/>
      <c r="BF134" s="285"/>
      <c r="BG134" s="285"/>
      <c r="BH134" s="285"/>
      <c r="BI134" s="285"/>
      <c r="BJ134" s="285"/>
      <c r="BK134" s="285"/>
      <c r="BL134" s="285"/>
      <c r="BM134" s="285"/>
      <c r="BN134" s="285"/>
      <c r="BO134" s="285"/>
      <c r="BP134" s="285"/>
      <c r="BQ134" s="285"/>
      <c r="BR134" s="285"/>
      <c r="BS134" s="285"/>
      <c r="BT134" s="285"/>
      <c r="BU134" s="285"/>
      <c r="BV134" s="285"/>
      <c r="BW134" s="285"/>
      <c r="BX134" s="285"/>
      <c r="BY134" s="285"/>
      <c r="BZ134" s="285"/>
      <c r="CA134" s="285"/>
      <c r="CB134" s="285"/>
      <c r="CC134" s="285"/>
      <c r="CD134" s="285"/>
      <c r="CE134" s="285"/>
      <c r="CF134" s="285"/>
      <c r="CG134" s="285"/>
      <c r="CH134" s="285"/>
      <c r="CI134" s="285"/>
      <c r="CJ134" s="285"/>
      <c r="CK134" s="285"/>
      <c r="CL134" s="285"/>
      <c r="CM134" s="285"/>
      <c r="CN134" s="285"/>
      <c r="CO134" s="285"/>
      <c r="CP134" s="285"/>
      <c r="CQ134" s="285"/>
      <c r="CR134" s="285"/>
    </row>
    <row r="135" spans="1:96" ht="15.6">
      <c r="A135" s="285"/>
      <c r="B135" s="285"/>
      <c r="C135" s="285"/>
      <c r="D135" s="285"/>
      <c r="E135" s="285"/>
      <c r="F135" s="285"/>
      <c r="G135" s="285"/>
      <c r="H135" s="285"/>
      <c r="I135" s="285"/>
      <c r="J135" s="285"/>
      <c r="K135" s="285"/>
      <c r="L135" s="285"/>
      <c r="M135" s="285"/>
      <c r="N135" s="285"/>
      <c r="O135" s="285"/>
      <c r="P135" s="285"/>
      <c r="Q135" s="285"/>
      <c r="R135" s="285"/>
      <c r="S135" s="285"/>
      <c r="T135" s="285"/>
      <c r="U135" s="285"/>
      <c r="V135" s="285"/>
      <c r="W135" s="285"/>
      <c r="X135" s="285"/>
      <c r="Y135" s="285"/>
      <c r="Z135" s="285"/>
      <c r="AA135" s="285"/>
      <c r="AB135" s="285"/>
      <c r="AC135" s="285"/>
      <c r="AD135" s="285"/>
      <c r="AE135" s="285"/>
      <c r="AF135" s="285"/>
      <c r="AG135" s="285"/>
      <c r="AH135" s="285"/>
      <c r="AI135" s="285"/>
      <c r="AJ135" s="285"/>
      <c r="AK135" s="285"/>
      <c r="AL135" s="285"/>
      <c r="AM135" s="285"/>
      <c r="AN135" s="285"/>
      <c r="AO135" s="285"/>
      <c r="AP135" s="285"/>
      <c r="AQ135" s="285"/>
      <c r="AR135" s="285"/>
      <c r="AS135" s="285"/>
      <c r="AT135" s="285"/>
      <c r="AU135" s="285"/>
      <c r="AV135" s="285"/>
      <c r="AW135" s="285"/>
      <c r="AX135" s="285"/>
      <c r="AY135" s="285"/>
      <c r="AZ135" s="285"/>
      <c r="BA135" s="285"/>
      <c r="BB135" s="285"/>
      <c r="BC135" s="285"/>
      <c r="BD135" s="285"/>
      <c r="BE135" s="285"/>
      <c r="BF135" s="285"/>
      <c r="BG135" s="285"/>
      <c r="BH135" s="285"/>
      <c r="BI135" s="285"/>
      <c r="BJ135" s="285"/>
      <c r="BK135" s="285"/>
      <c r="BL135" s="285"/>
      <c r="BM135" s="285"/>
      <c r="BN135" s="285"/>
      <c r="BO135" s="285"/>
      <c r="BP135" s="285"/>
      <c r="BQ135" s="285"/>
      <c r="BR135" s="285"/>
      <c r="BS135" s="285"/>
      <c r="BT135" s="285"/>
      <c r="BU135" s="285"/>
      <c r="BV135" s="285"/>
      <c r="BW135" s="285"/>
      <c r="BX135" s="285"/>
      <c r="BY135" s="285"/>
      <c r="BZ135" s="285"/>
      <c r="CA135" s="285"/>
      <c r="CB135" s="285"/>
      <c r="CC135" s="285"/>
      <c r="CD135" s="285"/>
      <c r="CE135" s="285"/>
      <c r="CF135" s="285"/>
      <c r="CG135" s="285"/>
      <c r="CH135" s="285"/>
      <c r="CI135" s="285"/>
      <c r="CJ135" s="285"/>
      <c r="CK135" s="285"/>
      <c r="CL135" s="285"/>
      <c r="CM135" s="285"/>
      <c r="CN135" s="285"/>
      <c r="CO135" s="285"/>
      <c r="CP135" s="285"/>
      <c r="CQ135" s="285"/>
      <c r="CR135" s="285"/>
    </row>
    <row r="136" spans="1:96" ht="15.6">
      <c r="A136" s="285"/>
      <c r="B136" s="285"/>
      <c r="C136" s="285"/>
      <c r="D136" s="285"/>
      <c r="E136" s="285"/>
      <c r="F136" s="285"/>
      <c r="G136" s="285"/>
      <c r="H136" s="285"/>
      <c r="I136" s="285"/>
      <c r="J136" s="285"/>
      <c r="K136" s="285"/>
      <c r="L136" s="285"/>
      <c r="M136" s="285"/>
      <c r="N136" s="285"/>
      <c r="O136" s="285"/>
      <c r="P136" s="285"/>
      <c r="Q136" s="285"/>
      <c r="R136" s="285"/>
      <c r="S136" s="285"/>
      <c r="T136" s="285"/>
      <c r="U136" s="285"/>
      <c r="V136" s="285"/>
      <c r="W136" s="285"/>
      <c r="X136" s="285"/>
      <c r="Y136" s="285"/>
      <c r="Z136" s="285"/>
      <c r="AA136" s="285"/>
      <c r="AB136" s="285"/>
      <c r="AC136" s="285"/>
      <c r="AD136" s="285"/>
      <c r="AE136" s="285"/>
      <c r="AF136" s="285"/>
      <c r="AG136" s="285"/>
      <c r="AH136" s="285"/>
      <c r="AI136" s="285"/>
      <c r="AJ136" s="285"/>
      <c r="AK136" s="285"/>
      <c r="AL136" s="285"/>
      <c r="AM136" s="285"/>
      <c r="AN136" s="285"/>
      <c r="AO136" s="285"/>
      <c r="AP136" s="285"/>
      <c r="AQ136" s="285"/>
      <c r="AR136" s="285"/>
      <c r="AS136" s="285"/>
      <c r="AT136" s="285"/>
      <c r="AU136" s="285"/>
      <c r="AV136" s="285"/>
      <c r="AW136" s="285"/>
      <c r="AX136" s="285"/>
      <c r="AY136" s="285"/>
      <c r="AZ136" s="285"/>
      <c r="BA136" s="285"/>
      <c r="BB136" s="285"/>
      <c r="BC136" s="285"/>
      <c r="BD136" s="285"/>
      <c r="BE136" s="285"/>
      <c r="BF136" s="285"/>
      <c r="BG136" s="285"/>
      <c r="BH136" s="285"/>
      <c r="BI136" s="285"/>
      <c r="BJ136" s="285"/>
      <c r="BK136" s="285"/>
      <c r="BL136" s="285"/>
      <c r="BM136" s="285"/>
      <c r="BN136" s="285"/>
      <c r="BO136" s="285"/>
      <c r="BP136" s="285"/>
      <c r="BQ136" s="285"/>
      <c r="BR136" s="285"/>
      <c r="BS136" s="285"/>
      <c r="BT136" s="285"/>
      <c r="BU136" s="285"/>
      <c r="BV136" s="285"/>
      <c r="BW136" s="285"/>
      <c r="BX136" s="285"/>
      <c r="BY136" s="285"/>
      <c r="BZ136" s="285"/>
      <c r="CA136" s="285"/>
      <c r="CB136" s="285"/>
      <c r="CC136" s="285"/>
      <c r="CD136" s="285"/>
      <c r="CE136" s="285"/>
      <c r="CF136" s="285"/>
      <c r="CG136" s="285"/>
      <c r="CH136" s="285"/>
      <c r="CI136" s="285"/>
      <c r="CJ136" s="285"/>
      <c r="CK136" s="285"/>
      <c r="CL136" s="285"/>
      <c r="CM136" s="285"/>
      <c r="CN136" s="285"/>
      <c r="CO136" s="285"/>
      <c r="CP136" s="285"/>
      <c r="CQ136" s="285"/>
      <c r="CR136" s="285"/>
    </row>
    <row r="137" spans="1:96" ht="15.6">
      <c r="A137" s="285"/>
      <c r="B137" s="285"/>
      <c r="C137" s="285"/>
      <c r="D137" s="285"/>
      <c r="E137" s="285"/>
      <c r="F137" s="285"/>
      <c r="G137" s="285"/>
      <c r="H137" s="285"/>
      <c r="I137" s="285"/>
      <c r="J137" s="285"/>
      <c r="K137" s="285"/>
      <c r="L137" s="285"/>
      <c r="M137" s="285"/>
      <c r="N137" s="285"/>
      <c r="O137" s="285"/>
      <c r="P137" s="285"/>
      <c r="Q137" s="285"/>
      <c r="R137" s="285"/>
      <c r="S137" s="285"/>
      <c r="T137" s="285"/>
      <c r="U137" s="285"/>
      <c r="V137" s="285"/>
      <c r="W137" s="285"/>
      <c r="X137" s="285"/>
      <c r="Y137" s="285"/>
      <c r="Z137" s="285"/>
      <c r="AA137" s="285"/>
      <c r="AB137" s="285"/>
      <c r="AC137" s="285"/>
      <c r="AD137" s="285"/>
      <c r="AE137" s="285"/>
      <c r="AF137" s="285"/>
      <c r="AG137" s="285"/>
      <c r="AH137" s="285"/>
      <c r="AI137" s="285"/>
      <c r="AJ137" s="285"/>
      <c r="AK137" s="285"/>
      <c r="AL137" s="285"/>
      <c r="AM137" s="285"/>
      <c r="AN137" s="285"/>
      <c r="AO137" s="285"/>
      <c r="AP137" s="285"/>
      <c r="AQ137" s="285"/>
      <c r="AR137" s="285"/>
      <c r="AS137" s="285"/>
      <c r="AT137" s="285"/>
      <c r="AU137" s="285"/>
      <c r="AV137" s="285"/>
      <c r="AW137" s="285"/>
      <c r="AX137" s="285"/>
      <c r="AY137" s="285"/>
      <c r="AZ137" s="285"/>
      <c r="BA137" s="285"/>
      <c r="BB137" s="285"/>
      <c r="BC137" s="285"/>
      <c r="BD137" s="285"/>
      <c r="BE137" s="285"/>
      <c r="BF137" s="285"/>
      <c r="BG137" s="285"/>
      <c r="BH137" s="285"/>
      <c r="BI137" s="285"/>
      <c r="BJ137" s="285"/>
      <c r="BK137" s="285"/>
      <c r="BL137" s="285"/>
      <c r="BM137" s="285"/>
      <c r="BN137" s="285"/>
      <c r="BO137" s="285"/>
      <c r="BP137" s="285"/>
      <c r="BQ137" s="285"/>
      <c r="BR137" s="285"/>
      <c r="BS137" s="285"/>
      <c r="BT137" s="285"/>
      <c r="BU137" s="285"/>
      <c r="BV137" s="285"/>
      <c r="BW137" s="285"/>
      <c r="BX137" s="285"/>
      <c r="BY137" s="285"/>
      <c r="BZ137" s="285"/>
      <c r="CA137" s="285"/>
      <c r="CB137" s="285"/>
      <c r="CC137" s="285"/>
      <c r="CD137" s="285"/>
      <c r="CE137" s="285"/>
      <c r="CF137" s="285"/>
      <c r="CG137" s="285"/>
      <c r="CH137" s="285"/>
      <c r="CI137" s="285"/>
      <c r="CJ137" s="285"/>
      <c r="CK137" s="285"/>
      <c r="CL137" s="285"/>
      <c r="CM137" s="285"/>
      <c r="CN137" s="285"/>
      <c r="CO137" s="285"/>
      <c r="CP137" s="285"/>
      <c r="CQ137" s="285"/>
      <c r="CR137" s="285"/>
    </row>
    <row r="138" spans="1:96" ht="15.6">
      <c r="A138" s="285"/>
      <c r="B138" s="285"/>
      <c r="C138" s="285"/>
      <c r="D138" s="285"/>
      <c r="E138" s="285"/>
      <c r="F138" s="285"/>
      <c r="G138" s="285"/>
      <c r="H138" s="285"/>
      <c r="I138" s="285"/>
      <c r="J138" s="285"/>
      <c r="K138" s="285"/>
      <c r="L138" s="285"/>
      <c r="M138" s="285"/>
      <c r="N138" s="285"/>
      <c r="O138" s="285"/>
      <c r="P138" s="285"/>
      <c r="Q138" s="285"/>
      <c r="R138" s="285"/>
      <c r="S138" s="285"/>
      <c r="T138" s="285"/>
      <c r="U138" s="285"/>
      <c r="V138" s="285"/>
      <c r="W138" s="285"/>
      <c r="X138" s="285"/>
      <c r="Y138" s="285"/>
      <c r="Z138" s="285"/>
      <c r="AA138" s="285"/>
      <c r="AB138" s="285"/>
      <c r="AC138" s="285"/>
      <c r="AD138" s="285"/>
      <c r="AE138" s="285"/>
      <c r="AF138" s="285"/>
      <c r="AG138" s="285"/>
      <c r="AH138" s="285"/>
      <c r="AI138" s="285"/>
      <c r="AJ138" s="285"/>
      <c r="AK138" s="285"/>
      <c r="AL138" s="285"/>
      <c r="AM138" s="285"/>
      <c r="AN138" s="285"/>
      <c r="AO138" s="285"/>
      <c r="AP138" s="285"/>
      <c r="AQ138" s="285"/>
      <c r="AR138" s="285"/>
      <c r="AS138" s="285"/>
      <c r="AT138" s="285"/>
      <c r="AU138" s="285"/>
      <c r="AV138" s="285"/>
      <c r="AW138" s="285"/>
      <c r="AX138" s="285"/>
      <c r="AY138" s="285"/>
      <c r="AZ138" s="285"/>
      <c r="BA138" s="285"/>
      <c r="BB138" s="285"/>
      <c r="BC138" s="285"/>
      <c r="BD138" s="285"/>
      <c r="BE138" s="285"/>
      <c r="BF138" s="285"/>
      <c r="BG138" s="285"/>
      <c r="BH138" s="285"/>
      <c r="BI138" s="285"/>
      <c r="BJ138" s="285"/>
      <c r="BK138" s="285"/>
      <c r="BL138" s="285"/>
      <c r="BM138" s="285"/>
      <c r="BN138" s="285"/>
      <c r="BO138" s="285"/>
      <c r="BP138" s="285"/>
      <c r="BQ138" s="285"/>
      <c r="BR138" s="285"/>
      <c r="BS138" s="285"/>
      <c r="BT138" s="285"/>
      <c r="BU138" s="285"/>
      <c r="BV138" s="285"/>
      <c r="BW138" s="285"/>
      <c r="BX138" s="285"/>
      <c r="BY138" s="285"/>
      <c r="BZ138" s="285"/>
      <c r="CA138" s="285"/>
      <c r="CB138" s="285"/>
      <c r="CC138" s="285"/>
      <c r="CD138" s="285"/>
      <c r="CE138" s="285"/>
      <c r="CF138" s="285"/>
      <c r="CG138" s="285"/>
      <c r="CH138" s="285"/>
      <c r="CI138" s="285"/>
      <c r="CJ138" s="285"/>
      <c r="CK138" s="285"/>
      <c r="CL138" s="285"/>
      <c r="CM138" s="285"/>
      <c r="CN138" s="285"/>
      <c r="CO138" s="285"/>
      <c r="CP138" s="285"/>
      <c r="CQ138" s="285"/>
      <c r="CR138" s="285"/>
    </row>
    <row r="139" spans="1:96" ht="15.6">
      <c r="A139" s="285"/>
      <c r="B139" s="285"/>
      <c r="C139" s="285"/>
      <c r="D139" s="285"/>
      <c r="E139" s="285"/>
      <c r="F139" s="285"/>
      <c r="G139" s="285"/>
      <c r="H139" s="285"/>
      <c r="I139" s="285"/>
      <c r="J139" s="285"/>
      <c r="K139" s="285"/>
      <c r="L139" s="285"/>
      <c r="M139" s="285"/>
      <c r="N139" s="285"/>
      <c r="O139" s="285"/>
      <c r="P139" s="285"/>
      <c r="Q139" s="285"/>
      <c r="R139" s="285"/>
      <c r="S139" s="285"/>
      <c r="T139" s="285"/>
      <c r="U139" s="285"/>
      <c r="V139" s="285"/>
      <c r="W139" s="285"/>
      <c r="X139" s="285"/>
      <c r="Y139" s="285"/>
      <c r="Z139" s="285"/>
      <c r="AA139" s="285"/>
      <c r="AB139" s="285"/>
      <c r="AC139" s="285"/>
      <c r="AD139" s="285"/>
      <c r="AE139" s="285"/>
      <c r="AF139" s="285"/>
      <c r="AG139" s="285"/>
      <c r="AH139" s="285"/>
      <c r="AI139" s="285"/>
      <c r="AJ139" s="285"/>
      <c r="AK139" s="285"/>
      <c r="AL139" s="285"/>
      <c r="AM139" s="285"/>
      <c r="AN139" s="285"/>
      <c r="AO139" s="285"/>
      <c r="AP139" s="285"/>
      <c r="AQ139" s="285"/>
      <c r="AR139" s="285"/>
      <c r="AS139" s="285"/>
      <c r="AT139" s="285"/>
      <c r="AU139" s="285"/>
      <c r="AV139" s="285"/>
      <c r="AW139" s="285"/>
      <c r="AX139" s="285"/>
      <c r="AY139" s="285"/>
      <c r="AZ139" s="285"/>
      <c r="BA139" s="285"/>
      <c r="BB139" s="285"/>
      <c r="BC139" s="285"/>
      <c r="BD139" s="285"/>
      <c r="BE139" s="285"/>
      <c r="BF139" s="285"/>
      <c r="BG139" s="285"/>
      <c r="BH139" s="285"/>
      <c r="BI139" s="285"/>
      <c r="BJ139" s="285"/>
      <c r="BK139" s="285"/>
      <c r="BL139" s="285"/>
      <c r="BM139" s="285"/>
      <c r="BN139" s="285"/>
      <c r="BO139" s="285"/>
      <c r="BP139" s="285"/>
      <c r="BQ139" s="285"/>
      <c r="BR139" s="285"/>
      <c r="BS139" s="285"/>
      <c r="BT139" s="285"/>
      <c r="BU139" s="285"/>
      <c r="BV139" s="285"/>
      <c r="BW139" s="285"/>
      <c r="BX139" s="285"/>
      <c r="BY139" s="285"/>
      <c r="BZ139" s="285"/>
      <c r="CA139" s="285"/>
      <c r="CB139" s="285"/>
      <c r="CC139" s="285"/>
      <c r="CD139" s="285"/>
      <c r="CE139" s="285"/>
      <c r="CF139" s="285"/>
      <c r="CG139" s="285"/>
      <c r="CH139" s="285"/>
      <c r="CI139" s="285"/>
      <c r="CJ139" s="285"/>
      <c r="CK139" s="285"/>
      <c r="CL139" s="285"/>
      <c r="CM139" s="285"/>
      <c r="CN139" s="285"/>
      <c r="CO139" s="285"/>
      <c r="CP139" s="285"/>
      <c r="CQ139" s="285"/>
      <c r="CR139" s="285"/>
    </row>
    <row r="140" spans="1:96" ht="15.6">
      <c r="A140" s="285"/>
      <c r="B140" s="285"/>
      <c r="C140" s="285"/>
      <c r="D140" s="285"/>
      <c r="E140" s="285"/>
      <c r="F140" s="285"/>
      <c r="G140" s="285"/>
      <c r="H140" s="285"/>
      <c r="I140" s="285"/>
      <c r="J140" s="285"/>
      <c r="K140" s="285"/>
      <c r="L140" s="285"/>
      <c r="M140" s="285"/>
      <c r="N140" s="285"/>
      <c r="O140" s="285"/>
      <c r="P140" s="285"/>
      <c r="Q140" s="285"/>
      <c r="R140" s="285"/>
      <c r="S140" s="285"/>
      <c r="T140" s="285"/>
      <c r="U140" s="285"/>
      <c r="V140" s="285"/>
      <c r="W140" s="285"/>
      <c r="X140" s="285"/>
      <c r="Y140" s="285"/>
      <c r="Z140" s="285"/>
      <c r="AA140" s="285"/>
      <c r="AB140" s="285"/>
      <c r="AC140" s="285"/>
      <c r="AD140" s="285"/>
      <c r="AE140" s="285"/>
      <c r="AF140" s="285"/>
      <c r="AG140" s="285"/>
      <c r="AH140" s="285"/>
      <c r="AI140" s="285"/>
      <c r="AJ140" s="285"/>
      <c r="AK140" s="285"/>
      <c r="AL140" s="285"/>
      <c r="AM140" s="285"/>
      <c r="AN140" s="285"/>
      <c r="AO140" s="285"/>
      <c r="AP140" s="285"/>
      <c r="AQ140" s="285"/>
      <c r="AR140" s="285"/>
      <c r="AS140" s="285"/>
      <c r="AT140" s="285"/>
      <c r="AU140" s="285"/>
      <c r="AV140" s="285"/>
      <c r="AW140" s="285"/>
      <c r="AX140" s="285"/>
      <c r="AY140" s="285"/>
      <c r="AZ140" s="285"/>
      <c r="BA140" s="285"/>
      <c r="BB140" s="285"/>
      <c r="BC140" s="285"/>
      <c r="BD140" s="285"/>
      <c r="BE140" s="285"/>
      <c r="BF140" s="285"/>
      <c r="BG140" s="285"/>
      <c r="BH140" s="285"/>
      <c r="BI140" s="285"/>
      <c r="BJ140" s="285"/>
      <c r="BK140" s="285"/>
      <c r="BL140" s="285"/>
      <c r="BM140" s="285"/>
      <c r="BN140" s="285"/>
      <c r="BO140" s="285"/>
      <c r="BP140" s="285"/>
      <c r="BQ140" s="285"/>
      <c r="BR140" s="285"/>
      <c r="BS140" s="285"/>
      <c r="BT140" s="285"/>
      <c r="BU140" s="285"/>
      <c r="BV140" s="285"/>
      <c r="BW140" s="285"/>
      <c r="BX140" s="285"/>
      <c r="BY140" s="285"/>
      <c r="BZ140" s="285"/>
      <c r="CA140" s="285"/>
      <c r="CB140" s="285"/>
      <c r="CC140" s="285"/>
      <c r="CD140" s="285"/>
      <c r="CE140" s="285"/>
      <c r="CF140" s="285"/>
      <c r="CG140" s="285"/>
      <c r="CH140" s="285"/>
      <c r="CI140" s="285"/>
      <c r="CJ140" s="285"/>
      <c r="CK140" s="285"/>
      <c r="CL140" s="285"/>
      <c r="CM140" s="285"/>
      <c r="CN140" s="285"/>
      <c r="CO140" s="285"/>
      <c r="CP140" s="285"/>
      <c r="CQ140" s="285"/>
      <c r="CR140" s="285"/>
    </row>
    <row r="141" spans="1:96" ht="15.6">
      <c r="A141" s="285"/>
      <c r="B141" s="285"/>
      <c r="C141" s="285"/>
      <c r="D141" s="285"/>
      <c r="E141" s="285"/>
      <c r="F141" s="285"/>
      <c r="G141" s="285"/>
      <c r="H141" s="285"/>
      <c r="I141" s="285"/>
      <c r="J141" s="285"/>
      <c r="K141" s="285"/>
      <c r="L141" s="285"/>
      <c r="M141" s="285"/>
      <c r="N141" s="285"/>
      <c r="O141" s="285"/>
      <c r="P141" s="285"/>
      <c r="Q141" s="285"/>
      <c r="R141" s="285"/>
      <c r="S141" s="285"/>
      <c r="T141" s="285"/>
      <c r="U141" s="285"/>
      <c r="V141" s="285"/>
      <c r="W141" s="285"/>
      <c r="X141" s="285"/>
      <c r="Y141" s="285"/>
      <c r="Z141" s="285"/>
      <c r="AA141" s="285"/>
      <c r="AB141" s="285"/>
      <c r="AC141" s="285"/>
      <c r="AD141" s="285"/>
      <c r="AE141" s="285"/>
      <c r="AF141" s="285"/>
      <c r="AG141" s="285"/>
      <c r="AH141" s="285"/>
      <c r="AI141" s="285"/>
      <c r="AJ141" s="285"/>
      <c r="AK141" s="285"/>
      <c r="AL141" s="285"/>
      <c r="AM141" s="285"/>
      <c r="AN141" s="285"/>
      <c r="AO141" s="285"/>
      <c r="AP141" s="285"/>
      <c r="AQ141" s="285"/>
      <c r="AR141" s="285"/>
      <c r="AS141" s="285"/>
      <c r="AT141" s="285"/>
      <c r="AU141" s="285"/>
      <c r="AV141" s="285"/>
      <c r="AW141" s="285"/>
      <c r="AX141" s="285"/>
      <c r="AY141" s="285"/>
      <c r="AZ141" s="285"/>
      <c r="BA141" s="285"/>
      <c r="BB141" s="285"/>
      <c r="BC141" s="285"/>
      <c r="BD141" s="285"/>
      <c r="BE141" s="285"/>
      <c r="BF141" s="285"/>
      <c r="BG141" s="285"/>
      <c r="BH141" s="285"/>
      <c r="BI141" s="285"/>
      <c r="BJ141" s="285"/>
      <c r="BK141" s="285"/>
      <c r="BL141" s="285"/>
      <c r="BM141" s="285"/>
      <c r="BN141" s="285"/>
      <c r="BO141" s="285"/>
      <c r="BP141" s="285"/>
      <c r="BQ141" s="285"/>
      <c r="BR141" s="285"/>
      <c r="BS141" s="285"/>
      <c r="BT141" s="285"/>
      <c r="BU141" s="285"/>
      <c r="BV141" s="285"/>
      <c r="BW141" s="285"/>
      <c r="BX141" s="285"/>
      <c r="BY141" s="285"/>
      <c r="BZ141" s="285"/>
      <c r="CA141" s="285"/>
      <c r="CB141" s="285"/>
      <c r="CC141" s="285"/>
      <c r="CD141" s="285"/>
      <c r="CE141" s="285"/>
      <c r="CF141" s="285"/>
      <c r="CG141" s="285"/>
      <c r="CH141" s="285"/>
      <c r="CI141" s="285"/>
      <c r="CJ141" s="285"/>
      <c r="CK141" s="285"/>
      <c r="CL141" s="285"/>
      <c r="CM141" s="285"/>
      <c r="CN141" s="285"/>
      <c r="CO141" s="285"/>
      <c r="CP141" s="285"/>
      <c r="CQ141" s="285"/>
      <c r="CR141" s="285"/>
    </row>
    <row r="142" spans="1:96" ht="15.6">
      <c r="A142" s="285"/>
      <c r="B142" s="285"/>
      <c r="C142" s="285"/>
      <c r="D142" s="285"/>
      <c r="E142" s="285"/>
      <c r="F142" s="285"/>
      <c r="G142" s="285"/>
      <c r="H142" s="285"/>
      <c r="I142" s="285"/>
      <c r="J142" s="285"/>
      <c r="K142" s="285"/>
      <c r="L142" s="285"/>
      <c r="M142" s="285"/>
      <c r="N142" s="285"/>
      <c r="O142" s="285"/>
      <c r="P142" s="285"/>
      <c r="Q142" s="285"/>
      <c r="R142" s="285"/>
      <c r="S142" s="285"/>
      <c r="T142" s="285"/>
      <c r="U142" s="285"/>
      <c r="V142" s="285"/>
      <c r="W142" s="285"/>
      <c r="X142" s="285"/>
      <c r="Y142" s="285"/>
      <c r="Z142" s="285"/>
      <c r="AA142" s="285"/>
      <c r="AB142" s="285"/>
      <c r="AC142" s="285"/>
      <c r="AD142" s="285"/>
      <c r="AE142" s="285"/>
      <c r="AF142" s="285"/>
      <c r="AG142" s="285"/>
      <c r="AH142" s="285"/>
      <c r="AI142" s="285"/>
      <c r="AJ142" s="285"/>
      <c r="AK142" s="285"/>
      <c r="AL142" s="285"/>
      <c r="AM142" s="285"/>
      <c r="AN142" s="285"/>
      <c r="AO142" s="285"/>
      <c r="AP142" s="285"/>
      <c r="AQ142" s="285"/>
      <c r="AR142" s="285"/>
      <c r="AS142" s="285"/>
      <c r="AT142" s="285"/>
      <c r="AU142" s="285"/>
      <c r="AV142" s="285"/>
      <c r="AW142" s="285"/>
      <c r="AX142" s="285"/>
      <c r="AY142" s="285"/>
      <c r="AZ142" s="285"/>
      <c r="BA142" s="285"/>
      <c r="BB142" s="285"/>
      <c r="BC142" s="285"/>
      <c r="BD142" s="285"/>
      <c r="BE142" s="285"/>
      <c r="BF142" s="285"/>
      <c r="BG142" s="285"/>
      <c r="BH142" s="285"/>
      <c r="BI142" s="285"/>
      <c r="BJ142" s="285"/>
      <c r="BK142" s="285"/>
      <c r="BL142" s="285"/>
      <c r="BM142" s="285"/>
      <c r="BN142" s="285"/>
      <c r="BO142" s="285"/>
      <c r="BP142" s="285"/>
      <c r="BQ142" s="285"/>
      <c r="BR142" s="285"/>
      <c r="BS142" s="285"/>
      <c r="BT142" s="285"/>
      <c r="BU142" s="285"/>
      <c r="BV142" s="285"/>
      <c r="BW142" s="285"/>
      <c r="BX142" s="285"/>
      <c r="BY142" s="285"/>
      <c r="BZ142" s="285"/>
      <c r="CA142" s="285"/>
      <c r="CB142" s="285"/>
      <c r="CC142" s="285"/>
      <c r="CD142" s="285"/>
      <c r="CE142" s="285"/>
      <c r="CF142" s="285"/>
      <c r="CG142" s="285"/>
      <c r="CH142" s="285"/>
      <c r="CI142" s="285"/>
      <c r="CJ142" s="285"/>
      <c r="CK142" s="285"/>
      <c r="CL142" s="285"/>
      <c r="CM142" s="285"/>
      <c r="CN142" s="285"/>
      <c r="CO142" s="285"/>
      <c r="CP142" s="285"/>
      <c r="CQ142" s="285"/>
      <c r="CR142" s="285"/>
    </row>
    <row r="143" spans="1:96" ht="15.6">
      <c r="A143" s="285"/>
      <c r="B143" s="285"/>
      <c r="C143" s="285"/>
      <c r="D143" s="285"/>
      <c r="E143" s="285"/>
      <c r="F143" s="285"/>
      <c r="G143" s="285"/>
      <c r="H143" s="285"/>
      <c r="I143" s="285"/>
      <c r="J143" s="285"/>
      <c r="K143" s="285"/>
      <c r="L143" s="285"/>
      <c r="M143" s="285"/>
      <c r="N143" s="285"/>
      <c r="O143" s="285"/>
      <c r="P143" s="285"/>
      <c r="Q143" s="285"/>
      <c r="R143" s="285"/>
      <c r="S143" s="285"/>
      <c r="T143" s="285"/>
      <c r="U143" s="285"/>
      <c r="V143" s="285"/>
      <c r="W143" s="285"/>
      <c r="X143" s="285"/>
      <c r="Y143" s="285"/>
      <c r="Z143" s="285"/>
      <c r="AA143" s="285"/>
      <c r="AB143" s="285"/>
      <c r="AC143" s="285"/>
      <c r="AD143" s="285"/>
      <c r="AE143" s="285"/>
      <c r="AF143" s="285"/>
      <c r="AG143" s="285"/>
      <c r="AH143" s="285"/>
      <c r="AI143" s="285"/>
      <c r="AJ143" s="285"/>
      <c r="AK143" s="285"/>
      <c r="AL143" s="285"/>
      <c r="AM143" s="285"/>
      <c r="AN143" s="285"/>
      <c r="AO143" s="285"/>
      <c r="AP143" s="285"/>
      <c r="AQ143" s="285"/>
      <c r="AR143" s="285"/>
      <c r="AS143" s="285"/>
      <c r="AT143" s="285"/>
      <c r="AU143" s="285"/>
      <c r="AV143" s="285"/>
      <c r="AW143" s="285"/>
      <c r="AX143" s="285"/>
      <c r="AY143" s="285"/>
      <c r="AZ143" s="285"/>
      <c r="BA143" s="285"/>
      <c r="BB143" s="285"/>
      <c r="BC143" s="285"/>
      <c r="BD143" s="285"/>
      <c r="BE143" s="285"/>
      <c r="BF143" s="285"/>
      <c r="BG143" s="285"/>
      <c r="BH143" s="285"/>
      <c r="BI143" s="285"/>
      <c r="BJ143" s="285"/>
      <c r="BK143" s="285"/>
      <c r="BL143" s="285"/>
      <c r="BM143" s="285"/>
      <c r="BN143" s="285"/>
      <c r="BO143" s="285"/>
      <c r="BP143" s="285"/>
      <c r="BQ143" s="285"/>
      <c r="BR143" s="285"/>
      <c r="BS143" s="285"/>
      <c r="BT143" s="285"/>
      <c r="BU143" s="285"/>
      <c r="BV143" s="285"/>
      <c r="BW143" s="285"/>
      <c r="BX143" s="285"/>
      <c r="BY143" s="285"/>
      <c r="BZ143" s="285"/>
      <c r="CA143" s="285"/>
      <c r="CB143" s="285"/>
      <c r="CC143" s="285"/>
      <c r="CD143" s="285"/>
      <c r="CE143" s="285"/>
      <c r="CF143" s="285"/>
      <c r="CG143" s="285"/>
      <c r="CH143" s="285"/>
      <c r="CI143" s="285"/>
      <c r="CJ143" s="285"/>
      <c r="CK143" s="285"/>
      <c r="CL143" s="285"/>
      <c r="CM143" s="285"/>
      <c r="CN143" s="285"/>
      <c r="CO143" s="285"/>
      <c r="CP143" s="285"/>
      <c r="CQ143" s="285"/>
      <c r="CR143" s="285"/>
    </row>
    <row r="144" spans="1:96" ht="15.6">
      <c r="A144" s="285"/>
      <c r="B144" s="285"/>
      <c r="C144" s="285"/>
      <c r="D144" s="285"/>
      <c r="E144" s="285"/>
      <c r="F144" s="285"/>
      <c r="G144" s="285"/>
      <c r="H144" s="285"/>
      <c r="I144" s="285"/>
      <c r="J144" s="285"/>
      <c r="K144" s="285"/>
      <c r="L144" s="285"/>
      <c r="M144" s="285"/>
      <c r="N144" s="285"/>
      <c r="O144" s="285"/>
      <c r="P144" s="285"/>
      <c r="Q144" s="285"/>
      <c r="R144" s="285"/>
      <c r="S144" s="285"/>
      <c r="T144" s="285"/>
      <c r="U144" s="285"/>
      <c r="V144" s="285"/>
      <c r="W144" s="285"/>
      <c r="X144" s="285"/>
      <c r="Y144" s="285"/>
      <c r="Z144" s="285"/>
      <c r="AA144" s="285"/>
      <c r="AB144" s="285"/>
      <c r="AC144" s="285"/>
      <c r="AD144" s="285"/>
      <c r="AE144" s="285"/>
      <c r="AF144" s="285"/>
      <c r="AG144" s="285"/>
      <c r="AH144" s="285"/>
      <c r="AI144" s="285"/>
      <c r="AJ144" s="285"/>
      <c r="AK144" s="285"/>
      <c r="AL144" s="285"/>
      <c r="AM144" s="285"/>
      <c r="AN144" s="285"/>
      <c r="AO144" s="285"/>
      <c r="AP144" s="285"/>
      <c r="AQ144" s="285"/>
      <c r="AR144" s="285"/>
      <c r="AS144" s="285"/>
      <c r="AT144" s="285"/>
      <c r="AU144" s="285"/>
      <c r="AV144" s="285"/>
      <c r="AW144" s="285"/>
      <c r="AX144" s="285"/>
      <c r="AY144" s="285"/>
      <c r="AZ144" s="285"/>
      <c r="BA144" s="285"/>
      <c r="BB144" s="285"/>
      <c r="BC144" s="285"/>
      <c r="BD144" s="285"/>
      <c r="BE144" s="285"/>
      <c r="BF144" s="285"/>
      <c r="BG144" s="285"/>
      <c r="BH144" s="285"/>
      <c r="BI144" s="285"/>
      <c r="BJ144" s="285"/>
      <c r="BK144" s="285"/>
      <c r="BL144" s="285"/>
      <c r="BM144" s="285"/>
      <c r="BN144" s="285"/>
      <c r="BO144" s="285"/>
      <c r="BP144" s="285"/>
      <c r="BQ144" s="285"/>
      <c r="BR144" s="285"/>
      <c r="BS144" s="285"/>
      <c r="BT144" s="285"/>
      <c r="BU144" s="285"/>
      <c r="BV144" s="285"/>
      <c r="BW144" s="285"/>
      <c r="BX144" s="285"/>
      <c r="BY144" s="285"/>
      <c r="BZ144" s="285"/>
      <c r="CA144" s="285"/>
      <c r="CB144" s="285"/>
      <c r="CC144" s="285"/>
      <c r="CD144" s="285"/>
      <c r="CE144" s="285"/>
      <c r="CF144" s="285"/>
      <c r="CG144" s="285"/>
      <c r="CH144" s="285"/>
      <c r="CI144" s="285"/>
      <c r="CJ144" s="285"/>
      <c r="CK144" s="285"/>
      <c r="CL144" s="285"/>
      <c r="CM144" s="285"/>
      <c r="CN144" s="285"/>
      <c r="CO144" s="285"/>
      <c r="CP144" s="285"/>
      <c r="CQ144" s="285"/>
      <c r="CR144" s="285"/>
    </row>
    <row r="145" spans="1:96" ht="15.6">
      <c r="A145" s="285"/>
      <c r="B145" s="285"/>
      <c r="C145" s="285"/>
      <c r="D145" s="285"/>
      <c r="E145" s="285"/>
      <c r="F145" s="285"/>
      <c r="G145" s="285"/>
      <c r="H145" s="285"/>
      <c r="I145" s="285"/>
      <c r="J145" s="285"/>
      <c r="K145" s="285"/>
      <c r="L145" s="285"/>
      <c r="M145" s="285"/>
      <c r="N145" s="285"/>
      <c r="O145" s="285"/>
      <c r="P145" s="285"/>
      <c r="Q145" s="285"/>
      <c r="R145" s="285"/>
      <c r="S145" s="285"/>
      <c r="T145" s="285"/>
      <c r="U145" s="285"/>
      <c r="V145" s="285"/>
      <c r="W145" s="285"/>
      <c r="X145" s="285"/>
      <c r="Y145" s="285"/>
      <c r="Z145" s="285"/>
      <c r="AA145" s="285"/>
      <c r="AB145" s="285"/>
      <c r="AC145" s="285"/>
      <c r="AD145" s="285"/>
      <c r="AE145" s="285"/>
      <c r="AF145" s="285"/>
      <c r="AG145" s="285"/>
      <c r="AH145" s="285"/>
      <c r="AI145" s="285"/>
      <c r="AJ145" s="285"/>
      <c r="AK145" s="285"/>
      <c r="AL145" s="285"/>
      <c r="AM145" s="285"/>
      <c r="AN145" s="285"/>
      <c r="AO145" s="285"/>
      <c r="AP145" s="285"/>
      <c r="AQ145" s="285"/>
      <c r="AR145" s="285"/>
      <c r="AS145" s="285"/>
      <c r="AT145" s="285"/>
      <c r="AU145" s="285"/>
      <c r="AV145" s="285"/>
      <c r="AW145" s="285"/>
      <c r="AX145" s="285"/>
      <c r="AY145" s="285"/>
      <c r="AZ145" s="285"/>
      <c r="BA145" s="285"/>
      <c r="BB145" s="285"/>
      <c r="BC145" s="285"/>
      <c r="BD145" s="285"/>
      <c r="BE145" s="285"/>
      <c r="BF145" s="285"/>
      <c r="BG145" s="285"/>
      <c r="BH145" s="285"/>
      <c r="BI145" s="285"/>
      <c r="BJ145" s="285"/>
      <c r="BK145" s="285"/>
      <c r="BL145" s="285"/>
      <c r="BM145" s="285"/>
      <c r="BN145" s="285"/>
      <c r="BO145" s="285"/>
      <c r="BP145" s="285"/>
      <c r="BQ145" s="285"/>
      <c r="BR145" s="285"/>
      <c r="BS145" s="285"/>
      <c r="BT145" s="285"/>
      <c r="BU145" s="285"/>
      <c r="BV145" s="285"/>
      <c r="BW145" s="285"/>
      <c r="BX145" s="285"/>
      <c r="BY145" s="285"/>
      <c r="BZ145" s="285"/>
      <c r="CA145" s="285"/>
      <c r="CB145" s="285"/>
      <c r="CC145" s="285"/>
      <c r="CD145" s="285"/>
      <c r="CE145" s="285"/>
      <c r="CF145" s="285"/>
      <c r="CG145" s="285"/>
      <c r="CH145" s="285"/>
      <c r="CI145" s="285"/>
      <c r="CJ145" s="285"/>
      <c r="CK145" s="285"/>
      <c r="CL145" s="285"/>
      <c r="CM145" s="285"/>
      <c r="CN145" s="285"/>
      <c r="CO145" s="285"/>
      <c r="CP145" s="285"/>
      <c r="CQ145" s="285"/>
      <c r="CR145" s="285"/>
    </row>
    <row r="146" spans="1:96" ht="15.6">
      <c r="A146" s="285"/>
      <c r="B146" s="285"/>
      <c r="C146" s="285"/>
      <c r="D146" s="285"/>
      <c r="E146" s="285"/>
      <c r="F146" s="285"/>
      <c r="G146" s="285"/>
      <c r="H146" s="285"/>
      <c r="I146" s="285"/>
      <c r="J146" s="285"/>
      <c r="K146" s="285"/>
      <c r="L146" s="285"/>
      <c r="M146" s="285"/>
      <c r="N146" s="285"/>
      <c r="O146" s="285"/>
      <c r="P146" s="285"/>
      <c r="Q146" s="285"/>
      <c r="R146" s="285"/>
      <c r="S146" s="285"/>
      <c r="T146" s="285"/>
      <c r="U146" s="285"/>
      <c r="V146" s="285"/>
      <c r="W146" s="285"/>
      <c r="X146" s="285"/>
      <c r="Y146" s="285"/>
      <c r="Z146" s="285"/>
      <c r="AA146" s="285"/>
      <c r="AB146" s="285"/>
      <c r="AC146" s="285"/>
      <c r="AD146" s="285"/>
      <c r="AE146" s="285"/>
      <c r="AF146" s="285"/>
      <c r="AG146" s="285"/>
      <c r="AH146" s="285"/>
      <c r="AI146" s="285"/>
      <c r="AJ146" s="285"/>
      <c r="AK146" s="285"/>
      <c r="AL146" s="285"/>
      <c r="AM146" s="285"/>
      <c r="AN146" s="285"/>
      <c r="AO146" s="285"/>
      <c r="AP146" s="285"/>
      <c r="AQ146" s="285"/>
      <c r="AR146" s="285"/>
      <c r="AS146" s="285"/>
      <c r="AT146" s="285"/>
      <c r="AU146" s="285"/>
      <c r="AV146" s="285"/>
      <c r="AW146" s="285"/>
      <c r="AX146" s="285"/>
      <c r="AY146" s="285"/>
      <c r="AZ146" s="285"/>
      <c r="BA146" s="285"/>
      <c r="BB146" s="285"/>
      <c r="BC146" s="285"/>
      <c r="BD146" s="285"/>
      <c r="BE146" s="285"/>
      <c r="BF146" s="285"/>
      <c r="BG146" s="285"/>
      <c r="BH146" s="285"/>
      <c r="BI146" s="285"/>
      <c r="BJ146" s="285"/>
      <c r="BK146" s="285"/>
      <c r="BL146" s="285"/>
      <c r="BM146" s="285"/>
      <c r="BN146" s="285"/>
      <c r="BO146" s="285"/>
      <c r="BP146" s="285"/>
      <c r="BQ146" s="285"/>
      <c r="BR146" s="285"/>
      <c r="BS146" s="285"/>
      <c r="BT146" s="285"/>
      <c r="BU146" s="285"/>
      <c r="BV146" s="285"/>
      <c r="BW146" s="285"/>
      <c r="BX146" s="285"/>
      <c r="BY146" s="285"/>
      <c r="BZ146" s="285"/>
      <c r="CA146" s="285"/>
      <c r="CB146" s="285"/>
      <c r="CC146" s="285"/>
      <c r="CD146" s="285"/>
      <c r="CE146" s="285"/>
      <c r="CF146" s="285"/>
      <c r="CG146" s="285"/>
      <c r="CH146" s="285"/>
      <c r="CI146" s="285"/>
      <c r="CJ146" s="285"/>
      <c r="CK146" s="285"/>
      <c r="CL146" s="285"/>
      <c r="CM146" s="285"/>
      <c r="CN146" s="285"/>
      <c r="CO146" s="285"/>
      <c r="CP146" s="285"/>
      <c r="CQ146" s="285"/>
      <c r="CR146" s="285"/>
    </row>
    <row r="147" spans="1:96" ht="15.6">
      <c r="A147" s="285"/>
      <c r="B147" s="285"/>
      <c r="C147" s="285"/>
      <c r="D147" s="285"/>
      <c r="E147" s="285"/>
      <c r="F147" s="285"/>
      <c r="G147" s="285"/>
      <c r="H147" s="285"/>
      <c r="I147" s="285"/>
      <c r="J147" s="285"/>
      <c r="K147" s="285"/>
      <c r="L147" s="285"/>
      <c r="M147" s="285"/>
      <c r="N147" s="285"/>
      <c r="O147" s="285"/>
      <c r="P147" s="285"/>
      <c r="Q147" s="285"/>
      <c r="R147" s="285"/>
      <c r="S147" s="285"/>
      <c r="T147" s="285"/>
      <c r="U147" s="285"/>
      <c r="V147" s="285"/>
      <c r="W147" s="285"/>
      <c r="X147" s="285"/>
      <c r="Y147" s="285"/>
      <c r="Z147" s="285"/>
      <c r="AA147" s="285"/>
      <c r="AB147" s="285"/>
      <c r="AC147" s="285"/>
      <c r="AD147" s="285"/>
      <c r="AE147" s="285"/>
      <c r="AF147" s="285"/>
      <c r="AG147" s="285"/>
      <c r="AH147" s="285"/>
      <c r="AI147" s="285"/>
      <c r="AJ147" s="285"/>
      <c r="AK147" s="285"/>
      <c r="AL147" s="285"/>
      <c r="AM147" s="285"/>
      <c r="AN147" s="285"/>
      <c r="AO147" s="285"/>
      <c r="AP147" s="285"/>
      <c r="AQ147" s="285"/>
      <c r="AR147" s="285"/>
      <c r="AS147" s="285"/>
      <c r="AT147" s="285"/>
      <c r="AU147" s="285"/>
      <c r="AV147" s="285"/>
      <c r="AW147" s="285"/>
      <c r="AX147" s="285"/>
      <c r="AY147" s="285"/>
      <c r="AZ147" s="285"/>
      <c r="BA147" s="285"/>
      <c r="BB147" s="285"/>
      <c r="BC147" s="285"/>
      <c r="BD147" s="285"/>
      <c r="BE147" s="285"/>
      <c r="BF147" s="285"/>
      <c r="BG147" s="285"/>
      <c r="BH147" s="285"/>
      <c r="BI147" s="285"/>
      <c r="BJ147" s="285"/>
      <c r="BK147" s="285"/>
      <c r="BL147" s="285"/>
      <c r="BM147" s="285"/>
      <c r="BN147" s="285"/>
      <c r="BO147" s="285"/>
      <c r="BP147" s="285"/>
      <c r="BQ147" s="285"/>
      <c r="BR147" s="285"/>
      <c r="BS147" s="285"/>
      <c r="BT147" s="285"/>
      <c r="BU147" s="285"/>
      <c r="BV147" s="285"/>
      <c r="BW147" s="285"/>
      <c r="BX147" s="285"/>
      <c r="BY147" s="285"/>
      <c r="BZ147" s="285"/>
      <c r="CA147" s="285"/>
      <c r="CB147" s="285"/>
      <c r="CC147" s="285"/>
      <c r="CD147" s="285"/>
      <c r="CE147" s="285"/>
      <c r="CF147" s="285"/>
      <c r="CG147" s="285"/>
      <c r="CH147" s="285"/>
      <c r="CI147" s="285"/>
      <c r="CJ147" s="285"/>
      <c r="CK147" s="285"/>
      <c r="CL147" s="285"/>
      <c r="CM147" s="285"/>
      <c r="CN147" s="285"/>
      <c r="CO147" s="285"/>
      <c r="CP147" s="285"/>
      <c r="CQ147" s="285"/>
      <c r="CR147" s="285"/>
    </row>
    <row r="148" spans="1:96" ht="15.6">
      <c r="A148" s="285"/>
      <c r="B148" s="285"/>
      <c r="C148" s="285"/>
      <c r="D148" s="285"/>
      <c r="E148" s="285"/>
      <c r="F148" s="285"/>
      <c r="G148" s="285"/>
      <c r="H148" s="285"/>
      <c r="I148" s="285"/>
      <c r="J148" s="285"/>
      <c r="K148" s="285"/>
      <c r="L148" s="285"/>
      <c r="M148" s="285"/>
      <c r="N148" s="285"/>
      <c r="O148" s="285"/>
      <c r="P148" s="285"/>
      <c r="Q148" s="285"/>
      <c r="R148" s="285"/>
      <c r="S148" s="285"/>
      <c r="T148" s="285"/>
      <c r="U148" s="285"/>
      <c r="V148" s="285"/>
      <c r="W148" s="285"/>
      <c r="X148" s="285"/>
      <c r="Y148" s="285"/>
      <c r="Z148" s="285"/>
      <c r="AA148" s="285"/>
      <c r="AB148" s="285"/>
      <c r="AC148" s="285"/>
      <c r="AD148" s="285"/>
      <c r="AE148" s="285"/>
      <c r="AF148" s="285"/>
      <c r="AG148" s="285"/>
      <c r="AH148" s="285"/>
      <c r="AI148" s="285"/>
      <c r="AJ148" s="285"/>
      <c r="AK148" s="285"/>
      <c r="AL148" s="285"/>
      <c r="AM148" s="285"/>
      <c r="AN148" s="285"/>
      <c r="AO148" s="285"/>
      <c r="AP148" s="285"/>
      <c r="AQ148" s="285"/>
      <c r="AR148" s="285"/>
      <c r="AS148" s="285"/>
      <c r="AT148" s="285"/>
      <c r="AU148" s="285"/>
      <c r="AV148" s="285"/>
      <c r="AW148" s="285"/>
      <c r="AX148" s="285"/>
      <c r="AY148" s="285"/>
      <c r="AZ148" s="285"/>
      <c r="BA148" s="285"/>
      <c r="BB148" s="285"/>
      <c r="BC148" s="285"/>
      <c r="BD148" s="285"/>
      <c r="BE148" s="285"/>
      <c r="BF148" s="285"/>
      <c r="BG148" s="285"/>
      <c r="BH148" s="285"/>
      <c r="BI148" s="285"/>
      <c r="BJ148" s="285"/>
      <c r="BK148" s="285"/>
      <c r="BL148" s="285"/>
      <c r="BM148" s="285"/>
      <c r="BN148" s="285"/>
      <c r="BO148" s="285"/>
      <c r="BP148" s="285"/>
      <c r="BQ148" s="285"/>
      <c r="BR148" s="285"/>
      <c r="BS148" s="285"/>
      <c r="BT148" s="285"/>
      <c r="BU148" s="285"/>
      <c r="BV148" s="285"/>
      <c r="BW148" s="285"/>
      <c r="BX148" s="285"/>
      <c r="BY148" s="285"/>
      <c r="BZ148" s="285"/>
      <c r="CA148" s="285"/>
      <c r="CB148" s="285"/>
      <c r="CC148" s="285"/>
      <c r="CD148" s="285"/>
      <c r="CE148" s="285"/>
      <c r="CF148" s="285"/>
      <c r="CG148" s="285"/>
      <c r="CH148" s="285"/>
      <c r="CI148" s="285"/>
      <c r="CJ148" s="285"/>
      <c r="CK148" s="285"/>
      <c r="CL148" s="285"/>
      <c r="CM148" s="285"/>
      <c r="CN148" s="285"/>
      <c r="CO148" s="285"/>
      <c r="CP148" s="285"/>
      <c r="CQ148" s="285"/>
      <c r="CR148" s="285"/>
    </row>
    <row r="149" spans="1:96" ht="15.6">
      <c r="A149" s="285"/>
      <c r="B149" s="285"/>
      <c r="C149" s="285"/>
      <c r="D149" s="285"/>
      <c r="E149" s="285"/>
      <c r="F149" s="285"/>
      <c r="G149" s="285"/>
      <c r="H149" s="285"/>
      <c r="I149" s="285"/>
      <c r="J149" s="285"/>
      <c r="K149" s="285"/>
      <c r="L149" s="285"/>
      <c r="M149" s="285"/>
      <c r="N149" s="285"/>
      <c r="O149" s="285"/>
      <c r="P149" s="285"/>
      <c r="Q149" s="285"/>
      <c r="R149" s="285"/>
      <c r="S149" s="285"/>
      <c r="T149" s="285"/>
      <c r="U149" s="285"/>
      <c r="V149" s="285"/>
      <c r="W149" s="285"/>
      <c r="X149" s="285"/>
      <c r="Y149" s="285"/>
      <c r="Z149" s="285"/>
      <c r="AA149" s="285"/>
      <c r="AB149" s="285"/>
      <c r="AC149" s="285"/>
      <c r="AD149" s="285"/>
      <c r="AE149" s="285"/>
      <c r="AF149" s="285"/>
      <c r="AG149" s="285"/>
      <c r="AH149" s="285"/>
      <c r="AI149" s="285"/>
      <c r="AJ149" s="285"/>
      <c r="AK149" s="285"/>
      <c r="AL149" s="285"/>
      <c r="AM149" s="285"/>
      <c r="AN149" s="285"/>
      <c r="AO149" s="285"/>
      <c r="AP149" s="285"/>
      <c r="AQ149" s="285"/>
      <c r="AR149" s="285"/>
      <c r="AS149" s="285"/>
      <c r="AT149" s="285"/>
      <c r="AU149" s="285"/>
      <c r="AV149" s="285"/>
      <c r="AW149" s="285"/>
      <c r="AX149" s="285"/>
      <c r="AY149" s="285"/>
      <c r="AZ149" s="285"/>
      <c r="BA149" s="285"/>
      <c r="BB149" s="285"/>
      <c r="BC149" s="285"/>
      <c r="BD149" s="285"/>
      <c r="BE149" s="285"/>
      <c r="BF149" s="285"/>
      <c r="BG149" s="285"/>
      <c r="BH149" s="285"/>
      <c r="BI149" s="285"/>
      <c r="BJ149" s="285"/>
      <c r="BK149" s="285"/>
      <c r="BL149" s="285"/>
      <c r="BM149" s="285"/>
      <c r="BN149" s="285"/>
      <c r="BO149" s="285"/>
      <c r="BP149" s="285"/>
      <c r="BQ149" s="285"/>
      <c r="BR149" s="285"/>
      <c r="BS149" s="285"/>
      <c r="BT149" s="285"/>
      <c r="BU149" s="285"/>
      <c r="BV149" s="285"/>
      <c r="BW149" s="285"/>
      <c r="BX149" s="285"/>
      <c r="BY149" s="285"/>
      <c r="BZ149" s="285"/>
      <c r="CA149" s="285"/>
      <c r="CB149" s="285"/>
      <c r="CC149" s="285"/>
      <c r="CD149" s="285"/>
      <c r="CE149" s="285"/>
      <c r="CF149" s="285"/>
      <c r="CG149" s="285"/>
      <c r="CH149" s="285"/>
      <c r="CI149" s="285"/>
      <c r="CJ149" s="285"/>
      <c r="CK149" s="285"/>
      <c r="CL149" s="285"/>
      <c r="CM149" s="285"/>
      <c r="CN149" s="285"/>
      <c r="CO149" s="285"/>
      <c r="CP149" s="285"/>
      <c r="CQ149" s="285"/>
      <c r="CR149" s="285"/>
    </row>
    <row r="150" spans="1:96" ht="15.6">
      <c r="A150" s="285"/>
      <c r="B150" s="285"/>
      <c r="C150" s="285"/>
      <c r="D150" s="285"/>
      <c r="E150" s="285"/>
      <c r="F150" s="285"/>
      <c r="G150" s="285"/>
      <c r="H150" s="285"/>
      <c r="I150" s="285"/>
      <c r="J150" s="285"/>
      <c r="K150" s="285"/>
      <c r="L150" s="285"/>
      <c r="M150" s="285"/>
      <c r="N150" s="285"/>
      <c r="O150" s="285"/>
      <c r="P150" s="285"/>
      <c r="Q150" s="285"/>
      <c r="R150" s="285"/>
      <c r="S150" s="285"/>
      <c r="T150" s="285"/>
      <c r="U150" s="285"/>
      <c r="V150" s="285"/>
      <c r="W150" s="285"/>
      <c r="X150" s="285"/>
      <c r="Y150" s="285"/>
      <c r="Z150" s="285"/>
      <c r="AA150" s="285"/>
      <c r="AB150" s="285"/>
      <c r="AC150" s="285"/>
      <c r="AD150" s="285"/>
      <c r="AE150" s="285"/>
      <c r="AF150" s="285"/>
      <c r="AG150" s="285"/>
      <c r="AH150" s="285"/>
      <c r="AI150" s="285"/>
      <c r="AJ150" s="285"/>
      <c r="AK150" s="285"/>
      <c r="AL150" s="285"/>
      <c r="AM150" s="285"/>
      <c r="AN150" s="285"/>
      <c r="AO150" s="285"/>
      <c r="AP150" s="285"/>
      <c r="AQ150" s="285"/>
      <c r="AR150" s="285"/>
      <c r="AS150" s="285"/>
      <c r="AT150" s="285"/>
      <c r="AU150" s="285"/>
      <c r="AV150" s="285"/>
      <c r="AW150" s="285"/>
      <c r="AX150" s="285"/>
      <c r="AY150" s="285"/>
      <c r="AZ150" s="285"/>
      <c r="BA150" s="285"/>
      <c r="BB150" s="285"/>
      <c r="BC150" s="285"/>
      <c r="BD150" s="285"/>
      <c r="BE150" s="285"/>
      <c r="BF150" s="285"/>
      <c r="BG150" s="285"/>
      <c r="BH150" s="285"/>
      <c r="BI150" s="285"/>
      <c r="BJ150" s="285"/>
      <c r="BK150" s="285"/>
      <c r="BL150" s="285"/>
      <c r="BM150" s="285"/>
      <c r="BN150" s="285"/>
      <c r="BO150" s="285"/>
      <c r="BP150" s="285"/>
      <c r="BQ150" s="285"/>
      <c r="BR150" s="285"/>
      <c r="BS150" s="285"/>
      <c r="BT150" s="285"/>
      <c r="BU150" s="285"/>
      <c r="BV150" s="285"/>
      <c r="BW150" s="285"/>
      <c r="BX150" s="285"/>
      <c r="BY150" s="285"/>
      <c r="BZ150" s="285"/>
      <c r="CA150" s="285"/>
      <c r="CB150" s="285"/>
      <c r="CC150" s="285"/>
      <c r="CD150" s="285"/>
      <c r="CE150" s="285"/>
      <c r="CF150" s="285"/>
      <c r="CG150" s="285"/>
      <c r="CH150" s="285"/>
      <c r="CI150" s="285"/>
      <c r="CJ150" s="285"/>
      <c r="CK150" s="285"/>
      <c r="CL150" s="285"/>
      <c r="CM150" s="285"/>
      <c r="CN150" s="285"/>
      <c r="CO150" s="285"/>
      <c r="CP150" s="285"/>
      <c r="CQ150" s="285"/>
      <c r="CR150" s="285"/>
    </row>
    <row r="151" spans="1:96" ht="15.6">
      <c r="A151" s="285"/>
      <c r="B151" s="285"/>
      <c r="C151" s="285"/>
      <c r="D151" s="285"/>
      <c r="E151" s="285"/>
      <c r="F151" s="285"/>
      <c r="G151" s="285"/>
      <c r="H151" s="285"/>
      <c r="I151" s="285"/>
      <c r="J151" s="285"/>
      <c r="K151" s="285"/>
      <c r="L151" s="285"/>
      <c r="M151" s="285"/>
      <c r="N151" s="285"/>
      <c r="O151" s="285"/>
      <c r="P151" s="285"/>
      <c r="Q151" s="285"/>
      <c r="R151" s="285"/>
      <c r="S151" s="285"/>
      <c r="T151" s="285"/>
      <c r="U151" s="285"/>
      <c r="V151" s="285"/>
      <c r="W151" s="285"/>
      <c r="X151" s="285"/>
      <c r="Y151" s="285"/>
      <c r="Z151" s="285"/>
      <c r="AA151" s="285"/>
      <c r="AB151" s="285"/>
      <c r="AC151" s="285"/>
      <c r="AD151" s="285"/>
      <c r="AE151" s="285"/>
      <c r="AF151" s="285"/>
      <c r="AG151" s="285"/>
      <c r="AH151" s="285"/>
      <c r="AI151" s="285"/>
      <c r="AJ151" s="285"/>
      <c r="AK151" s="285"/>
      <c r="AL151" s="285"/>
      <c r="AM151" s="285"/>
      <c r="AN151" s="285"/>
      <c r="AO151" s="285"/>
      <c r="AP151" s="285"/>
      <c r="AQ151" s="285"/>
      <c r="AR151" s="285"/>
      <c r="AS151" s="285"/>
      <c r="AT151" s="285"/>
      <c r="AU151" s="285"/>
      <c r="AV151" s="285"/>
      <c r="AW151" s="285"/>
      <c r="AX151" s="285"/>
      <c r="AY151" s="285"/>
      <c r="AZ151" s="285"/>
      <c r="BA151" s="285"/>
      <c r="BB151" s="285"/>
      <c r="BC151" s="285"/>
      <c r="BD151" s="285"/>
      <c r="BE151" s="285"/>
      <c r="BF151" s="285"/>
      <c r="BG151" s="285"/>
      <c r="BH151" s="285"/>
      <c r="BI151" s="285"/>
      <c r="BJ151" s="285"/>
      <c r="BK151" s="285"/>
      <c r="BL151" s="285"/>
      <c r="BM151" s="285"/>
      <c r="BN151" s="285"/>
      <c r="BO151" s="285"/>
      <c r="BP151" s="285"/>
      <c r="BQ151" s="285"/>
      <c r="BR151" s="285"/>
      <c r="BS151" s="285"/>
      <c r="BT151" s="285"/>
      <c r="BU151" s="285"/>
      <c r="BV151" s="285"/>
      <c r="BW151" s="285"/>
      <c r="BX151" s="285"/>
      <c r="BY151" s="285"/>
      <c r="BZ151" s="285"/>
      <c r="CA151" s="285"/>
      <c r="CB151" s="285"/>
      <c r="CC151" s="285"/>
      <c r="CD151" s="285"/>
      <c r="CE151" s="285"/>
      <c r="CF151" s="285"/>
      <c r="CG151" s="285"/>
      <c r="CH151" s="285"/>
      <c r="CI151" s="285"/>
      <c r="CJ151" s="285"/>
      <c r="CK151" s="285"/>
      <c r="CL151" s="285"/>
      <c r="CM151" s="285"/>
      <c r="CN151" s="285"/>
      <c r="CO151" s="285"/>
      <c r="CP151" s="285"/>
      <c r="CQ151" s="285"/>
      <c r="CR151" s="285"/>
    </row>
    <row r="152" spans="1:96" ht="15.6">
      <c r="A152" s="285"/>
      <c r="B152" s="285"/>
      <c r="C152" s="285"/>
      <c r="D152" s="285"/>
      <c r="E152" s="285"/>
      <c r="F152" s="285"/>
      <c r="G152" s="285"/>
      <c r="H152" s="285"/>
      <c r="I152" s="285"/>
      <c r="J152" s="285"/>
      <c r="K152" s="285"/>
      <c r="L152" s="285"/>
      <c r="M152" s="285"/>
      <c r="N152" s="285"/>
      <c r="O152" s="285"/>
      <c r="P152" s="285"/>
      <c r="Q152" s="285"/>
      <c r="R152" s="285"/>
      <c r="S152" s="285"/>
      <c r="T152" s="285"/>
      <c r="U152" s="285"/>
      <c r="V152" s="285"/>
      <c r="W152" s="285"/>
      <c r="X152" s="285"/>
      <c r="Y152" s="285"/>
      <c r="Z152" s="285"/>
      <c r="AA152" s="285"/>
      <c r="AB152" s="285"/>
      <c r="AC152" s="285"/>
      <c r="AD152" s="285"/>
      <c r="AE152" s="285"/>
      <c r="AF152" s="285"/>
      <c r="AG152" s="285"/>
      <c r="AH152" s="285"/>
      <c r="AI152" s="285"/>
      <c r="AJ152" s="285"/>
      <c r="AK152" s="285"/>
      <c r="AL152" s="285"/>
      <c r="AM152" s="285"/>
      <c r="AN152" s="285"/>
      <c r="AO152" s="285"/>
      <c r="AP152" s="285"/>
      <c r="AQ152" s="285"/>
      <c r="AR152" s="285"/>
      <c r="AS152" s="285"/>
      <c r="AT152" s="285"/>
      <c r="AU152" s="285"/>
      <c r="AV152" s="285"/>
      <c r="AW152" s="285"/>
      <c r="AX152" s="285"/>
      <c r="AY152" s="285"/>
      <c r="AZ152" s="285"/>
      <c r="BA152" s="285"/>
      <c r="BB152" s="285"/>
      <c r="BC152" s="285"/>
      <c r="BD152" s="285"/>
      <c r="BE152" s="285"/>
      <c r="BF152" s="285"/>
      <c r="BG152" s="285"/>
      <c r="BH152" s="285"/>
      <c r="BI152" s="285"/>
      <c r="BJ152" s="285"/>
      <c r="BK152" s="285"/>
      <c r="BL152" s="285"/>
      <c r="BM152" s="285"/>
      <c r="BN152" s="285"/>
      <c r="BO152" s="285"/>
      <c r="BP152" s="285"/>
      <c r="BQ152" s="285"/>
      <c r="BR152" s="285"/>
      <c r="BS152" s="285"/>
      <c r="BT152" s="285"/>
      <c r="BU152" s="285"/>
      <c r="BV152" s="285"/>
      <c r="BW152" s="285"/>
      <c r="BX152" s="285"/>
      <c r="BY152" s="285"/>
      <c r="BZ152" s="285"/>
      <c r="CA152" s="285"/>
      <c r="CB152" s="285"/>
      <c r="CC152" s="285"/>
      <c r="CD152" s="285"/>
      <c r="CE152" s="285"/>
      <c r="CF152" s="285"/>
      <c r="CG152" s="285"/>
      <c r="CH152" s="285"/>
      <c r="CI152" s="285"/>
      <c r="CJ152" s="285"/>
      <c r="CK152" s="285"/>
      <c r="CL152" s="285"/>
      <c r="CM152" s="285"/>
      <c r="CN152" s="285"/>
      <c r="CO152" s="285"/>
      <c r="CP152" s="285"/>
      <c r="CQ152" s="285"/>
      <c r="CR152" s="285"/>
    </row>
    <row r="153" spans="1:96" ht="15.6">
      <c r="A153" s="285"/>
      <c r="B153" s="285"/>
      <c r="C153" s="285"/>
      <c r="D153" s="285"/>
      <c r="E153" s="285"/>
      <c r="F153" s="285"/>
      <c r="G153" s="285"/>
      <c r="H153" s="285"/>
      <c r="I153" s="285"/>
      <c r="J153" s="285"/>
      <c r="K153" s="285"/>
      <c r="L153" s="285"/>
      <c r="M153" s="285"/>
      <c r="N153" s="285"/>
      <c r="O153" s="285"/>
      <c r="P153" s="285"/>
      <c r="Q153" s="285"/>
      <c r="R153" s="285"/>
      <c r="S153" s="285"/>
      <c r="T153" s="285"/>
      <c r="U153" s="285"/>
      <c r="V153" s="285"/>
      <c r="W153" s="285"/>
      <c r="X153" s="285"/>
      <c r="Y153" s="285"/>
      <c r="Z153" s="285"/>
      <c r="AA153" s="285"/>
      <c r="AB153" s="285"/>
      <c r="AC153" s="285"/>
      <c r="AD153" s="285"/>
      <c r="AE153" s="285"/>
      <c r="AF153" s="285"/>
      <c r="AG153" s="285"/>
      <c r="AH153" s="285"/>
      <c r="AI153" s="285"/>
      <c r="AJ153" s="285"/>
      <c r="AK153" s="285"/>
      <c r="AL153" s="285"/>
      <c r="AM153" s="285"/>
      <c r="AN153" s="285"/>
      <c r="AO153" s="285"/>
      <c r="AP153" s="285"/>
      <c r="AQ153" s="285"/>
      <c r="AR153" s="285"/>
      <c r="AS153" s="285"/>
      <c r="AT153" s="285"/>
      <c r="AU153" s="285"/>
      <c r="AV153" s="285"/>
      <c r="AW153" s="285"/>
      <c r="AX153" s="285"/>
      <c r="AY153" s="285"/>
      <c r="AZ153" s="285"/>
      <c r="BA153" s="285"/>
      <c r="BB153" s="285"/>
      <c r="BC153" s="285"/>
      <c r="BD153" s="285"/>
      <c r="BE153" s="285"/>
      <c r="BF153" s="285"/>
      <c r="BG153" s="285"/>
      <c r="BH153" s="285"/>
      <c r="BI153" s="285"/>
      <c r="BJ153" s="285"/>
      <c r="BK153" s="285"/>
      <c r="BL153" s="285"/>
      <c r="BM153" s="285"/>
      <c r="BN153" s="285"/>
      <c r="BO153" s="285"/>
      <c r="BP153" s="285"/>
      <c r="BQ153" s="285"/>
      <c r="BR153" s="285"/>
      <c r="BS153" s="285"/>
      <c r="BT153" s="285"/>
      <c r="BU153" s="285"/>
      <c r="BV153" s="285"/>
      <c r="BW153" s="285"/>
      <c r="BX153" s="285"/>
      <c r="BY153" s="285"/>
      <c r="BZ153" s="285"/>
      <c r="CA153" s="285"/>
      <c r="CB153" s="285"/>
      <c r="CC153" s="285"/>
      <c r="CD153" s="285"/>
      <c r="CE153" s="285"/>
      <c r="CF153" s="285"/>
      <c r="CG153" s="285"/>
      <c r="CH153" s="285"/>
      <c r="CI153" s="285"/>
      <c r="CJ153" s="285"/>
      <c r="CK153" s="285"/>
      <c r="CL153" s="285"/>
      <c r="CM153" s="285"/>
      <c r="CN153" s="285"/>
      <c r="CO153" s="285"/>
      <c r="CP153" s="285"/>
      <c r="CQ153" s="285"/>
      <c r="CR153" s="285"/>
    </row>
    <row r="154" spans="1:96" ht="15.6">
      <c r="A154" s="285"/>
      <c r="B154" s="285"/>
      <c r="C154" s="285"/>
      <c r="D154" s="285"/>
      <c r="E154" s="285"/>
      <c r="F154" s="285"/>
      <c r="G154" s="285"/>
      <c r="H154" s="285"/>
      <c r="I154" s="285"/>
      <c r="J154" s="285"/>
      <c r="K154" s="285"/>
      <c r="L154" s="285"/>
      <c r="M154" s="285"/>
      <c r="N154" s="285"/>
      <c r="O154" s="285"/>
      <c r="P154" s="285"/>
      <c r="Q154" s="285"/>
      <c r="R154" s="285"/>
      <c r="S154" s="285"/>
      <c r="T154" s="285"/>
      <c r="U154" s="285"/>
      <c r="V154" s="285"/>
      <c r="W154" s="285"/>
      <c r="X154" s="285"/>
      <c r="Y154" s="285"/>
      <c r="Z154" s="285"/>
      <c r="AA154" s="285"/>
      <c r="AB154" s="285"/>
      <c r="AC154" s="285"/>
      <c r="AD154" s="285"/>
      <c r="AE154" s="285"/>
      <c r="AF154" s="285"/>
      <c r="AG154" s="285"/>
      <c r="AH154" s="285"/>
      <c r="AI154" s="285"/>
      <c r="AJ154" s="285"/>
      <c r="AK154" s="285"/>
      <c r="AL154" s="285"/>
      <c r="AM154" s="285"/>
      <c r="AN154" s="285"/>
      <c r="AO154" s="285"/>
      <c r="AP154" s="285"/>
      <c r="AQ154" s="285"/>
      <c r="AR154" s="285"/>
      <c r="AS154" s="285"/>
      <c r="AT154" s="285"/>
      <c r="AU154" s="285"/>
      <c r="AV154" s="285"/>
      <c r="AW154" s="285"/>
      <c r="AX154" s="285"/>
      <c r="AY154" s="285"/>
      <c r="AZ154" s="285"/>
      <c r="BA154" s="285"/>
      <c r="BB154" s="285"/>
      <c r="BC154" s="285"/>
      <c r="BD154" s="285"/>
      <c r="BE154" s="285"/>
      <c r="BF154" s="285"/>
      <c r="BG154" s="285"/>
      <c r="BH154" s="285"/>
      <c r="BI154" s="285"/>
      <c r="BJ154" s="285"/>
      <c r="BK154" s="285"/>
      <c r="BL154" s="285"/>
      <c r="BM154" s="285"/>
      <c r="BN154" s="285"/>
      <c r="BO154" s="285"/>
      <c r="BP154" s="285"/>
      <c r="BQ154" s="285"/>
      <c r="BR154" s="285"/>
      <c r="BS154" s="285"/>
      <c r="BT154" s="285"/>
      <c r="BU154" s="285"/>
      <c r="BV154" s="285"/>
      <c r="BW154" s="285"/>
      <c r="BX154" s="285"/>
      <c r="BY154" s="285"/>
      <c r="BZ154" s="285"/>
      <c r="CA154" s="285"/>
      <c r="CB154" s="285"/>
      <c r="CC154" s="285"/>
      <c r="CD154" s="285"/>
      <c r="CE154" s="285"/>
      <c r="CF154" s="285"/>
      <c r="CG154" s="285"/>
      <c r="CH154" s="285"/>
      <c r="CI154" s="285"/>
      <c r="CJ154" s="285"/>
      <c r="CK154" s="285"/>
      <c r="CL154" s="285"/>
      <c r="CM154" s="285"/>
      <c r="CN154" s="285"/>
      <c r="CO154" s="285"/>
      <c r="CP154" s="285"/>
      <c r="CQ154" s="285"/>
      <c r="CR154" s="285"/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  <rowBreaks count="2" manualBreakCount="2">
    <brk id="106" max="65535" man="1"/>
    <brk id="149" max="6553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62"/>
  <sheetViews>
    <sheetView showOutlineSymbols="0" view="pageBreakPreview" zoomScale="60" zoomScaleNormal="75" workbookViewId="0">
      <selection activeCell="C36" sqref="C36"/>
    </sheetView>
  </sheetViews>
  <sheetFormatPr defaultColWidth="9.81640625" defaultRowHeight="15.6"/>
  <cols>
    <col min="1" max="1" width="20.81640625" style="317" customWidth="1"/>
    <col min="2" max="2" width="10.453125" style="317" customWidth="1"/>
    <col min="3" max="22" width="9.81640625" style="317" customWidth="1"/>
    <col min="23" max="23" width="3.6328125" style="317" customWidth="1"/>
    <col min="24" max="16384" width="9.81640625" style="317"/>
  </cols>
  <sheetData>
    <row r="1" spans="1:23" ht="22.2">
      <c r="A1" s="316" t="str">
        <f ca="1">CSHFLO!A1</f>
        <v>DELMARVA, VA</v>
      </c>
    </row>
    <row r="2" spans="1:23">
      <c r="A2" s="319" t="s">
        <v>135</v>
      </c>
      <c r="B2" s="320"/>
    </row>
    <row r="3" spans="1:23" ht="12.75" customHeight="1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</row>
    <row r="4" spans="1:23">
      <c r="A4" s="322"/>
      <c r="B4" s="322"/>
    </row>
    <row r="5" spans="1:23">
      <c r="A5" s="323" t="str">
        <f ca="1">CSHFLO!A5</f>
        <v>US $ 000s</v>
      </c>
      <c r="B5" s="322"/>
      <c r="C5" s="323">
        <f ca="1">CSHFLO!C5</f>
        <v>2000</v>
      </c>
      <c r="D5" s="323">
        <f ca="1">CSHFLO!D5</f>
        <v>2001</v>
      </c>
      <c r="E5" s="323">
        <f ca="1">CSHFLO!E5</f>
        <v>2002</v>
      </c>
      <c r="F5" s="323">
        <f ca="1">CSHFLO!F5</f>
        <v>2003</v>
      </c>
      <c r="G5" s="323">
        <f ca="1">CSHFLO!G5</f>
        <v>2004</v>
      </c>
      <c r="H5" s="323">
        <f ca="1">CSHFLO!H5</f>
        <v>2005</v>
      </c>
      <c r="I5" s="323">
        <f ca="1">CSHFLO!I5</f>
        <v>2006</v>
      </c>
      <c r="J5" s="323">
        <f ca="1">CSHFLO!J5</f>
        <v>2007</v>
      </c>
      <c r="K5" s="323">
        <f ca="1">CSHFLO!K5</f>
        <v>2008</v>
      </c>
      <c r="L5" s="323">
        <f ca="1">CSHFLO!L5</f>
        <v>2009</v>
      </c>
      <c r="M5" s="323">
        <f ca="1">CSHFLO!M5</f>
        <v>2010</v>
      </c>
      <c r="N5" s="323">
        <f ca="1">CSHFLO!N5</f>
        <v>2011</v>
      </c>
      <c r="O5" s="323">
        <f ca="1">CSHFLO!O5</f>
        <v>2012</v>
      </c>
      <c r="P5" s="323">
        <f ca="1">CSHFLO!P5</f>
        <v>2013</v>
      </c>
      <c r="Q5" s="323">
        <f ca="1">CSHFLO!Q5</f>
        <v>2014</v>
      </c>
      <c r="R5" s="323">
        <f ca="1">CSHFLO!R5</f>
        <v>2015</v>
      </c>
      <c r="S5" s="323">
        <f ca="1">CSHFLO!S5</f>
        <v>2016</v>
      </c>
      <c r="T5" s="323">
        <f ca="1">CSHFLO!T5</f>
        <v>2017</v>
      </c>
      <c r="U5" s="323">
        <f ca="1">CSHFLO!U5</f>
        <v>2018</v>
      </c>
      <c r="V5" s="323">
        <f ca="1">CSHFLO!V5</f>
        <v>2019</v>
      </c>
    </row>
    <row r="6" spans="1:23">
      <c r="A6" s="317" t="str">
        <f ca="1">CSHFLO!A6</f>
        <v>Year</v>
      </c>
      <c r="C6" s="322">
        <f ca="1">CSHFLO!C6</f>
        <v>1</v>
      </c>
      <c r="D6" s="322">
        <f ca="1">CSHFLO!D6</f>
        <v>2</v>
      </c>
      <c r="E6" s="322">
        <f ca="1">CSHFLO!E6</f>
        <v>3</v>
      </c>
      <c r="F6" s="322">
        <f ca="1">CSHFLO!F6</f>
        <v>4</v>
      </c>
      <c r="G6" s="322">
        <f ca="1">CSHFLO!G6</f>
        <v>5</v>
      </c>
      <c r="H6" s="322">
        <f ca="1">CSHFLO!H6</f>
        <v>6</v>
      </c>
      <c r="I6" s="322">
        <f ca="1">CSHFLO!I6</f>
        <v>7</v>
      </c>
      <c r="J6" s="322">
        <f ca="1">CSHFLO!J6</f>
        <v>8</v>
      </c>
      <c r="K6" s="322">
        <f ca="1">CSHFLO!K6</f>
        <v>9</v>
      </c>
      <c r="L6" s="322">
        <f ca="1">CSHFLO!L6</f>
        <v>10</v>
      </c>
      <c r="M6" s="322">
        <f ca="1">CSHFLO!M6</f>
        <v>11</v>
      </c>
      <c r="N6" s="322">
        <f ca="1">CSHFLO!N6</f>
        <v>12</v>
      </c>
      <c r="O6" s="322">
        <f ca="1">CSHFLO!O6</f>
        <v>13</v>
      </c>
      <c r="P6" s="322">
        <f ca="1">CSHFLO!P6</f>
        <v>14</v>
      </c>
      <c r="Q6" s="322">
        <f ca="1">CSHFLO!Q6</f>
        <v>15</v>
      </c>
      <c r="R6" s="322">
        <f ca="1">CSHFLO!R6</f>
        <v>16</v>
      </c>
      <c r="S6" s="322">
        <f ca="1">CSHFLO!S6</f>
        <v>17</v>
      </c>
      <c r="T6" s="322">
        <f ca="1">CSHFLO!T6</f>
        <v>18</v>
      </c>
      <c r="U6" s="322">
        <f ca="1">CSHFLO!U6</f>
        <v>19</v>
      </c>
      <c r="V6" s="322">
        <f ca="1">CSHFLO!V6</f>
        <v>20</v>
      </c>
    </row>
    <row r="7" spans="1:23">
      <c r="A7" s="317" t="str">
        <f ca="1">CSHFLO!A7</f>
        <v>Months of Operation</v>
      </c>
      <c r="C7" s="322">
        <f ca="1">CSHFLO!C7</f>
        <v>7</v>
      </c>
      <c r="D7" s="322">
        <f ca="1">CSHFLO!D7</f>
        <v>12</v>
      </c>
      <c r="E7" s="322">
        <f ca="1">CSHFLO!E7</f>
        <v>12</v>
      </c>
      <c r="F7" s="322">
        <f ca="1">CSHFLO!F7</f>
        <v>12</v>
      </c>
      <c r="G7" s="322">
        <f ca="1">CSHFLO!G7</f>
        <v>12</v>
      </c>
      <c r="H7" s="322">
        <f ca="1">CSHFLO!H7</f>
        <v>12</v>
      </c>
      <c r="I7" s="322">
        <f ca="1">CSHFLO!I7</f>
        <v>12</v>
      </c>
      <c r="J7" s="322">
        <f ca="1">CSHFLO!J7</f>
        <v>12</v>
      </c>
      <c r="K7" s="322">
        <f ca="1">CSHFLO!K7</f>
        <v>12</v>
      </c>
      <c r="L7" s="322">
        <f ca="1">CSHFLO!L7</f>
        <v>12</v>
      </c>
      <c r="M7" s="322">
        <f ca="1">CSHFLO!M7</f>
        <v>12</v>
      </c>
      <c r="N7" s="322">
        <f ca="1">CSHFLO!N7</f>
        <v>12</v>
      </c>
      <c r="O7" s="322">
        <f ca="1">CSHFLO!O7</f>
        <v>12</v>
      </c>
      <c r="P7" s="322">
        <f ca="1">CSHFLO!P7</f>
        <v>12</v>
      </c>
      <c r="Q7" s="322">
        <f ca="1">CSHFLO!Q7</f>
        <v>12</v>
      </c>
      <c r="R7" s="322">
        <f ca="1">CSHFLO!R7</f>
        <v>12</v>
      </c>
      <c r="S7" s="322">
        <f ca="1">CSHFLO!S7</f>
        <v>12</v>
      </c>
      <c r="T7" s="322">
        <f ca="1">CSHFLO!T7</f>
        <v>12</v>
      </c>
      <c r="U7" s="322">
        <f ca="1">CSHFLO!U7</f>
        <v>12</v>
      </c>
      <c r="V7" s="322">
        <f ca="1">CSHFLO!V7</f>
        <v>12</v>
      </c>
    </row>
    <row r="9" spans="1:23">
      <c r="A9" s="324" t="s">
        <v>281</v>
      </c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6"/>
    </row>
    <row r="10" spans="1:23">
      <c r="A10" s="326" t="str">
        <f ca="1">CSHFLO!A10</f>
        <v xml:space="preserve">    Capacity Charges</v>
      </c>
      <c r="C10" s="327">
        <f>'Co IS'!C10</f>
        <v>2670.6019857725</v>
      </c>
      <c r="D10" s="327">
        <f>'Co IS'!D10</f>
        <v>8535.1460549557978</v>
      </c>
      <c r="E10" s="327">
        <f>'Co IS'!E10</f>
        <v>8634.5230131309399</v>
      </c>
      <c r="F10" s="327">
        <f>'Co IS'!F10</f>
        <v>8843.4511175181378</v>
      </c>
      <c r="G10" s="327">
        <f>'Co IS'!G10</f>
        <v>9040.6333562818381</v>
      </c>
      <c r="H10" s="327">
        <f>'Co IS'!H10</f>
        <v>6618.2577418592673</v>
      </c>
      <c r="I10" s="327">
        <f>'Co IS'!I10</f>
        <v>8589.7344052949211</v>
      </c>
      <c r="J10" s="327">
        <f>'Co IS'!J10</f>
        <v>10759.145310641588</v>
      </c>
      <c r="K10" s="327">
        <f>'Co IS'!K10</f>
        <v>11016.859465760257</v>
      </c>
      <c r="L10" s="327">
        <f>'Co IS'!L10</f>
        <v>10402.806145686296</v>
      </c>
      <c r="M10" s="327">
        <f>'Co IS'!M10</f>
        <v>10613.950496424512</v>
      </c>
      <c r="N10" s="327">
        <f>'Co IS'!N10</f>
        <v>10065.807689282616</v>
      </c>
      <c r="O10" s="327">
        <f>'Co IS'!O10</f>
        <v>9828.1842643041964</v>
      </c>
      <c r="P10" s="327">
        <f>'Co IS'!P10</f>
        <v>9002.0239312495087</v>
      </c>
      <c r="Q10" s="327">
        <f>'Co IS'!Q10</f>
        <v>10633.654779665956</v>
      </c>
      <c r="R10" s="327">
        <f>'Co IS'!R10</f>
        <v>12213.685674306913</v>
      </c>
      <c r="S10" s="327">
        <f>'Co IS'!S10</f>
        <v>13797.396491410733</v>
      </c>
      <c r="T10" s="327">
        <f>'Co IS'!T10</f>
        <v>13904.796814559999</v>
      </c>
      <c r="U10" s="327">
        <f>'Co IS'!U10</f>
        <v>14388.47460655525</v>
      </c>
      <c r="V10" s="327">
        <f>'Co IS'!V10</f>
        <v>12153.671265220351</v>
      </c>
      <c r="W10" s="326"/>
    </row>
    <row r="11" spans="1:23">
      <c r="A11" s="326" t="str">
        <f ca="1">CSHFLO!A11</f>
        <v xml:space="preserve">    Option Revenue</v>
      </c>
      <c r="C11" s="327">
        <f>'Co IS'!C11</f>
        <v>3028.465486322194</v>
      </c>
      <c r="D11" s="327">
        <f>'Co IS'!D11</f>
        <v>7912.7499637431865</v>
      </c>
      <c r="E11" s="327">
        <f>'Co IS'!E11</f>
        <v>7655.4394924636754</v>
      </c>
      <c r="F11" s="327">
        <f>'Co IS'!F11</f>
        <v>8061.4198831599469</v>
      </c>
      <c r="G11" s="327">
        <f>'Co IS'!G11</f>
        <v>8083.526717476715</v>
      </c>
      <c r="H11" s="327">
        <f>'Co IS'!H11</f>
        <v>5828.1366763630331</v>
      </c>
      <c r="I11" s="327">
        <f>'Co IS'!I11</f>
        <v>7637.9174252096363</v>
      </c>
      <c r="J11" s="327">
        <f>'Co IS'!J11</f>
        <v>9845.3570906857767</v>
      </c>
      <c r="K11" s="327">
        <f>'Co IS'!K11</f>
        <v>9955.0231008411083</v>
      </c>
      <c r="L11" s="327">
        <f>'Co IS'!L11</f>
        <v>9220.6198012628774</v>
      </c>
      <c r="M11" s="327">
        <f>'Co IS'!M11</f>
        <v>9354.9875191446135</v>
      </c>
      <c r="N11" s="327">
        <f>'Co IS'!N11</f>
        <v>8831.3797809957505</v>
      </c>
      <c r="O11" s="327">
        <f>'Co IS'!O11</f>
        <v>8892.4466391200676</v>
      </c>
      <c r="P11" s="327">
        <f>'Co IS'!P11</f>
        <v>8043.9230909434364</v>
      </c>
      <c r="Q11" s="327">
        <f>'Co IS'!Q11</f>
        <v>9481.7601106008115</v>
      </c>
      <c r="R11" s="327">
        <f>'Co IS'!R11</f>
        <v>11224.822459980584</v>
      </c>
      <c r="S11" s="327">
        <f>'Co IS'!S11</f>
        <v>12855.472668114626</v>
      </c>
      <c r="T11" s="327">
        <f>'Co IS'!T11</f>
        <v>13011.623076007696</v>
      </c>
      <c r="U11" s="327">
        <f>'Co IS'!U11</f>
        <v>13549.976479515202</v>
      </c>
      <c r="V11" s="327">
        <f>'Co IS'!V11</f>
        <v>11043.297311110464</v>
      </c>
      <c r="W11" s="326"/>
    </row>
    <row r="12" spans="1:23">
      <c r="A12" s="326" t="str">
        <f ca="1">CSHFLO!A12</f>
        <v xml:space="preserve">    Spot Revenue</v>
      </c>
      <c r="C12" s="328">
        <f>'Co IS'!C12</f>
        <v>9096.9885575593562</v>
      </c>
      <c r="D12" s="328">
        <f>'Co IS'!D12</f>
        <v>24969.329618222044</v>
      </c>
      <c r="E12" s="328">
        <f>'Co IS'!E12</f>
        <v>24953.239630039927</v>
      </c>
      <c r="F12" s="328">
        <f>'Co IS'!F12</f>
        <v>25916.861991501624</v>
      </c>
      <c r="G12" s="328">
        <f>'Co IS'!G12</f>
        <v>26004.163136320436</v>
      </c>
      <c r="H12" s="328">
        <f>'Co IS'!H12</f>
        <v>22029.730420557811</v>
      </c>
      <c r="I12" s="328">
        <f>'Co IS'!I12</f>
        <v>25832.444698313033</v>
      </c>
      <c r="J12" s="328">
        <f>'Co IS'!J12</f>
        <v>29838.48549015119</v>
      </c>
      <c r="K12" s="328">
        <f>'Co IS'!K12</f>
        <v>30212.118526126778</v>
      </c>
      <c r="L12" s="328">
        <f>'Co IS'!L12</f>
        <v>29552.425024262608</v>
      </c>
      <c r="M12" s="328">
        <f>'Co IS'!M12</f>
        <v>30145.191414116238</v>
      </c>
      <c r="N12" s="328">
        <f>'Co IS'!N12</f>
        <v>29608.482059286162</v>
      </c>
      <c r="O12" s="328">
        <f>'Co IS'!O12</f>
        <v>30318.421751258113</v>
      </c>
      <c r="P12" s="328">
        <f>'Co IS'!P12</f>
        <v>29037.647071435193</v>
      </c>
      <c r="Q12" s="328">
        <f>'Co IS'!Q12</f>
        <v>31932.069320129191</v>
      </c>
      <c r="R12" s="328">
        <f>'Co IS'!R12</f>
        <v>34619.491899677727</v>
      </c>
      <c r="S12" s="328">
        <f>'Co IS'!S12</f>
        <v>37491.533048382487</v>
      </c>
      <c r="T12" s="328">
        <f>'Co IS'!T12</f>
        <v>38148.972588033845</v>
      </c>
      <c r="U12" s="328">
        <f>'Co IS'!U12</f>
        <v>39594.909535552164</v>
      </c>
      <c r="V12" s="328">
        <f>'Co IS'!V12</f>
        <v>36082.035749385941</v>
      </c>
      <c r="W12" s="326"/>
    </row>
    <row r="13" spans="1:23">
      <c r="A13" s="326" t="str">
        <f ca="1">CSHFLO!A13</f>
        <v>Total Project Revenues</v>
      </c>
      <c r="C13" s="327">
        <f t="shared" ref="C13:V13" si="0">SUM(C10:C12)</f>
        <v>14796.05602965405</v>
      </c>
      <c r="D13" s="327">
        <f t="shared" si="0"/>
        <v>41417.22563692103</v>
      </c>
      <c r="E13" s="327">
        <f t="shared" si="0"/>
        <v>41243.202135634543</v>
      </c>
      <c r="F13" s="327">
        <f t="shared" si="0"/>
        <v>42821.732992179706</v>
      </c>
      <c r="G13" s="327">
        <f t="shared" si="0"/>
        <v>43128.32321007899</v>
      </c>
      <c r="H13" s="327">
        <f t="shared" si="0"/>
        <v>34476.12483878011</v>
      </c>
      <c r="I13" s="327">
        <f t="shared" si="0"/>
        <v>42060.096528817594</v>
      </c>
      <c r="J13" s="327">
        <f t="shared" si="0"/>
        <v>50442.987891478551</v>
      </c>
      <c r="K13" s="327">
        <f t="shared" si="0"/>
        <v>51184.00109272814</v>
      </c>
      <c r="L13" s="327">
        <f t="shared" si="0"/>
        <v>49175.850971211781</v>
      </c>
      <c r="M13" s="327">
        <f t="shared" si="0"/>
        <v>50114.129429685359</v>
      </c>
      <c r="N13" s="327">
        <f t="shared" si="0"/>
        <v>48505.669529564533</v>
      </c>
      <c r="O13" s="327">
        <f t="shared" si="0"/>
        <v>49039.052654682382</v>
      </c>
      <c r="P13" s="327">
        <f t="shared" si="0"/>
        <v>46083.59409362814</v>
      </c>
      <c r="Q13" s="327">
        <f t="shared" si="0"/>
        <v>52047.484210395953</v>
      </c>
      <c r="R13" s="327">
        <f t="shared" si="0"/>
        <v>58058.000033965225</v>
      </c>
      <c r="S13" s="327">
        <f t="shared" si="0"/>
        <v>64144.402207907842</v>
      </c>
      <c r="T13" s="327">
        <f t="shared" si="0"/>
        <v>65065.392478601541</v>
      </c>
      <c r="U13" s="327">
        <f t="shared" si="0"/>
        <v>67533.360621622618</v>
      </c>
      <c r="V13" s="327">
        <f t="shared" si="0"/>
        <v>59279.004325716756</v>
      </c>
      <c r="W13" s="326"/>
    </row>
    <row r="14" spans="1:23">
      <c r="A14" s="329"/>
      <c r="C14" s="330"/>
      <c r="D14" s="330"/>
      <c r="E14" s="330"/>
      <c r="F14" s="330"/>
      <c r="G14" s="330"/>
      <c r="H14" s="330"/>
      <c r="I14" s="330"/>
      <c r="J14" s="330"/>
      <c r="K14" s="330"/>
      <c r="L14" s="330"/>
      <c r="M14" s="330"/>
      <c r="N14" s="330"/>
      <c r="O14" s="330"/>
      <c r="P14" s="330"/>
      <c r="Q14" s="330"/>
      <c r="R14" s="330"/>
      <c r="S14" s="330"/>
      <c r="T14" s="330"/>
      <c r="U14" s="330"/>
      <c r="V14" s="330"/>
      <c r="W14" s="326"/>
    </row>
    <row r="15" spans="1:23">
      <c r="A15" s="331" t="s">
        <v>286</v>
      </c>
      <c r="D15" s="332"/>
      <c r="E15" s="332"/>
      <c r="F15" s="332"/>
      <c r="G15" s="332"/>
      <c r="H15" s="332"/>
      <c r="I15" s="332"/>
      <c r="J15" s="332"/>
      <c r="W15" s="326"/>
    </row>
    <row r="16" spans="1:23">
      <c r="A16" s="331" t="s">
        <v>287</v>
      </c>
      <c r="C16" s="327">
        <f ca="1">'Co IS'!C16</f>
        <v>2422.5367338246688</v>
      </c>
      <c r="D16" s="327">
        <f ca="1">'Co IS'!D16</f>
        <v>7479.5135160014624</v>
      </c>
      <c r="E16" s="327">
        <f ca="1">'Co IS'!E16</f>
        <v>8363.3032782439604</v>
      </c>
      <c r="F16" s="327">
        <f ca="1">'Co IS'!F16</f>
        <v>8858.1597919343876</v>
      </c>
      <c r="G16" s="327">
        <f ca="1">'Co IS'!G16</f>
        <v>8649.2037442468663</v>
      </c>
      <c r="H16" s="327">
        <f ca="1">'Co IS'!H16</f>
        <v>8438.6746983976063</v>
      </c>
      <c r="I16" s="327">
        <f ca="1">'Co IS'!I16</f>
        <v>8939.7586871747171</v>
      </c>
      <c r="J16" s="327">
        <f ca="1">'Co IS'!J16</f>
        <v>9415.9209751249382</v>
      </c>
      <c r="K16" s="327">
        <f ca="1">'Co IS'!K16</f>
        <v>9597.1475971032123</v>
      </c>
      <c r="L16" s="327">
        <f ca="1">'Co IS'!L16</f>
        <v>9695.6894349314152</v>
      </c>
      <c r="M16" s="327">
        <f ca="1">'Co IS'!M16</f>
        <v>9878.0146321325083</v>
      </c>
      <c r="N16" s="327">
        <f ca="1">'Co IS'!N16</f>
        <v>10000.673485074472</v>
      </c>
      <c r="O16" s="327">
        <f ca="1">'Co IS'!O16</f>
        <v>10565.153439807755</v>
      </c>
      <c r="P16" s="327">
        <f ca="1">'Co IS'!P16</f>
        <v>10658.67603260217</v>
      </c>
      <c r="Q16" s="327">
        <f ca="1">'Co IS'!Q16</f>
        <v>11079.901920796188</v>
      </c>
      <c r="R16" s="327">
        <f ca="1">'Co IS'!R16</f>
        <v>11354.189170162097</v>
      </c>
      <c r="S16" s="327">
        <f ca="1">'Co IS'!S16</f>
        <v>11768.693325210694</v>
      </c>
      <c r="T16" s="327">
        <f ca="1">'Co IS'!T16</f>
        <v>12013.159254115955</v>
      </c>
      <c r="U16" s="327">
        <f ca="1">'Co IS'!U16</f>
        <v>12362.516756547986</v>
      </c>
      <c r="V16" s="327">
        <f ca="1">'Co IS'!V16</f>
        <v>12274.783414374866</v>
      </c>
      <c r="W16" s="326"/>
    </row>
    <row r="17" spans="1:23">
      <c r="A17" s="331" t="s">
        <v>304</v>
      </c>
      <c r="C17" s="327">
        <f ca="1">'Co IS'!C17</f>
        <v>2061.1030478623411</v>
      </c>
      <c r="D17" s="327">
        <f ca="1">'Co IS'!D17</f>
        <v>4979.7354441333791</v>
      </c>
      <c r="E17" s="327">
        <f ca="1">'Co IS'!E17</f>
        <v>5135.5445725448271</v>
      </c>
      <c r="F17" s="327">
        <f ca="1">'Co IS'!F17</f>
        <v>5273.9894022795052</v>
      </c>
      <c r="G17" s="327">
        <f ca="1">'Co IS'!G17</f>
        <v>5376.8765778589532</v>
      </c>
      <c r="H17" s="327">
        <f ca="1">'Co IS'!H17</f>
        <v>5482.6549400119911</v>
      </c>
      <c r="I17" s="327">
        <f ca="1">'Co IS'!I17</f>
        <v>5630.6645354992579</v>
      </c>
      <c r="J17" s="327">
        <f ca="1">'Co IS'!J17</f>
        <v>5780.5280022931474</v>
      </c>
      <c r="K17" s="327">
        <f ca="1">'Co IS'!K17</f>
        <v>5917.4266243063003</v>
      </c>
      <c r="L17" s="327">
        <f ca="1">'Co IS'!L17</f>
        <v>6053.339559167588</v>
      </c>
      <c r="M17" s="327">
        <f ca="1">'Co IS'!M17</f>
        <v>6197.3795394248273</v>
      </c>
      <c r="N17" s="327">
        <f ca="1">'Co IS'!N17</f>
        <v>6341.7743378657533</v>
      </c>
      <c r="O17" s="327">
        <f ca="1">'Co IS'!O17</f>
        <v>6514.1935527845626</v>
      </c>
      <c r="P17" s="327">
        <f ca="1">'Co IS'!P17</f>
        <v>6664.4097214151043</v>
      </c>
      <c r="Q17" s="327">
        <f ca="1">'Co IS'!Q17</f>
        <v>6836.5693008623712</v>
      </c>
      <c r="R17" s="327">
        <f ca="1">'Co IS'!R17</f>
        <v>6988.5864669146094</v>
      </c>
      <c r="S17" s="327">
        <f ca="1">'Co IS'!S17</f>
        <v>7168.0447029391062</v>
      </c>
      <c r="T17" s="327">
        <f ca="1">'Co IS'!T17</f>
        <v>7342.6304141428946</v>
      </c>
      <c r="U17" s="327">
        <f ca="1">'Co IS'!U17</f>
        <v>7527.1740338114059</v>
      </c>
      <c r="V17" s="327">
        <f ca="1">'Co IS'!V17</f>
        <v>7692.7422445834436</v>
      </c>
      <c r="W17" s="326"/>
    </row>
    <row r="18" spans="1:23">
      <c r="A18" s="331" t="str">
        <f ca="1">CSHFLO!A18</f>
        <v xml:space="preserve">   Other O&amp;M</v>
      </c>
      <c r="C18" s="327">
        <f ca="1">'Co IS'!C18</f>
        <v>180.5138361779243</v>
      </c>
      <c r="D18" s="327">
        <f ca="1">'Co IS'!D18</f>
        <v>1019.4494150267261</v>
      </c>
      <c r="E18" s="327">
        <f ca="1">'Co IS'!E18</f>
        <v>1022.6769264690072</v>
      </c>
      <c r="F18" s="327">
        <f ca="1">'Co IS'!F18</f>
        <v>789.19843846399613</v>
      </c>
      <c r="G18" s="327">
        <f ca="1">'Co IS'!G18</f>
        <v>795.54341548832792</v>
      </c>
      <c r="H18" s="327">
        <f ca="1">'Co IS'!H18</f>
        <v>748.25730774182796</v>
      </c>
      <c r="I18" s="327">
        <f ca="1">'Co IS'!I18</f>
        <v>798.51315159034107</v>
      </c>
      <c r="J18" s="327">
        <f ca="1">'Co IS'!J18</f>
        <v>853.69081784471882</v>
      </c>
      <c r="K18" s="327">
        <f ca="1">'Co IS'!K18</f>
        <v>863.14898371874551</v>
      </c>
      <c r="L18" s="327">
        <f ca="1">'Co IS'!L18</f>
        <v>856.2474959961728</v>
      </c>
      <c r="M18" s="327">
        <f ca="1">'Co IS'!M18</f>
        <v>867.16355990471584</v>
      </c>
      <c r="N18" s="327">
        <f ca="1">'Co IS'!N18</f>
        <v>862.94192627695031</v>
      </c>
      <c r="O18" s="327">
        <f ca="1">'Co IS'!O18</f>
        <v>871.7179371964869</v>
      </c>
      <c r="P18" s="327">
        <f ca="1">'Co IS'!P18</f>
        <v>859.71144222754924</v>
      </c>
      <c r="Q18" s="327">
        <f ca="1">'Co IS'!Q18</f>
        <v>901.37564824827359</v>
      </c>
      <c r="R18" s="327">
        <f ca="1">'Co IS'!R18</f>
        <v>943.47839187344971</v>
      </c>
      <c r="S18" s="327">
        <f ca="1">'Co IS'!S18</f>
        <v>986.19952411532734</v>
      </c>
      <c r="T18" s="327">
        <f ca="1">'Co IS'!T18</f>
        <v>998.0956583560635</v>
      </c>
      <c r="U18" s="327">
        <f ca="1">'Co IS'!U18</f>
        <v>1019.4456550314117</v>
      </c>
      <c r="V18" s="327">
        <f ca="1">'Co IS'!V18</f>
        <v>976.63834414426287</v>
      </c>
      <c r="W18" s="326"/>
    </row>
    <row r="19" spans="1:23">
      <c r="A19" s="331" t="s">
        <v>305</v>
      </c>
      <c r="C19" s="327">
        <f>OandM!C65</f>
        <v>0</v>
      </c>
      <c r="D19" s="327">
        <f ca="1">OandM!D65</f>
        <v>0</v>
      </c>
      <c r="E19" s="327">
        <f ca="1">OandM!E65</f>
        <v>121.9483600178628</v>
      </c>
      <c r="F19" s="327">
        <f ca="1">OandM!F65</f>
        <v>53.162309015630854</v>
      </c>
      <c r="G19" s="327">
        <f ca="1">OandM!G65</f>
        <v>-16.772231534086586</v>
      </c>
      <c r="H19" s="327">
        <f ca="1">OandM!H65</f>
        <v>-21.133578182123301</v>
      </c>
      <c r="I19" s="327">
        <f ca="1">OandM!I65</f>
        <v>78.019829363568761</v>
      </c>
      <c r="J19" s="327">
        <f ca="1">OandM!J65</f>
        <v>75.50591909434047</v>
      </c>
      <c r="K19" s="327">
        <f ca="1">OandM!K65</f>
        <v>34.348806641033889</v>
      </c>
      <c r="L19" s="327">
        <f ca="1">OandM!L65</f>
        <v>22.737100934786213</v>
      </c>
      <c r="M19" s="327">
        <f ca="1">OandM!M65</f>
        <v>35.190459134901175</v>
      </c>
      <c r="N19" s="327">
        <f ca="1">OandM!N65</f>
        <v>26.625169956970012</v>
      </c>
      <c r="O19" s="327">
        <f ca="1">OandM!O65</f>
        <v>84.428349727989144</v>
      </c>
      <c r="P19" s="327">
        <f ca="1">OandM!P65</f>
        <v>22.874214608067632</v>
      </c>
      <c r="Q19" s="327">
        <f ca="1">OandM!Q65</f>
        <v>69.458941910391786</v>
      </c>
      <c r="R19" s="327">
        <f ca="1">OandM!R65</f>
        <v>49.737230696203369</v>
      </c>
      <c r="S19" s="327">
        <f ca="1">OandM!S65</f>
        <v>69.317092471398155</v>
      </c>
      <c r="T19" s="327">
        <f ca="1">OandM!T65</f>
        <v>45.435789634695084</v>
      </c>
      <c r="U19" s="327">
        <f ca="1">OandM!U65</f>
        <v>59.95317207325752</v>
      </c>
      <c r="V19" s="327">
        <f ca="1">OandM!V65</f>
        <v>-2225.083763750702</v>
      </c>
      <c r="W19" s="326"/>
    </row>
    <row r="20" spans="1:23">
      <c r="A20" s="331" t="s">
        <v>306</v>
      </c>
      <c r="C20" s="328">
        <f ca="1">IF(C6='ASSUM 1'!$D$36,-OandM!C45,0)</f>
        <v>0</v>
      </c>
      <c r="D20" s="328">
        <f ca="1">IF(D6='ASSUM 1'!$D$36,-OandM!D45,0)</f>
        <v>0</v>
      </c>
      <c r="E20" s="328">
        <f ca="1">IF(E6='ASSUM 1'!$D$36,-OandM!E45,0)</f>
        <v>0</v>
      </c>
      <c r="F20" s="328">
        <f ca="1">IF(F6='ASSUM 1'!$D$36,-OandM!F45,0)</f>
        <v>0</v>
      </c>
      <c r="G20" s="328">
        <f ca="1">IF(G6='ASSUM 1'!$D$36,-OandM!G45,0)</f>
        <v>0</v>
      </c>
      <c r="H20" s="328">
        <f ca="1">IF(H6='ASSUM 1'!$D$36,-OandM!H45,0)</f>
        <v>0</v>
      </c>
      <c r="I20" s="328">
        <f ca="1">IF(I6='ASSUM 1'!$D$36,-OandM!I45,0)</f>
        <v>0</v>
      </c>
      <c r="J20" s="328">
        <f ca="1">IF(J6='ASSUM 1'!$D$36,-OandM!J45,0)</f>
        <v>0</v>
      </c>
      <c r="K20" s="328">
        <f ca="1">IF(K6='ASSUM 1'!$D$36,-OandM!K45,0)</f>
        <v>0</v>
      </c>
      <c r="L20" s="328">
        <f ca="1">IF(L6='ASSUM 1'!$D$36,-OandM!L45,0)</f>
        <v>0</v>
      </c>
      <c r="M20" s="328">
        <f ca="1">IF(M6='ASSUM 1'!$D$36,-OandM!M45,0)</f>
        <v>0</v>
      </c>
      <c r="N20" s="328">
        <f ca="1">IF(N6='ASSUM 1'!$D$36,-OandM!N45,0)</f>
        <v>0</v>
      </c>
      <c r="O20" s="328">
        <f ca="1">IF(O6='ASSUM 1'!$D$36,-OandM!O45,0)</f>
        <v>0</v>
      </c>
      <c r="P20" s="328">
        <f ca="1">IF(P6='ASSUM 1'!$D$36,-OandM!P45,0)</f>
        <v>0</v>
      </c>
      <c r="Q20" s="328">
        <f ca="1">IF(Q6='ASSUM 1'!$D$36,-OandM!Q45,0)</f>
        <v>0</v>
      </c>
      <c r="R20" s="328">
        <f ca="1">IF(R6='ASSUM 1'!$D$36,-OandM!R45,0)</f>
        <v>0</v>
      </c>
      <c r="S20" s="328">
        <f ca="1">IF(S6='ASSUM 1'!$D$36,-OandM!S45,0)</f>
        <v>0</v>
      </c>
      <c r="T20" s="328">
        <f ca="1">IF(T6='ASSUM 1'!$D$36,-OandM!T45,0)</f>
        <v>0</v>
      </c>
      <c r="U20" s="328">
        <f ca="1">IF(U6='ASSUM 1'!$D$36,-OandM!U45,0)</f>
        <v>0</v>
      </c>
      <c r="V20" s="328">
        <f ca="1">IF(V6='ASSUM 1'!$D$36,-OandM!V45,0)</f>
        <v>-15127.460521767012</v>
      </c>
      <c r="W20" s="326"/>
    </row>
    <row r="21" spans="1:23">
      <c r="A21" s="331" t="str">
        <f>CSHFLO!A19</f>
        <v xml:space="preserve">   Working Capital Changes</v>
      </c>
      <c r="C21" s="327">
        <f t="shared" ref="C21:V21" ca="1" si="1">SUM(C16:C20)</f>
        <v>4664.1536178649349</v>
      </c>
      <c r="D21" s="327">
        <f t="shared" ca="1" si="1"/>
        <v>13478.698375161568</v>
      </c>
      <c r="E21" s="327">
        <f t="shared" ca="1" si="1"/>
        <v>14643.473137275658</v>
      </c>
      <c r="F21" s="327">
        <f t="shared" ca="1" si="1"/>
        <v>14974.509941693519</v>
      </c>
      <c r="G21" s="327">
        <f t="shared" ca="1" si="1"/>
        <v>14804.85150606006</v>
      </c>
      <c r="H21" s="327">
        <f t="shared" ca="1" si="1"/>
        <v>14648.453367969301</v>
      </c>
      <c r="I21" s="327">
        <f t="shared" ca="1" si="1"/>
        <v>15446.956203627886</v>
      </c>
      <c r="J21" s="327">
        <f t="shared" ca="1" si="1"/>
        <v>16125.645714357146</v>
      </c>
      <c r="K21" s="327">
        <f t="shared" ca="1" si="1"/>
        <v>16412.072011769291</v>
      </c>
      <c r="L21" s="327">
        <f t="shared" ca="1" si="1"/>
        <v>16628.013591029965</v>
      </c>
      <c r="M21" s="327">
        <f t="shared" ca="1" si="1"/>
        <v>16977.748190596951</v>
      </c>
      <c r="N21" s="327">
        <f t="shared" ca="1" si="1"/>
        <v>17232.014919174148</v>
      </c>
      <c r="O21" s="327">
        <f t="shared" ca="1" si="1"/>
        <v>18035.493279516795</v>
      </c>
      <c r="P21" s="327">
        <f t="shared" ca="1" si="1"/>
        <v>18205.67141085289</v>
      </c>
      <c r="Q21" s="327">
        <f t="shared" ca="1" si="1"/>
        <v>18887.305811817227</v>
      </c>
      <c r="R21" s="327">
        <f t="shared" ca="1" si="1"/>
        <v>19335.991259646358</v>
      </c>
      <c r="S21" s="327">
        <f t="shared" ca="1" si="1"/>
        <v>19992.254644736528</v>
      </c>
      <c r="T21" s="327">
        <f t="shared" ca="1" si="1"/>
        <v>20399.321116249608</v>
      </c>
      <c r="U21" s="327">
        <f t="shared" ca="1" si="1"/>
        <v>20969.089617464058</v>
      </c>
      <c r="V21" s="327">
        <f t="shared" ca="1" si="1"/>
        <v>3591.6197175848556</v>
      </c>
      <c r="W21" s="326"/>
    </row>
    <row r="22" spans="1:23">
      <c r="A22" s="331"/>
      <c r="C22" s="327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6"/>
    </row>
    <row r="23" spans="1:23">
      <c r="A23" s="331" t="s">
        <v>307</v>
      </c>
      <c r="C23" s="327">
        <f t="shared" ref="C23:V23" ca="1" si="2">C13-C21</f>
        <v>10131.902411789115</v>
      </c>
      <c r="D23" s="327">
        <f t="shared" ca="1" si="2"/>
        <v>27938.52726175946</v>
      </c>
      <c r="E23" s="327">
        <f t="shared" ca="1" si="2"/>
        <v>26599.728998358885</v>
      </c>
      <c r="F23" s="327">
        <f t="shared" ca="1" si="2"/>
        <v>27847.223050486187</v>
      </c>
      <c r="G23" s="327">
        <f t="shared" ca="1" si="2"/>
        <v>28323.471704018928</v>
      </c>
      <c r="H23" s="327">
        <f t="shared" ca="1" si="2"/>
        <v>19827.671470810808</v>
      </c>
      <c r="I23" s="327">
        <f t="shared" ca="1" si="2"/>
        <v>26613.140325189706</v>
      </c>
      <c r="J23" s="327">
        <f t="shared" ca="1" si="2"/>
        <v>34317.342177121405</v>
      </c>
      <c r="K23" s="327">
        <f t="shared" ca="1" si="2"/>
        <v>34771.929080958849</v>
      </c>
      <c r="L23" s="327">
        <f t="shared" ca="1" si="2"/>
        <v>32547.837380181816</v>
      </c>
      <c r="M23" s="327">
        <f t="shared" ca="1" si="2"/>
        <v>33136.381239088412</v>
      </c>
      <c r="N23" s="327">
        <f t="shared" ca="1" si="2"/>
        <v>31273.654610390386</v>
      </c>
      <c r="O23" s="327">
        <f t="shared" ca="1" si="2"/>
        <v>31003.559375165587</v>
      </c>
      <c r="P23" s="327">
        <f t="shared" ca="1" si="2"/>
        <v>27877.92268277525</v>
      </c>
      <c r="Q23" s="327">
        <f t="shared" ca="1" si="2"/>
        <v>33160.178398578726</v>
      </c>
      <c r="R23" s="327">
        <f t="shared" ca="1" si="2"/>
        <v>38722.008774318863</v>
      </c>
      <c r="S23" s="327">
        <f t="shared" ca="1" si="2"/>
        <v>44152.147563171311</v>
      </c>
      <c r="T23" s="327">
        <f t="shared" ca="1" si="2"/>
        <v>44666.071362351933</v>
      </c>
      <c r="U23" s="327">
        <f t="shared" ca="1" si="2"/>
        <v>46564.27100415856</v>
      </c>
      <c r="V23" s="327">
        <f t="shared" ca="1" si="2"/>
        <v>55687.384608131899</v>
      </c>
      <c r="W23" s="326"/>
    </row>
    <row r="24" spans="1:23">
      <c r="A24" s="326"/>
      <c r="W24" s="326"/>
    </row>
    <row r="25" spans="1:23">
      <c r="A25" s="326" t="s">
        <v>308</v>
      </c>
      <c r="V25" s="327"/>
      <c r="W25" s="326"/>
    </row>
    <row r="26" spans="1:23">
      <c r="A26" s="326" t="s">
        <v>309</v>
      </c>
      <c r="C26" s="327">
        <f ca="1">'Co IS'!C24</f>
        <v>0</v>
      </c>
      <c r="D26" s="327">
        <f ca="1">'Co IS'!D24</f>
        <v>7138.8</v>
      </c>
      <c r="E26" s="327">
        <f ca="1">'Co IS'!E24</f>
        <v>6899.4</v>
      </c>
      <c r="F26" s="327">
        <f ca="1">'Co IS'!F24</f>
        <v>6659.1</v>
      </c>
      <c r="G26" s="327">
        <f ca="1">'Co IS'!G24</f>
        <v>6355.62</v>
      </c>
      <c r="H26" s="327">
        <f ca="1">'Co IS'!H24</f>
        <v>6085.08</v>
      </c>
      <c r="I26" s="327">
        <f ca="1">'Co IS'!I24</f>
        <v>5956.38</v>
      </c>
      <c r="J26" s="327">
        <f ca="1">'Co IS'!J24</f>
        <v>5556.78</v>
      </c>
      <c r="K26" s="327">
        <f ca="1">'Co IS'!K24</f>
        <v>4897.9799999999996</v>
      </c>
      <c r="L26" s="327">
        <f ca="1">'Co IS'!L24</f>
        <v>4184.28</v>
      </c>
      <c r="M26" s="327">
        <f ca="1">'Co IS'!M24</f>
        <v>3500.28</v>
      </c>
      <c r="N26" s="327">
        <f ca="1">'Co IS'!N24</f>
        <v>2825.28</v>
      </c>
      <c r="O26" s="327">
        <f ca="1">'Co IS'!O24</f>
        <v>2177.2800000000002</v>
      </c>
      <c r="P26" s="327">
        <f ca="1">'Co IS'!P24</f>
        <v>1538.28</v>
      </c>
      <c r="Q26" s="327">
        <f ca="1">'Co IS'!Q24</f>
        <v>935.28</v>
      </c>
      <c r="R26" s="327">
        <f ca="1">'Co IS'!R24</f>
        <v>377.46</v>
      </c>
      <c r="S26" s="327">
        <f ca="1">'Co IS'!S24</f>
        <v>0</v>
      </c>
      <c r="T26" s="327">
        <f>'Co IS'!T24</f>
        <v>0</v>
      </c>
      <c r="U26" s="327">
        <f>'Co IS'!U24</f>
        <v>0</v>
      </c>
      <c r="V26" s="327">
        <f>'Co IS'!V24</f>
        <v>0</v>
      </c>
      <c r="W26" s="326"/>
    </row>
    <row r="27" spans="1:23">
      <c r="A27" s="326" t="s">
        <v>310</v>
      </c>
      <c r="C27" s="327">
        <f ca="1">'144A DEBT'!C35</f>
        <v>0</v>
      </c>
      <c r="D27" s="327">
        <f ca="1">'144A DEBT'!D35</f>
        <v>3060</v>
      </c>
      <c r="E27" s="327">
        <f ca="1">'144A DEBT'!E35</f>
        <v>2790</v>
      </c>
      <c r="F27" s="327">
        <f ca="1">'144A DEBT'!F35</f>
        <v>3645</v>
      </c>
      <c r="G27" s="327">
        <f ca="1">'144A DEBT'!G35</f>
        <v>4239</v>
      </c>
      <c r="H27" s="327">
        <f ca="1">'144A DEBT'!H35</f>
        <v>809.99999999999989</v>
      </c>
      <c r="I27" s="327">
        <f ca="1">'144A DEBT'!I35</f>
        <v>4005</v>
      </c>
      <c r="J27" s="327">
        <f ca="1">'144A DEBT'!J35</f>
        <v>7965</v>
      </c>
      <c r="K27" s="327">
        <f ca="1">'144A DEBT'!K35</f>
        <v>9045</v>
      </c>
      <c r="L27" s="327">
        <f ca="1">'144A DEBT'!L35</f>
        <v>8550</v>
      </c>
      <c r="M27" s="327">
        <f ca="1">'144A DEBT'!M35</f>
        <v>8550</v>
      </c>
      <c r="N27" s="327">
        <f ca="1">'144A DEBT'!N35</f>
        <v>8100</v>
      </c>
      <c r="O27" s="327">
        <f ca="1">'144A DEBT'!O35</f>
        <v>8100</v>
      </c>
      <c r="P27" s="327">
        <f ca="1">'144A DEBT'!P35</f>
        <v>7650.0000000000009</v>
      </c>
      <c r="Q27" s="327">
        <f ca="1">'144A DEBT'!Q35</f>
        <v>7200</v>
      </c>
      <c r="R27" s="327">
        <f ca="1">'144A DEBT'!R35</f>
        <v>6291.0000000000164</v>
      </c>
      <c r="S27" s="327">
        <f ca="1">'144A DEBT'!S35</f>
        <v>0</v>
      </c>
      <c r="T27" s="327">
        <f>'144A DEBT'!T35</f>
        <v>0</v>
      </c>
      <c r="U27" s="327">
        <f>'144A DEBT'!U35</f>
        <v>0</v>
      </c>
      <c r="V27" s="327">
        <f>'144A DEBT'!V35</f>
        <v>0</v>
      </c>
      <c r="W27" s="326"/>
    </row>
    <row r="28" spans="1:23">
      <c r="A28" s="326" t="s">
        <v>294</v>
      </c>
      <c r="C28" s="327">
        <f ca="1">'Co IS'!C25</f>
        <v>76.291200000000003</v>
      </c>
      <c r="D28" s="327">
        <f ca="1">'Co IS'!D25</f>
        <v>75.911328000000012</v>
      </c>
      <c r="E28" s="327">
        <f ca="1">'Co IS'!E25</f>
        <v>82.043136000000018</v>
      </c>
      <c r="F28" s="327">
        <f ca="1">'Co IS'!F25</f>
        <v>87.865343999999993</v>
      </c>
      <c r="G28" s="327">
        <f ca="1">'Co IS'!G25</f>
        <v>91.288800000000009</v>
      </c>
      <c r="H28" s="327">
        <f ca="1">'Co IS'!H25</f>
        <v>99.537120000000002</v>
      </c>
      <c r="I28" s="327">
        <f ca="1">'Co IS'!I25</f>
        <v>101.07935999999999</v>
      </c>
      <c r="J28" s="327">
        <f ca="1">'Co IS'!J25</f>
        <v>95.888159999999985</v>
      </c>
      <c r="K28" s="327">
        <f ca="1">'Co IS'!K25</f>
        <v>88.280639999999977</v>
      </c>
      <c r="L28" s="327">
        <f ca="1">'Co IS'!L25</f>
        <v>80.922240000000002</v>
      </c>
      <c r="M28" s="327">
        <f ca="1">'Co IS'!M25</f>
        <v>72.311328000000032</v>
      </c>
      <c r="N28" s="327">
        <f ca="1">'Co IS'!N25</f>
        <v>54.830880000000029</v>
      </c>
      <c r="O28" s="327">
        <f ca="1">'Co IS'!O25</f>
        <v>47.984040000000036</v>
      </c>
      <c r="P28" s="327">
        <f ca="1">'Co IS'!P25</f>
        <v>39.476640000000046</v>
      </c>
      <c r="Q28" s="327">
        <f ca="1">'Co IS'!Q25</f>
        <v>26.673840000000066</v>
      </c>
      <c r="R28" s="327">
        <f ca="1">'Co IS'!R25</f>
        <v>0</v>
      </c>
      <c r="S28" s="327">
        <f>'Co IS'!S25</f>
        <v>0</v>
      </c>
      <c r="T28" s="327">
        <f>'Co IS'!T25</f>
        <v>0</v>
      </c>
      <c r="U28" s="327">
        <f>'Co IS'!U25</f>
        <v>0</v>
      </c>
      <c r="V28" s="327">
        <f>'Co IS'!V25</f>
        <v>0</v>
      </c>
      <c r="W28" s="326"/>
    </row>
    <row r="29" spans="1:23">
      <c r="A29" s="326" t="s">
        <v>295</v>
      </c>
      <c r="C29" s="328">
        <f ca="1">'Co IS'!C26</f>
        <v>-17.9725</v>
      </c>
      <c r="D29" s="328">
        <f ca="1">'Co IS'!D26</f>
        <v>-90.326909399999991</v>
      </c>
      <c r="E29" s="328">
        <f ca="1">'Co IS'!E26</f>
        <v>-164.6348878538</v>
      </c>
      <c r="F29" s="328">
        <f ca="1">'Co IS'!F26</f>
        <v>-240.94918172585255</v>
      </c>
      <c r="G29" s="328">
        <f ca="1">'Co IS'!G26</f>
        <v>-319.32396153245054</v>
      </c>
      <c r="H29" s="328">
        <f ca="1">'Co IS'!H26</f>
        <v>-399.81486039382662</v>
      </c>
      <c r="I29" s="328">
        <f ca="1">'Co IS'!I26</f>
        <v>-482.4790135244599</v>
      </c>
      <c r="J29" s="328">
        <f ca="1">'Co IS'!J26</f>
        <v>-567.37509878962021</v>
      </c>
      <c r="K29" s="328">
        <f ca="1">'Co IS'!K26</f>
        <v>-654.56337835693989</v>
      </c>
      <c r="L29" s="328">
        <f ca="1">'Co IS'!L26</f>
        <v>-744.10574147257717</v>
      </c>
      <c r="M29" s="328">
        <f ca="1">'Co IS'!M26</f>
        <v>-836.06574839233656</v>
      </c>
      <c r="N29" s="328">
        <f ca="1">'Co IS'!N26</f>
        <v>-930.50867549892962</v>
      </c>
      <c r="O29" s="328">
        <f ca="1">'Co IS'!O26</f>
        <v>0</v>
      </c>
      <c r="P29" s="328">
        <f ca="1">'Co IS'!P26</f>
        <v>-99.611694064209701</v>
      </c>
      <c r="Q29" s="328">
        <f ca="1">'Co IS'!Q26</f>
        <v>-201.91290386815305</v>
      </c>
      <c r="R29" s="328">
        <f ca="1">'Co IS'!R26</f>
        <v>-306.97624633680289</v>
      </c>
      <c r="S29" s="328">
        <f ca="1">'Co IS'!S26</f>
        <v>-414.87629905210616</v>
      </c>
      <c r="T29" s="328">
        <f ca="1">'Co IS'!T26</f>
        <v>-525.68965319072265</v>
      </c>
      <c r="U29" s="328">
        <f ca="1">'Co IS'!U26</f>
        <v>-639.49496789108184</v>
      </c>
      <c r="V29" s="328">
        <f ca="1">'Co IS'!V26</f>
        <v>-756.37302608835068</v>
      </c>
      <c r="W29" s="326"/>
    </row>
    <row r="30" spans="1:23">
      <c r="A30" s="326" t="s">
        <v>311</v>
      </c>
      <c r="C30" s="327">
        <f t="shared" ref="C30:V30" ca="1" si="3">SUM(C26:C29)</f>
        <v>58.318700000000007</v>
      </c>
      <c r="D30" s="327">
        <f t="shared" ca="1" si="3"/>
        <v>10184.384418599999</v>
      </c>
      <c r="E30" s="327">
        <f t="shared" ca="1" si="3"/>
        <v>9606.8082481462006</v>
      </c>
      <c r="F30" s="327">
        <f t="shared" ca="1" si="3"/>
        <v>10151.016162274147</v>
      </c>
      <c r="G30" s="327">
        <f t="shared" ca="1" si="3"/>
        <v>10366.584838467548</v>
      </c>
      <c r="H30" s="327">
        <f t="shared" ca="1" si="3"/>
        <v>6594.8022596061728</v>
      </c>
      <c r="I30" s="327">
        <f t="shared" ca="1" si="3"/>
        <v>9579.9803464755405</v>
      </c>
      <c r="J30" s="327">
        <f t="shared" ca="1" si="3"/>
        <v>13050.293061210379</v>
      </c>
      <c r="K30" s="327">
        <f t="shared" ca="1" si="3"/>
        <v>13376.697261643061</v>
      </c>
      <c r="L30" s="327">
        <f t="shared" ca="1" si="3"/>
        <v>12071.096498527422</v>
      </c>
      <c r="M30" s="327">
        <f t="shared" ca="1" si="3"/>
        <v>11286.525579607664</v>
      </c>
      <c r="N30" s="327">
        <f t="shared" ca="1" si="3"/>
        <v>10049.60220450107</v>
      </c>
      <c r="O30" s="327">
        <f t="shared" ca="1" si="3"/>
        <v>10325.26404</v>
      </c>
      <c r="P30" s="327">
        <f t="shared" ca="1" si="3"/>
        <v>9128.1449459357918</v>
      </c>
      <c r="Q30" s="327">
        <f t="shared" ca="1" si="3"/>
        <v>7960.040936131847</v>
      </c>
      <c r="R30" s="327">
        <f t="shared" ca="1" si="3"/>
        <v>6361.4837536632131</v>
      </c>
      <c r="S30" s="327">
        <f t="shared" ca="1" si="3"/>
        <v>-414.87629905210616</v>
      </c>
      <c r="T30" s="327">
        <f t="shared" ca="1" si="3"/>
        <v>-525.68965319072265</v>
      </c>
      <c r="U30" s="327">
        <f t="shared" ca="1" si="3"/>
        <v>-639.49496789108184</v>
      </c>
      <c r="V30" s="327">
        <f t="shared" ca="1" si="3"/>
        <v>-756.37302608835068</v>
      </c>
      <c r="W30" s="326"/>
    </row>
    <row r="31" spans="1:23">
      <c r="A31" s="326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W31" s="326"/>
    </row>
    <row r="32" spans="1:23">
      <c r="A32" s="622" t="str">
        <f>+'Co IS'!A35</f>
        <v>VA Income Taxes</v>
      </c>
      <c r="C32" s="327">
        <f>+'Co IS'!C35</f>
        <v>325.51323265238909</v>
      </c>
      <c r="D32" s="327">
        <f ca="1">+'Co IS'!D35</f>
        <v>249.83406468896442</v>
      </c>
      <c r="E32" s="327">
        <f ca="1">+'Co IS'!E35</f>
        <v>281.68944468548443</v>
      </c>
      <c r="F32" s="327">
        <f ca="1">+'Co IS'!F35</f>
        <v>448.37527451206603</v>
      </c>
      <c r="G32" s="327">
        <f ca="1">+'Co IS'!G35</f>
        <v>565.49904183379738</v>
      </c>
      <c r="H32" s="327">
        <f ca="1">+'Co IS'!H35</f>
        <v>274.62462351066887</v>
      </c>
      <c r="I32" s="327">
        <f ca="1">+'Co IS'!I35</f>
        <v>730.30800592013418</v>
      </c>
      <c r="J32" s="327">
        <f ca="1">+'Co IS'!J35</f>
        <v>1221.7905195357921</v>
      </c>
      <c r="K32" s="327">
        <f ca="1">+'Co IS'!K35</f>
        <v>1290.9024570563295</v>
      </c>
      <c r="L32" s="327">
        <f ca="1">+'Co IS'!L35</f>
        <v>1206.3058963908209</v>
      </c>
      <c r="M32" s="327">
        <f ca="1">+'Co IS'!M35</f>
        <v>1288.530386615859</v>
      </c>
      <c r="N32" s="327">
        <f ca="1">+'Co IS'!N35</f>
        <v>1224.3778719862469</v>
      </c>
      <c r="O32" s="327">
        <f ca="1">+'Co IS'!O35</f>
        <v>1194.1910405925346</v>
      </c>
      <c r="P32" s="327">
        <f ca="1">+'Co IS'!P35</f>
        <v>1048.6963345223216</v>
      </c>
      <c r="Q32" s="327">
        <f ca="1">+'Co IS'!Q35</f>
        <v>1410.6034037603563</v>
      </c>
      <c r="R32" s="327">
        <f ca="1">+'Co IS'!R35</f>
        <v>2053.7443437988472</v>
      </c>
      <c r="S32" s="327">
        <f ca="1">+'Co IS'!S35</f>
        <v>2678.1804572816895</v>
      </c>
      <c r="T32" s="327">
        <f ca="1">+'Co IS'!T35</f>
        <v>2714.2318083106416</v>
      </c>
      <c r="U32" s="327">
        <f ca="1">+'Co IS'!U35</f>
        <v>2835.8231486473737</v>
      </c>
      <c r="V32" s="327">
        <f ca="1">+'Co IS'!V35</f>
        <v>2345.4728009221521</v>
      </c>
      <c r="W32" s="326"/>
    </row>
    <row r="33" spans="1:23">
      <c r="A33" s="326" t="s">
        <v>312</v>
      </c>
      <c r="C33" s="328">
        <f ca="1">+TAXES!C33</f>
        <v>0</v>
      </c>
      <c r="D33" s="328">
        <f ca="1">TAXES!D33</f>
        <v>1341.8580880993732</v>
      </c>
      <c r="E33" s="328">
        <f ca="1">TAXES!E33</f>
        <v>1544.5971216920732</v>
      </c>
      <c r="F33" s="328">
        <f ca="1">TAXES!F33</f>
        <v>2458.5910885744952</v>
      </c>
      <c r="G33" s="328">
        <f ca="1">TAXES!G33</f>
        <v>3100.8197460553224</v>
      </c>
      <c r="H33" s="328">
        <f ca="1">TAXES!H33</f>
        <v>1505.8583522501674</v>
      </c>
      <c r="I33" s="328">
        <f ca="1">TAXES!I33</f>
        <v>4004.522232462069</v>
      </c>
      <c r="J33" s="328">
        <f ca="1">TAXES!J33</f>
        <v>6699.4846821212595</v>
      </c>
      <c r="K33" s="328">
        <f ca="1">TAXES!K33</f>
        <v>7078.4484728588732</v>
      </c>
      <c r="L33" s="328">
        <f ca="1">TAXES!L33</f>
        <v>6614.577331876334</v>
      </c>
      <c r="M33" s="328">
        <f ca="1">TAXES!M33</f>
        <v>7065.4416199436264</v>
      </c>
      <c r="N33" s="328">
        <f ca="1">TAXES!N33</f>
        <v>6713.671998057921</v>
      </c>
      <c r="O33" s="328">
        <f ca="1">TAXES!O33</f>
        <v>6548.1475392490656</v>
      </c>
      <c r="P33" s="328">
        <f ca="1">TAXES!P33</f>
        <v>5750.3515676307306</v>
      </c>
      <c r="Q33" s="328">
        <f ca="1">TAXES!Q33</f>
        <v>7734.8086639526209</v>
      </c>
      <c r="R33" s="328">
        <f ca="1">TAXES!R33</f>
        <v>11261.364818497012</v>
      </c>
      <c r="S33" s="328">
        <f ca="1">TAXES!S33</f>
        <v>14685.356174094595</v>
      </c>
      <c r="T33" s="328">
        <f ca="1">TAXES!T33</f>
        <v>14883.037748903349</v>
      </c>
      <c r="U33" s="328">
        <f ca="1">TAXES!U33</f>
        <v>15549.763598416434</v>
      </c>
      <c r="V33" s="328">
        <f ca="1">TAXES!V33</f>
        <v>12861.009191723133</v>
      </c>
      <c r="W33" s="326"/>
    </row>
    <row r="34" spans="1:23">
      <c r="A34" s="622" t="str">
        <f>+'Co IS'!A37</f>
        <v>Total Taxes</v>
      </c>
      <c r="C34" s="327">
        <f t="shared" ref="C34:V34" ca="1" si="4">SUM(C32:C33)</f>
        <v>325.51323265238909</v>
      </c>
      <c r="D34" s="327">
        <f t="shared" ca="1" si="4"/>
        <v>1591.6921527883376</v>
      </c>
      <c r="E34" s="327">
        <f t="shared" ca="1" si="4"/>
        <v>1826.2865663775576</v>
      </c>
      <c r="F34" s="327">
        <f t="shared" ca="1" si="4"/>
        <v>2906.9663630865612</v>
      </c>
      <c r="G34" s="327">
        <f t="shared" ca="1" si="4"/>
        <v>3666.3187878891199</v>
      </c>
      <c r="H34" s="327">
        <f t="shared" ca="1" si="4"/>
        <v>1780.4829757608363</v>
      </c>
      <c r="I34" s="327">
        <f t="shared" ca="1" si="4"/>
        <v>4734.8302383822029</v>
      </c>
      <c r="J34" s="327">
        <f t="shared" ca="1" si="4"/>
        <v>7921.2752016570521</v>
      </c>
      <c r="K34" s="327">
        <f t="shared" ca="1" si="4"/>
        <v>8369.3509299152029</v>
      </c>
      <c r="L34" s="327">
        <f t="shared" ca="1" si="4"/>
        <v>7820.8832282671547</v>
      </c>
      <c r="M34" s="327">
        <f t="shared" ca="1" si="4"/>
        <v>8353.9720065594847</v>
      </c>
      <c r="N34" s="327">
        <f t="shared" ca="1" si="4"/>
        <v>7938.0498700441676</v>
      </c>
      <c r="O34" s="327">
        <f t="shared" ca="1" si="4"/>
        <v>7742.3385798416002</v>
      </c>
      <c r="P34" s="327">
        <f t="shared" ca="1" si="4"/>
        <v>6799.0479021530518</v>
      </c>
      <c r="Q34" s="327">
        <f t="shared" ca="1" si="4"/>
        <v>9145.4120677129777</v>
      </c>
      <c r="R34" s="327">
        <f t="shared" ca="1" si="4"/>
        <v>13315.109162295859</v>
      </c>
      <c r="S34" s="327">
        <f t="shared" ca="1" si="4"/>
        <v>17363.536631376286</v>
      </c>
      <c r="T34" s="327">
        <f t="shared" ca="1" si="4"/>
        <v>17597.269557213989</v>
      </c>
      <c r="U34" s="327">
        <f t="shared" ca="1" si="4"/>
        <v>18385.586747063808</v>
      </c>
      <c r="V34" s="327">
        <f t="shared" ca="1" si="4"/>
        <v>15206.481992645286</v>
      </c>
      <c r="W34" s="326"/>
    </row>
    <row r="35" spans="1:23">
      <c r="A35" s="333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26"/>
    </row>
    <row r="36" spans="1:23">
      <c r="A36" s="333" t="s">
        <v>313</v>
      </c>
      <c r="B36" s="317">
        <v>-86000</v>
      </c>
      <c r="C36" s="335">
        <f t="shared" ref="C36:V36" ca="1" si="5">C13-C21-C30-C34</f>
        <v>9748.0704791367261</v>
      </c>
      <c r="D36" s="335">
        <f t="shared" ca="1" si="5"/>
        <v>16162.450690371124</v>
      </c>
      <c r="E36" s="335">
        <f t="shared" ca="1" si="5"/>
        <v>15166.634183835127</v>
      </c>
      <c r="F36" s="335">
        <f t="shared" ca="1" si="5"/>
        <v>14789.240525125479</v>
      </c>
      <c r="G36" s="335">
        <f t="shared" ca="1" si="5"/>
        <v>14290.568077662259</v>
      </c>
      <c r="H36" s="335">
        <f t="shared" ca="1" si="5"/>
        <v>11452.386235443799</v>
      </c>
      <c r="I36" s="335">
        <f t="shared" ca="1" si="5"/>
        <v>12298.329740331965</v>
      </c>
      <c r="J36" s="335">
        <f t="shared" ca="1" si="5"/>
        <v>13345.773914253972</v>
      </c>
      <c r="K36" s="335">
        <f t="shared" ca="1" si="5"/>
        <v>13025.880889400585</v>
      </c>
      <c r="L36" s="335">
        <f t="shared" ca="1" si="5"/>
        <v>12655.85765338724</v>
      </c>
      <c r="M36" s="335">
        <f t="shared" ca="1" si="5"/>
        <v>13495.883652921264</v>
      </c>
      <c r="N36" s="335">
        <f t="shared" ca="1" si="5"/>
        <v>13286.002535845146</v>
      </c>
      <c r="O36" s="335">
        <f t="shared" ca="1" si="5"/>
        <v>12935.956755323989</v>
      </c>
      <c r="P36" s="335">
        <f t="shared" ca="1" si="5"/>
        <v>11950.729834686408</v>
      </c>
      <c r="Q36" s="335">
        <f t="shared" ca="1" si="5"/>
        <v>16054.725394733903</v>
      </c>
      <c r="R36" s="335">
        <f t="shared" ca="1" si="5"/>
        <v>19045.415858359793</v>
      </c>
      <c r="S36" s="335">
        <f t="shared" ca="1" si="5"/>
        <v>27203.487230847131</v>
      </c>
      <c r="T36" s="335">
        <f t="shared" ca="1" si="5"/>
        <v>27594.49145832867</v>
      </c>
      <c r="U36" s="335">
        <f t="shared" ca="1" si="5"/>
        <v>28818.179224985837</v>
      </c>
      <c r="V36" s="335">
        <f t="shared" ca="1" si="5"/>
        <v>41237.275641574968</v>
      </c>
      <c r="W36" s="326"/>
    </row>
    <row r="37" spans="1:23">
      <c r="A37" s="762">
        <f ca="1">NPV(0.14648305,C36:V36)+B36</f>
        <v>5482.1105682788766</v>
      </c>
      <c r="W37" s="326"/>
    </row>
    <row r="38" spans="1:23" ht="16.8" thickTop="1" thickBot="1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5"/>
    </row>
    <row r="39" spans="1:23">
      <c r="A39" s="674"/>
      <c r="B39" s="675"/>
      <c r="C39" s="675"/>
      <c r="D39" s="675"/>
      <c r="E39" s="676"/>
      <c r="F39" s="675"/>
      <c r="G39" s="675"/>
      <c r="H39" s="675"/>
      <c r="I39" s="675"/>
      <c r="J39" s="675"/>
      <c r="K39" s="675"/>
      <c r="L39" s="675"/>
      <c r="M39" s="675"/>
      <c r="N39" s="675"/>
      <c r="O39" s="675"/>
      <c r="P39" s="675"/>
      <c r="Q39" s="675"/>
      <c r="R39" s="675"/>
      <c r="S39" s="675"/>
      <c r="T39" s="675"/>
      <c r="U39" s="675"/>
      <c r="V39" s="677"/>
      <c r="W39" s="673"/>
    </row>
    <row r="40" spans="1:23">
      <c r="A40" s="678" t="s">
        <v>314</v>
      </c>
      <c r="B40" s="679"/>
      <c r="C40" s="680">
        <f t="shared" ref="C40:V40" ca="1" si="6">C5</f>
        <v>2000</v>
      </c>
      <c r="D40" s="680">
        <f t="shared" ca="1" si="6"/>
        <v>2001</v>
      </c>
      <c r="E40" s="680">
        <f t="shared" ca="1" si="6"/>
        <v>2002</v>
      </c>
      <c r="F40" s="680">
        <f t="shared" ca="1" si="6"/>
        <v>2003</v>
      </c>
      <c r="G40" s="680">
        <f t="shared" ca="1" si="6"/>
        <v>2004</v>
      </c>
      <c r="H40" s="680">
        <f t="shared" ca="1" si="6"/>
        <v>2005</v>
      </c>
      <c r="I40" s="680">
        <f t="shared" ca="1" si="6"/>
        <v>2006</v>
      </c>
      <c r="J40" s="680">
        <f t="shared" ca="1" si="6"/>
        <v>2007</v>
      </c>
      <c r="K40" s="680">
        <f t="shared" ca="1" si="6"/>
        <v>2008</v>
      </c>
      <c r="L40" s="680">
        <f t="shared" ca="1" si="6"/>
        <v>2009</v>
      </c>
      <c r="M40" s="680">
        <f t="shared" ca="1" si="6"/>
        <v>2010</v>
      </c>
      <c r="N40" s="680">
        <f t="shared" ca="1" si="6"/>
        <v>2011</v>
      </c>
      <c r="O40" s="680">
        <f t="shared" ca="1" si="6"/>
        <v>2012</v>
      </c>
      <c r="P40" s="680">
        <f t="shared" ca="1" si="6"/>
        <v>2013</v>
      </c>
      <c r="Q40" s="680">
        <f t="shared" ca="1" si="6"/>
        <v>2014</v>
      </c>
      <c r="R40" s="680">
        <f t="shared" ca="1" si="6"/>
        <v>2015</v>
      </c>
      <c r="S40" s="680">
        <f t="shared" ca="1" si="6"/>
        <v>2016</v>
      </c>
      <c r="T40" s="680">
        <f t="shared" ca="1" si="6"/>
        <v>2017</v>
      </c>
      <c r="U40" s="680">
        <f t="shared" ca="1" si="6"/>
        <v>2018</v>
      </c>
      <c r="V40" s="681">
        <f t="shared" ca="1" si="6"/>
        <v>2019</v>
      </c>
      <c r="W40" s="673"/>
    </row>
    <row r="41" spans="1:23">
      <c r="A41" s="682" t="s">
        <v>315</v>
      </c>
      <c r="B41" s="679"/>
      <c r="C41" s="683">
        <f ca="1">IF(B41&gt;1,B41+1,IF(C45&gt;0,1,0))*0+C6</f>
        <v>1</v>
      </c>
      <c r="D41" s="679">
        <f t="shared" ref="D41:U41" ca="1" si="7">IF(C41&gt;=1,C41+1,IF(D45&gt;0,1,0))</f>
        <v>2</v>
      </c>
      <c r="E41" s="679">
        <f t="shared" ca="1" si="7"/>
        <v>3</v>
      </c>
      <c r="F41" s="679">
        <f t="shared" ca="1" si="7"/>
        <v>4</v>
      </c>
      <c r="G41" s="679">
        <f t="shared" ca="1" si="7"/>
        <v>5</v>
      </c>
      <c r="H41" s="679">
        <f t="shared" ca="1" si="7"/>
        <v>6</v>
      </c>
      <c r="I41" s="679">
        <f t="shared" ca="1" si="7"/>
        <v>7</v>
      </c>
      <c r="J41" s="679">
        <f t="shared" ca="1" si="7"/>
        <v>8</v>
      </c>
      <c r="K41" s="679">
        <f t="shared" ca="1" si="7"/>
        <v>9</v>
      </c>
      <c r="L41" s="679">
        <f t="shared" ca="1" si="7"/>
        <v>10</v>
      </c>
      <c r="M41" s="679">
        <f t="shared" ca="1" si="7"/>
        <v>11</v>
      </c>
      <c r="N41" s="679">
        <f t="shared" ca="1" si="7"/>
        <v>12</v>
      </c>
      <c r="O41" s="679">
        <f t="shared" ca="1" si="7"/>
        <v>13</v>
      </c>
      <c r="P41" s="679">
        <f t="shared" ca="1" si="7"/>
        <v>14</v>
      </c>
      <c r="Q41" s="679">
        <f t="shared" ca="1" si="7"/>
        <v>15</v>
      </c>
      <c r="R41" s="679">
        <f t="shared" ca="1" si="7"/>
        <v>16</v>
      </c>
      <c r="S41" s="679">
        <f t="shared" ca="1" si="7"/>
        <v>17</v>
      </c>
      <c r="T41" s="679">
        <f t="shared" ca="1" si="7"/>
        <v>18</v>
      </c>
      <c r="U41" s="679">
        <f t="shared" ca="1" si="7"/>
        <v>19</v>
      </c>
      <c r="V41" s="681"/>
      <c r="W41" s="673"/>
    </row>
    <row r="42" spans="1:23">
      <c r="A42" s="682"/>
      <c r="B42" s="679"/>
      <c r="C42" s="679"/>
      <c r="D42" s="679"/>
      <c r="E42" s="679"/>
      <c r="F42" s="679"/>
      <c r="G42" s="679"/>
      <c r="H42" s="679"/>
      <c r="I42" s="679"/>
      <c r="J42" s="679"/>
      <c r="K42" s="679"/>
      <c r="L42" s="679"/>
      <c r="M42" s="679"/>
      <c r="N42" s="679"/>
      <c r="O42" s="679"/>
      <c r="P42" s="679"/>
      <c r="Q42" s="679"/>
      <c r="R42" s="679"/>
      <c r="S42" s="679"/>
      <c r="T42" s="679"/>
      <c r="U42" s="679"/>
      <c r="V42" s="684"/>
      <c r="W42" s="673"/>
    </row>
    <row r="43" spans="1:23">
      <c r="A43" s="682" t="s">
        <v>316</v>
      </c>
      <c r="B43" s="679"/>
      <c r="C43" s="679"/>
      <c r="D43" s="679"/>
      <c r="E43" s="679"/>
      <c r="F43" s="679"/>
      <c r="G43" s="679"/>
      <c r="H43" s="679"/>
      <c r="I43" s="679"/>
      <c r="J43" s="679"/>
      <c r="K43" s="679"/>
      <c r="L43" s="679"/>
      <c r="M43" s="679"/>
      <c r="N43" s="679"/>
      <c r="O43" s="679"/>
      <c r="P43" s="679"/>
      <c r="Q43" s="679"/>
      <c r="R43" s="679"/>
      <c r="S43" s="679"/>
      <c r="T43" s="679"/>
      <c r="U43" s="679"/>
      <c r="V43" s="684"/>
      <c r="W43" s="673"/>
    </row>
    <row r="44" spans="1:23">
      <c r="A44" s="682" t="s">
        <v>317</v>
      </c>
      <c r="B44" s="679"/>
      <c r="C44" s="685">
        <f ca="1">'144A DEBT'!C34</f>
        <v>0</v>
      </c>
      <c r="D44" s="685">
        <f ca="1">'144A DEBT'!D34</f>
        <v>7138.8</v>
      </c>
      <c r="E44" s="685">
        <f ca="1">'144A DEBT'!E34</f>
        <v>6899.4</v>
      </c>
      <c r="F44" s="685">
        <f ca="1">'144A DEBT'!F34</f>
        <v>6659.1</v>
      </c>
      <c r="G44" s="685">
        <f ca="1">'144A DEBT'!G34</f>
        <v>6355.62</v>
      </c>
      <c r="H44" s="685">
        <f ca="1">'144A DEBT'!H34</f>
        <v>6085.08</v>
      </c>
      <c r="I44" s="685">
        <f ca="1">'144A DEBT'!I34</f>
        <v>5956.38</v>
      </c>
      <c r="J44" s="685">
        <f ca="1">'144A DEBT'!J34</f>
        <v>5556.78</v>
      </c>
      <c r="K44" s="685">
        <f ca="1">'144A DEBT'!K34</f>
        <v>4897.9799999999996</v>
      </c>
      <c r="L44" s="685">
        <f ca="1">'144A DEBT'!L34</f>
        <v>4184.28</v>
      </c>
      <c r="M44" s="685">
        <f ca="1">'144A DEBT'!M34</f>
        <v>3500.28</v>
      </c>
      <c r="N44" s="685">
        <f ca="1">'144A DEBT'!N34</f>
        <v>2825.28</v>
      </c>
      <c r="O44" s="685">
        <f ca="1">'144A DEBT'!O34</f>
        <v>2177.2800000000002</v>
      </c>
      <c r="P44" s="685">
        <f ca="1">'144A DEBT'!P34</f>
        <v>1538.28</v>
      </c>
      <c r="Q44" s="685">
        <f ca="1">'144A DEBT'!Q34</f>
        <v>935.28</v>
      </c>
      <c r="R44" s="685">
        <f ca="1">'144A DEBT'!R34</f>
        <v>377.46</v>
      </c>
      <c r="S44" s="685">
        <f ca="1">'144A DEBT'!S34</f>
        <v>0</v>
      </c>
      <c r="T44" s="679"/>
      <c r="U44" s="679"/>
      <c r="V44" s="684"/>
      <c r="W44" s="673"/>
    </row>
    <row r="45" spans="1:23">
      <c r="A45" s="686" t="s">
        <v>318</v>
      </c>
      <c r="B45" s="673"/>
      <c r="C45" s="687">
        <f ca="1">'144A DEBT'!C35</f>
        <v>0</v>
      </c>
      <c r="D45" s="687">
        <f ca="1">'144A DEBT'!D35</f>
        <v>3060</v>
      </c>
      <c r="E45" s="687">
        <f ca="1">'144A DEBT'!E35</f>
        <v>2790</v>
      </c>
      <c r="F45" s="687">
        <f ca="1">'144A DEBT'!F35</f>
        <v>3645</v>
      </c>
      <c r="G45" s="687">
        <f ca="1">'144A DEBT'!G35</f>
        <v>4239</v>
      </c>
      <c r="H45" s="687">
        <f ca="1">'144A DEBT'!H35</f>
        <v>809.99999999999989</v>
      </c>
      <c r="I45" s="687">
        <f ca="1">'144A DEBT'!I35</f>
        <v>4005</v>
      </c>
      <c r="J45" s="687">
        <f ca="1">'144A DEBT'!J35</f>
        <v>7965</v>
      </c>
      <c r="K45" s="687">
        <f ca="1">'144A DEBT'!K35</f>
        <v>9045</v>
      </c>
      <c r="L45" s="687">
        <f ca="1">'144A DEBT'!L35</f>
        <v>8550</v>
      </c>
      <c r="M45" s="687">
        <f ca="1">'144A DEBT'!M35</f>
        <v>8550</v>
      </c>
      <c r="N45" s="687">
        <f ca="1">'144A DEBT'!N35</f>
        <v>8100</v>
      </c>
      <c r="O45" s="687">
        <f ca="1">'144A DEBT'!O35</f>
        <v>8100</v>
      </c>
      <c r="P45" s="687">
        <f ca="1">'144A DEBT'!P35</f>
        <v>7650.0000000000009</v>
      </c>
      <c r="Q45" s="687">
        <f ca="1">'144A DEBT'!Q35</f>
        <v>7200</v>
      </c>
      <c r="R45" s="687">
        <f ca="1">'144A DEBT'!R35</f>
        <v>6291.0000000000164</v>
      </c>
      <c r="S45" s="687">
        <f ca="1">'144A DEBT'!S35</f>
        <v>0</v>
      </c>
      <c r="T45" s="679"/>
      <c r="U45" s="679"/>
      <c r="V45" s="684"/>
      <c r="W45" s="673"/>
    </row>
    <row r="46" spans="1:23">
      <c r="A46" s="686" t="s">
        <v>319</v>
      </c>
      <c r="B46" s="673"/>
      <c r="C46" s="685">
        <f t="shared" ref="C46:R46" ca="1" si="8">C45+C44</f>
        <v>0</v>
      </c>
      <c r="D46" s="685">
        <f t="shared" ca="1" si="8"/>
        <v>10198.799999999999</v>
      </c>
      <c r="E46" s="685">
        <f t="shared" ca="1" si="8"/>
        <v>9689.4</v>
      </c>
      <c r="F46" s="685">
        <f t="shared" ca="1" si="8"/>
        <v>10304.1</v>
      </c>
      <c r="G46" s="685">
        <f t="shared" ca="1" si="8"/>
        <v>10594.619999999999</v>
      </c>
      <c r="H46" s="685">
        <f t="shared" ca="1" si="8"/>
        <v>6895.08</v>
      </c>
      <c r="I46" s="685">
        <f t="shared" ca="1" si="8"/>
        <v>9961.380000000001</v>
      </c>
      <c r="J46" s="685">
        <f t="shared" ca="1" si="8"/>
        <v>13521.779999999999</v>
      </c>
      <c r="K46" s="685">
        <f t="shared" ca="1" si="8"/>
        <v>13942.98</v>
      </c>
      <c r="L46" s="685">
        <f t="shared" ca="1" si="8"/>
        <v>12734.279999999999</v>
      </c>
      <c r="M46" s="685">
        <f t="shared" ca="1" si="8"/>
        <v>12050.28</v>
      </c>
      <c r="N46" s="685">
        <f t="shared" ca="1" si="8"/>
        <v>10925.28</v>
      </c>
      <c r="O46" s="685">
        <f t="shared" ca="1" si="8"/>
        <v>10277.280000000001</v>
      </c>
      <c r="P46" s="685">
        <f t="shared" ca="1" si="8"/>
        <v>9188.2800000000007</v>
      </c>
      <c r="Q46" s="685">
        <f t="shared" ca="1" si="8"/>
        <v>8135.28</v>
      </c>
      <c r="R46" s="685">
        <f t="shared" ca="1" si="8"/>
        <v>6668.4600000000164</v>
      </c>
      <c r="S46" s="685"/>
      <c r="T46" s="685"/>
      <c r="U46" s="685"/>
      <c r="V46" s="688"/>
      <c r="W46" s="673"/>
    </row>
    <row r="47" spans="1:23">
      <c r="A47" s="686"/>
      <c r="B47" s="673"/>
      <c r="C47" s="685"/>
      <c r="D47" s="685"/>
      <c r="E47" s="685"/>
      <c r="F47" s="685"/>
      <c r="G47" s="685"/>
      <c r="H47" s="685"/>
      <c r="I47" s="685"/>
      <c r="J47" s="685"/>
      <c r="K47" s="685"/>
      <c r="L47" s="685"/>
      <c r="M47" s="685"/>
      <c r="N47" s="685"/>
      <c r="O47" s="685"/>
      <c r="P47" s="685"/>
      <c r="Q47" s="685"/>
      <c r="R47" s="685"/>
      <c r="S47" s="685"/>
      <c r="T47" s="685"/>
      <c r="U47" s="685"/>
      <c r="V47" s="688"/>
      <c r="W47" s="673"/>
    </row>
    <row r="48" spans="1:23">
      <c r="A48" s="686"/>
      <c r="B48" s="673"/>
      <c r="C48" s="687"/>
      <c r="D48" s="687"/>
      <c r="E48" s="687"/>
      <c r="F48" s="687"/>
      <c r="G48" s="687"/>
      <c r="H48" s="687"/>
      <c r="I48" s="687"/>
      <c r="J48" s="687"/>
      <c r="K48" s="687"/>
      <c r="L48" s="687"/>
      <c r="M48" s="687"/>
      <c r="N48" s="687"/>
      <c r="O48" s="687"/>
      <c r="P48" s="687"/>
      <c r="Q48" s="687"/>
      <c r="R48" s="687"/>
      <c r="S48" s="687"/>
      <c r="T48" s="687"/>
      <c r="U48" s="687"/>
      <c r="V48" s="689"/>
      <c r="W48" s="673"/>
    </row>
    <row r="49" spans="1:23">
      <c r="A49" s="678" t="s">
        <v>320</v>
      </c>
      <c r="B49" s="679"/>
      <c r="C49" s="690">
        <f t="shared" ref="C49:R49" ca="1" si="9">SUM(C46:C47)</f>
        <v>0</v>
      </c>
      <c r="D49" s="690">
        <f t="shared" ca="1" si="9"/>
        <v>10198.799999999999</v>
      </c>
      <c r="E49" s="690">
        <f t="shared" ca="1" si="9"/>
        <v>9689.4</v>
      </c>
      <c r="F49" s="690">
        <f t="shared" ca="1" si="9"/>
        <v>10304.1</v>
      </c>
      <c r="G49" s="690">
        <f t="shared" ca="1" si="9"/>
        <v>10594.619999999999</v>
      </c>
      <c r="H49" s="690">
        <f t="shared" ca="1" si="9"/>
        <v>6895.08</v>
      </c>
      <c r="I49" s="690">
        <f t="shared" ca="1" si="9"/>
        <v>9961.380000000001</v>
      </c>
      <c r="J49" s="690">
        <f t="shared" ca="1" si="9"/>
        <v>13521.779999999999</v>
      </c>
      <c r="K49" s="690">
        <f t="shared" ca="1" si="9"/>
        <v>13942.98</v>
      </c>
      <c r="L49" s="690">
        <f t="shared" ca="1" si="9"/>
        <v>12734.279999999999</v>
      </c>
      <c r="M49" s="690">
        <f t="shared" ca="1" si="9"/>
        <v>12050.28</v>
      </c>
      <c r="N49" s="690">
        <f t="shared" ca="1" si="9"/>
        <v>10925.28</v>
      </c>
      <c r="O49" s="690">
        <f t="shared" ca="1" si="9"/>
        <v>10277.280000000001</v>
      </c>
      <c r="P49" s="690">
        <f t="shared" ca="1" si="9"/>
        <v>9188.2800000000007</v>
      </c>
      <c r="Q49" s="690">
        <f t="shared" ca="1" si="9"/>
        <v>8135.28</v>
      </c>
      <c r="R49" s="690">
        <f t="shared" ca="1" si="9"/>
        <v>6668.4600000000164</v>
      </c>
      <c r="S49" s="690"/>
      <c r="T49" s="690"/>
      <c r="U49" s="690"/>
      <c r="V49" s="691"/>
      <c r="W49" s="673"/>
    </row>
    <row r="50" spans="1:23">
      <c r="A50" s="682"/>
      <c r="B50" s="679"/>
      <c r="C50" s="679"/>
      <c r="D50" s="679"/>
      <c r="E50" s="679"/>
      <c r="F50" s="679"/>
      <c r="G50" s="679"/>
      <c r="H50" s="679"/>
      <c r="I50" s="679"/>
      <c r="J50" s="679"/>
      <c r="K50" s="679"/>
      <c r="L50" s="679"/>
      <c r="M50" s="679"/>
      <c r="N50" s="679"/>
      <c r="O50" s="679"/>
      <c r="P50" s="679"/>
      <c r="Q50" s="679"/>
      <c r="R50" s="679"/>
      <c r="S50" s="679"/>
      <c r="T50" s="679"/>
      <c r="U50" s="679"/>
      <c r="V50" s="684"/>
      <c r="W50" s="673"/>
    </row>
    <row r="51" spans="1:23">
      <c r="A51" s="686" t="s">
        <v>321</v>
      </c>
      <c r="B51" s="692"/>
      <c r="C51" s="673"/>
      <c r="D51" s="673"/>
      <c r="E51" s="673"/>
      <c r="F51" s="693"/>
      <c r="G51" s="693"/>
      <c r="H51" s="693"/>
      <c r="I51" s="693"/>
      <c r="J51" s="693"/>
      <c r="K51" s="693"/>
      <c r="L51" s="693"/>
      <c r="M51" s="693"/>
      <c r="N51" s="693"/>
      <c r="O51" s="693"/>
      <c r="P51" s="693"/>
      <c r="Q51" s="693"/>
      <c r="R51" s="693"/>
      <c r="S51" s="693"/>
      <c r="T51" s="693"/>
      <c r="U51" s="693"/>
      <c r="V51" s="694"/>
      <c r="W51" s="673"/>
    </row>
    <row r="52" spans="1:23">
      <c r="A52" s="686" t="s">
        <v>322</v>
      </c>
      <c r="B52" s="695"/>
      <c r="C52" s="693">
        <f t="shared" ref="C52:R52" ca="1" si="10">IF(C49&gt;1,(C23)/C46,0)</f>
        <v>0</v>
      </c>
      <c r="D52" s="693">
        <f t="shared" ca="1" si="10"/>
        <v>2.7393935817703516</v>
      </c>
      <c r="E52" s="693">
        <f t="shared" ca="1" si="10"/>
        <v>2.7452400559744552</v>
      </c>
      <c r="F52" s="693">
        <f t="shared" ca="1" si="10"/>
        <v>2.7025381207952357</v>
      </c>
      <c r="G52" s="693">
        <f t="shared" ca="1" si="10"/>
        <v>2.6733825001764036</v>
      </c>
      <c r="H52" s="693">
        <f t="shared" ca="1" si="10"/>
        <v>2.8756260218606324</v>
      </c>
      <c r="I52" s="693">
        <f t="shared" ca="1" si="10"/>
        <v>2.6716318748195236</v>
      </c>
      <c r="J52" s="693">
        <f t="shared" ca="1" si="10"/>
        <v>2.5379308180669562</v>
      </c>
      <c r="K52" s="693">
        <f t="shared" ca="1" si="10"/>
        <v>2.4938663815740143</v>
      </c>
      <c r="L52" s="693">
        <f t="shared" ca="1" si="10"/>
        <v>2.5559228617701053</v>
      </c>
      <c r="M52" s="693">
        <f t="shared" ca="1" si="10"/>
        <v>2.7498432599979759</v>
      </c>
      <c r="N52" s="693">
        <f t="shared" ca="1" si="10"/>
        <v>2.8625037171029377</v>
      </c>
      <c r="O52" s="693">
        <f t="shared" ca="1" si="10"/>
        <v>3.0167086403372863</v>
      </c>
      <c r="P52" s="693">
        <f t="shared" ca="1" si="10"/>
        <v>3.034074133872199</v>
      </c>
      <c r="Q52" s="693">
        <f t="shared" ca="1" si="10"/>
        <v>4.0760955245029953</v>
      </c>
      <c r="R52" s="693">
        <f t="shared" ca="1" si="10"/>
        <v>5.8067393032752346</v>
      </c>
      <c r="S52" s="693"/>
      <c r="T52" s="693"/>
      <c r="U52" s="693"/>
      <c r="V52" s="694"/>
      <c r="W52" s="673"/>
    </row>
    <row r="53" spans="1:23">
      <c r="A53" s="686" t="s">
        <v>323</v>
      </c>
      <c r="B53" s="696">
        <f ca="1">IF('ASSUM 1'!N26=1,AVERAGE(D52:R52),AVERAGE(C52:Q58))</f>
        <v>3.0360997863930876</v>
      </c>
      <c r="C53" s="693"/>
      <c r="D53" s="693"/>
      <c r="E53" s="693"/>
      <c r="F53" s="693"/>
      <c r="G53" s="693"/>
      <c r="H53" s="693"/>
      <c r="I53" s="693"/>
      <c r="J53" s="693"/>
      <c r="K53" s="693"/>
      <c r="L53" s="693"/>
      <c r="M53" s="693"/>
      <c r="N53" s="693"/>
      <c r="O53" s="693"/>
      <c r="P53" s="693"/>
      <c r="Q53" s="693"/>
      <c r="R53" s="693"/>
      <c r="S53" s="693"/>
      <c r="T53" s="693"/>
      <c r="U53" s="693"/>
      <c r="V53" s="694"/>
      <c r="W53" s="673"/>
    </row>
    <row r="54" spans="1:23">
      <c r="A54" s="686" t="s">
        <v>324</v>
      </c>
      <c r="B54" s="696">
        <f ca="1">IF('ASSUM 1'!N26=1,MIN(D52:R52),MIN(C52:R52))</f>
        <v>2.4938663815740143</v>
      </c>
      <c r="C54" s="693"/>
      <c r="D54" s="693"/>
      <c r="E54" s="693"/>
      <c r="F54" s="693"/>
      <c r="G54" s="693"/>
      <c r="H54" s="693"/>
      <c r="I54" s="693"/>
      <c r="J54" s="693"/>
      <c r="K54" s="693"/>
      <c r="L54" s="693"/>
      <c r="M54" s="693"/>
      <c r="N54" s="693"/>
      <c r="O54" s="693"/>
      <c r="P54" s="693"/>
      <c r="Q54" s="693"/>
      <c r="R54" s="693"/>
      <c r="S54" s="693"/>
      <c r="T54" s="693"/>
      <c r="U54" s="693"/>
      <c r="V54" s="694"/>
      <c r="W54" s="673"/>
    </row>
    <row r="55" spans="1:23">
      <c r="A55" s="686" t="s">
        <v>325</v>
      </c>
      <c r="B55" s="696"/>
      <c r="C55" s="697">
        <f ca="1">1-SUM($C$45:C45)/('ASSUM 1'!$S$29*1000)</f>
        <v>1</v>
      </c>
      <c r="D55" s="697">
        <f ca="1">1-SUM($C$45:D45)/('ASSUM 1'!$S$29*1000)</f>
        <v>0.96599999999999997</v>
      </c>
      <c r="E55" s="697">
        <f ca="1">1-SUM($C$45:E45)/('ASSUM 1'!$S$29*1000)</f>
        <v>0.93500000000000005</v>
      </c>
      <c r="F55" s="697">
        <f ca="1">1-SUM($C$45:F45)/('ASSUM 1'!$S$29*1000)</f>
        <v>0.89449999999999996</v>
      </c>
      <c r="G55" s="697">
        <f ca="1">1-SUM($C$45:G45)/('ASSUM 1'!$S$29*1000)</f>
        <v>0.84739999999999993</v>
      </c>
      <c r="H55" s="697">
        <f ca="1">1-SUM($C$45:H45)/('ASSUM 1'!$S$29*1000)</f>
        <v>0.83840000000000003</v>
      </c>
      <c r="I55" s="697">
        <f ca="1">1-SUM($C$45:I45)/('ASSUM 1'!$S$29*1000)</f>
        <v>0.79390000000000005</v>
      </c>
      <c r="J55" s="697">
        <f ca="1">1-SUM($C$45:J45)/('ASSUM 1'!$S$29*1000)</f>
        <v>0.70540000000000003</v>
      </c>
      <c r="K55" s="697">
        <f ca="1">1-SUM($C$45:K45)/('ASSUM 1'!$S$29*1000)</f>
        <v>0.60489999999999999</v>
      </c>
      <c r="L55" s="697">
        <f ca="1">1-SUM($C$45:L45)/('ASSUM 1'!$S$29*1000)</f>
        <v>0.50990000000000002</v>
      </c>
      <c r="M55" s="697">
        <f ca="1">1-SUM($C$45:M45)/('ASSUM 1'!$S$29*1000)</f>
        <v>0.41490000000000005</v>
      </c>
      <c r="N55" s="697">
        <f ca="1">1-SUM($C$45:N45)/('ASSUM 1'!$S$29*1000)</f>
        <v>0.32489999999999997</v>
      </c>
      <c r="O55" s="697">
        <f ca="1">1-SUM($C$45:O45)/('ASSUM 1'!$S$29*1000)</f>
        <v>0.2349</v>
      </c>
      <c r="P55" s="697">
        <f ca="1">1-SUM($C$45:P45)/('ASSUM 1'!$S$29*1000)</f>
        <v>0.14990000000000003</v>
      </c>
      <c r="Q55" s="697">
        <f ca="1">1-SUM($C$45:Q45)/('ASSUM 1'!$S$29*1000)</f>
        <v>6.9899999999999962E-2</v>
      </c>
      <c r="R55" s="697">
        <f ca="1">1-SUM($C$45:R45)/('ASSUM 1'!$S$29*1000)</f>
        <v>0</v>
      </c>
      <c r="S55" s="697"/>
      <c r="T55" s="693"/>
      <c r="U55" s="693"/>
      <c r="V55" s="694"/>
      <c r="W55" s="673"/>
    </row>
    <row r="56" spans="1:23">
      <c r="A56" s="686"/>
      <c r="B56" s="696"/>
      <c r="C56" s="693"/>
      <c r="D56" s="693"/>
      <c r="E56" s="693"/>
      <c r="F56" s="693"/>
      <c r="G56" s="693"/>
      <c r="H56" s="693"/>
      <c r="I56" s="693"/>
      <c r="J56" s="693"/>
      <c r="K56" s="693"/>
      <c r="L56" s="693"/>
      <c r="M56" s="693"/>
      <c r="N56" s="693"/>
      <c r="O56" s="693"/>
      <c r="P56" s="693"/>
      <c r="Q56" s="693"/>
      <c r="R56" s="693"/>
      <c r="S56" s="693"/>
      <c r="T56" s="693"/>
      <c r="U56" s="693"/>
      <c r="V56" s="694"/>
      <c r="W56" s="673"/>
    </row>
    <row r="57" spans="1:23">
      <c r="A57" s="686" t="s">
        <v>326</v>
      </c>
      <c r="B57" s="696"/>
      <c r="C57" s="693">
        <f t="shared" ref="C57:Q57" ca="1" si="11">IF(C49&gt;1,(C23)/C49,0)</f>
        <v>0</v>
      </c>
      <c r="D57" s="693">
        <f t="shared" ca="1" si="11"/>
        <v>2.7393935817703516</v>
      </c>
      <c r="E57" s="693">
        <f t="shared" ca="1" si="11"/>
        <v>2.7452400559744552</v>
      </c>
      <c r="F57" s="693">
        <f t="shared" ca="1" si="11"/>
        <v>2.7025381207952357</v>
      </c>
      <c r="G57" s="693">
        <f t="shared" ca="1" si="11"/>
        <v>2.6733825001764036</v>
      </c>
      <c r="H57" s="693">
        <f t="shared" ca="1" si="11"/>
        <v>2.8756260218606324</v>
      </c>
      <c r="I57" s="693">
        <f t="shared" ca="1" si="11"/>
        <v>2.6716318748195236</v>
      </c>
      <c r="J57" s="693">
        <f t="shared" ca="1" si="11"/>
        <v>2.5379308180669562</v>
      </c>
      <c r="K57" s="693">
        <f t="shared" ca="1" si="11"/>
        <v>2.4938663815740143</v>
      </c>
      <c r="L57" s="693">
        <f t="shared" ca="1" si="11"/>
        <v>2.5559228617701053</v>
      </c>
      <c r="M57" s="693">
        <f t="shared" ca="1" si="11"/>
        <v>2.7498432599979759</v>
      </c>
      <c r="N57" s="693">
        <f t="shared" ca="1" si="11"/>
        <v>2.8625037171029377</v>
      </c>
      <c r="O57" s="693">
        <f t="shared" ca="1" si="11"/>
        <v>3.0167086403372863</v>
      </c>
      <c r="P57" s="693">
        <f t="shared" ca="1" si="11"/>
        <v>3.034074133872199</v>
      </c>
      <c r="Q57" s="693">
        <f t="shared" ca="1" si="11"/>
        <v>4.0760955245029953</v>
      </c>
      <c r="R57" s="693">
        <f ca="1">IF(R49&gt;1,(R13-R21)/R49,0)</f>
        <v>5.8067393032752346</v>
      </c>
      <c r="S57" s="693"/>
      <c r="T57" s="693"/>
      <c r="U57" s="693"/>
      <c r="V57" s="694"/>
      <c r="W57" s="673"/>
    </row>
    <row r="58" spans="1:23" ht="16.2" thickBot="1">
      <c r="A58" s="698"/>
      <c r="B58" s="699"/>
      <c r="C58" s="699"/>
      <c r="D58" s="699"/>
      <c r="E58" s="699"/>
      <c r="F58" s="699"/>
      <c r="G58" s="699"/>
      <c r="H58" s="699"/>
      <c r="I58" s="699"/>
      <c r="J58" s="699"/>
      <c r="K58" s="699"/>
      <c r="L58" s="699"/>
      <c r="M58" s="699"/>
      <c r="N58" s="699"/>
      <c r="O58" s="699"/>
      <c r="P58" s="699"/>
      <c r="Q58" s="699"/>
      <c r="R58" s="699"/>
      <c r="S58" s="699"/>
      <c r="T58" s="699"/>
      <c r="U58" s="699"/>
      <c r="V58" s="700"/>
      <c r="W58" s="673"/>
    </row>
    <row r="59" spans="1:23">
      <c r="A59" s="673"/>
      <c r="B59" s="673"/>
      <c r="C59" s="673"/>
      <c r="D59" s="673"/>
      <c r="E59" s="673"/>
      <c r="F59" s="673"/>
      <c r="G59" s="673"/>
      <c r="H59" s="673"/>
      <c r="I59" s="673"/>
      <c r="J59" s="673"/>
      <c r="K59" s="673"/>
      <c r="L59" s="673"/>
      <c r="M59" s="673"/>
      <c r="N59" s="673"/>
      <c r="O59" s="673"/>
      <c r="P59" s="673"/>
      <c r="Q59" s="673"/>
      <c r="R59" s="673"/>
      <c r="S59" s="673"/>
      <c r="T59" s="673"/>
      <c r="U59" s="673"/>
      <c r="V59" s="673"/>
    </row>
    <row r="60" spans="1:23">
      <c r="A60" s="318"/>
      <c r="B60" s="318"/>
      <c r="C60" s="318">
        <v>0.5</v>
      </c>
      <c r="D60" s="318">
        <v>1.5</v>
      </c>
      <c r="E60" s="318">
        <v>2.5</v>
      </c>
      <c r="F60" s="318">
        <v>3.5</v>
      </c>
      <c r="G60" s="318">
        <v>4.5</v>
      </c>
      <c r="H60" s="318">
        <v>5.5</v>
      </c>
      <c r="I60" s="318">
        <v>6.5</v>
      </c>
      <c r="J60" s="318">
        <v>7.5</v>
      </c>
      <c r="K60" s="318">
        <v>8.5</v>
      </c>
      <c r="L60" s="318">
        <v>9.5</v>
      </c>
      <c r="M60" s="318">
        <v>10.5</v>
      </c>
      <c r="N60" s="318">
        <v>11.5</v>
      </c>
      <c r="O60" s="318">
        <v>12.5</v>
      </c>
      <c r="P60" s="318">
        <v>13.5</v>
      </c>
      <c r="Q60" s="318">
        <v>14.5</v>
      </c>
      <c r="R60" s="318">
        <v>15.5</v>
      </c>
      <c r="S60" s="318"/>
    </row>
    <row r="61" spans="1:23">
      <c r="C61" s="761">
        <f ca="1">C60*C45</f>
        <v>0</v>
      </c>
      <c r="D61" s="761">
        <f t="shared" ref="D61:R61" ca="1" si="12">D60*D45</f>
        <v>4590</v>
      </c>
      <c r="E61" s="761">
        <f t="shared" ca="1" si="12"/>
        <v>6975</v>
      </c>
      <c r="F61" s="761">
        <f t="shared" ca="1" si="12"/>
        <v>12757.5</v>
      </c>
      <c r="G61" s="761">
        <f t="shared" ca="1" si="12"/>
        <v>19075.5</v>
      </c>
      <c r="H61" s="761">
        <f t="shared" ca="1" si="12"/>
        <v>4454.9999999999991</v>
      </c>
      <c r="I61" s="761">
        <f t="shared" ca="1" si="12"/>
        <v>26032.5</v>
      </c>
      <c r="J61" s="761">
        <f t="shared" ca="1" si="12"/>
        <v>59737.5</v>
      </c>
      <c r="K61" s="761">
        <f t="shared" ca="1" si="12"/>
        <v>76882.5</v>
      </c>
      <c r="L61" s="761">
        <f t="shared" ca="1" si="12"/>
        <v>81225</v>
      </c>
      <c r="M61" s="761">
        <f t="shared" ca="1" si="12"/>
        <v>89775</v>
      </c>
      <c r="N61" s="761">
        <f t="shared" ca="1" si="12"/>
        <v>93150</v>
      </c>
      <c r="O61" s="761">
        <f t="shared" ca="1" si="12"/>
        <v>101250</v>
      </c>
      <c r="P61" s="761">
        <f t="shared" ca="1" si="12"/>
        <v>103275.00000000001</v>
      </c>
      <c r="Q61" s="761">
        <f t="shared" ca="1" si="12"/>
        <v>104400</v>
      </c>
      <c r="R61" s="761">
        <f t="shared" ca="1" si="12"/>
        <v>97510.500000000247</v>
      </c>
    </row>
    <row r="62" spans="1:23">
      <c r="C62" s="317">
        <f ca="1">SUM(C61:R61)/90000</f>
        <v>9.7899000000000029</v>
      </c>
    </row>
  </sheetData>
  <pageMargins left="0.5" right="0.55347222222222203" top="0.5" bottom="0.75" header="0.5" footer="0.25"/>
  <pageSetup scale="46" firstPageNumber="4" orientation="landscape" r:id="rId1"/>
  <headerFooter alignWithMargins="0">
    <oddFooter>&amp;L&amp;"Times New Roman,Regular"TECO Pro Forma
&amp;A&amp;C&amp;"Times New Roman,Regular"Page &amp;P of &amp;N&amp;R&amp;"Times New Roman,Regular"&amp;D
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71</vt:i4>
      </vt:variant>
    </vt:vector>
  </HeadingPairs>
  <TitlesOfParts>
    <vt:vector size="98" baseType="lpstr">
      <vt:lpstr>ASSUM 1</vt:lpstr>
      <vt:lpstr>ASSUM 2</vt:lpstr>
      <vt:lpstr>Stratus Report</vt:lpstr>
      <vt:lpstr>Tariff</vt:lpstr>
      <vt:lpstr>Spot</vt:lpstr>
      <vt:lpstr>FUEL</vt:lpstr>
      <vt:lpstr>OandM</vt:lpstr>
      <vt:lpstr>Co IS</vt:lpstr>
      <vt:lpstr>CSHFLO</vt:lpstr>
      <vt:lpstr>144A FCF</vt:lpstr>
      <vt:lpstr>ENA-144A Comparison</vt:lpstr>
      <vt:lpstr>Fees</vt:lpstr>
      <vt:lpstr>ENA Assumptions</vt:lpstr>
      <vt:lpstr>IS-ENA</vt:lpstr>
      <vt:lpstr>ENE FCF</vt:lpstr>
      <vt:lpstr>Collateral Value</vt:lpstr>
      <vt:lpstr>CSHFLO-ENA</vt:lpstr>
      <vt:lpstr>CSHFLO w ePUP</vt:lpstr>
      <vt:lpstr>TAXES-ENA</vt:lpstr>
      <vt:lpstr>ENA Debt</vt:lpstr>
      <vt:lpstr>ENA IDC</vt:lpstr>
      <vt:lpstr>144A DEBT</vt:lpstr>
      <vt:lpstr>144A Draw</vt:lpstr>
      <vt:lpstr>144A IDC</vt:lpstr>
      <vt:lpstr>BKDEPR 144A</vt:lpstr>
      <vt:lpstr>TAXDEPR 144A</vt:lpstr>
      <vt:lpstr>TAXES</vt:lpstr>
      <vt:lpstr>144A DRAW</vt:lpstr>
      <vt:lpstr>144A DS</vt:lpstr>
      <vt:lpstr>144A MORT</vt:lpstr>
      <vt:lpstr>15 YR MACRS</vt:lpstr>
      <vt:lpstr>ASS1</vt:lpstr>
      <vt:lpstr>ASS2</vt:lpstr>
      <vt:lpstr>'CSHFLO w ePUP'!CASHFLOW</vt:lpstr>
      <vt:lpstr>'CSHFLO-ENA'!CASHFLOW</vt:lpstr>
      <vt:lpstr>CASHFLOW</vt:lpstr>
      <vt:lpstr>'CSHFLO w ePUP'!CFLOW</vt:lpstr>
      <vt:lpstr>'CSHFLO-ENA'!CFLOW</vt:lpstr>
      <vt:lpstr>CFLOW</vt:lpstr>
      <vt:lpstr>'IS-ENA'!CO IS</vt:lpstr>
      <vt:lpstr>CO IS</vt:lpstr>
      <vt:lpstr>DRAW 144A </vt:lpstr>
      <vt:lpstr>FUEL</vt:lpstr>
      <vt:lpstr>IDC144A</vt:lpstr>
      <vt:lpstr>'IS-ENA'!INC</vt:lpstr>
      <vt:lpstr>INC</vt:lpstr>
      <vt:lpstr>INPUTS</vt:lpstr>
      <vt:lpstr>INPUTS 2</vt:lpstr>
      <vt:lpstr>O&amp;M</vt:lpstr>
      <vt:lpstr>OM</vt:lpstr>
      <vt:lpstr>'144A DEBT'!Print_Area</vt:lpstr>
      <vt:lpstr>'144A Draw'!Print_Area</vt:lpstr>
      <vt:lpstr>'144A IDC'!Print_Area</vt:lpstr>
      <vt:lpstr>'ASSUM 1'!Print_Area</vt:lpstr>
      <vt:lpstr>'ASSUM 2'!Print_Area</vt:lpstr>
      <vt:lpstr>'BKDEPR 144A'!Print_Area</vt:lpstr>
      <vt:lpstr>'Co IS'!Print_Area</vt:lpstr>
      <vt:lpstr>'Collateral Value'!Print_Area</vt:lpstr>
      <vt:lpstr>CSHFLO!Print_Area</vt:lpstr>
      <vt:lpstr>'CSHFLO w ePUP'!Print_Area</vt:lpstr>
      <vt:lpstr>'CSHFLO-ENA'!Print_Area</vt:lpstr>
      <vt:lpstr>'ENA Debt'!Print_Area</vt:lpstr>
      <vt:lpstr>'ENA IDC'!Print_Area</vt:lpstr>
      <vt:lpstr>'ENA-144A Comparison'!Print_Area</vt:lpstr>
      <vt:lpstr>Fees!Print_Area</vt:lpstr>
      <vt:lpstr>FUEL!Print_Area</vt:lpstr>
      <vt:lpstr>'IS-ENA'!Print_Area</vt:lpstr>
      <vt:lpstr>OandM!Print_Area</vt:lpstr>
      <vt:lpstr>Spot!Print_Area</vt:lpstr>
      <vt:lpstr>'Stratus Report'!Print_Area</vt:lpstr>
      <vt:lpstr>Tariff!Print_Area</vt:lpstr>
      <vt:lpstr>'TAXDEPR 144A'!Print_Area</vt:lpstr>
      <vt:lpstr>TAXES!Print_Area</vt:lpstr>
      <vt:lpstr>'TAXES-ENA'!Print_Area</vt:lpstr>
      <vt:lpstr>'144A DEBT'!Print_Titles</vt:lpstr>
      <vt:lpstr>'144A FCF'!Print_Titles</vt:lpstr>
      <vt:lpstr>'Co IS'!Print_Titles</vt:lpstr>
      <vt:lpstr>CSHFLO!Print_Titles</vt:lpstr>
      <vt:lpstr>'CSHFLO w ePUP'!Print_Titles</vt:lpstr>
      <vt:lpstr>'CSHFLO-ENA'!Print_Titles</vt:lpstr>
      <vt:lpstr>'ENE FCF'!Print_Titles</vt:lpstr>
      <vt:lpstr>FUEL!Print_Titles</vt:lpstr>
      <vt:lpstr>'IS-ENA'!Print_Titles</vt:lpstr>
      <vt:lpstr>OandM!Print_Titles</vt:lpstr>
      <vt:lpstr>Spot!Print_Titles</vt:lpstr>
      <vt:lpstr>'Stratus Report'!Print_Titles</vt:lpstr>
      <vt:lpstr>Tariff!Print_Titles</vt:lpstr>
      <vt:lpstr>TAXES!Print_Titles</vt:lpstr>
      <vt:lpstr>'TAXES-ENA'!Print_Titles</vt:lpstr>
      <vt:lpstr>SPOT</vt:lpstr>
      <vt:lpstr>STRATUS</vt:lpstr>
      <vt:lpstr>TAR1</vt:lpstr>
      <vt:lpstr>TARIFF</vt:lpstr>
      <vt:lpstr>'TAXES-ENA'!TAX</vt:lpstr>
      <vt:lpstr>TAX</vt:lpstr>
      <vt:lpstr>'TAXES-ENA'!TAXES</vt:lpstr>
      <vt:lpstr>TAXES</vt:lpstr>
      <vt:lpstr>XX1</vt:lpstr>
    </vt:vector>
  </TitlesOfParts>
  <Company>Mosbacher Power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Smith</dc:creator>
  <cp:lastModifiedBy>Havlíček Jan</cp:lastModifiedBy>
  <cp:lastPrinted>2000-03-20T17:12:53Z</cp:lastPrinted>
  <dcterms:created xsi:type="dcterms:W3CDTF">1999-12-08T16:02:11Z</dcterms:created>
  <dcterms:modified xsi:type="dcterms:W3CDTF">2023-09-10T11:58:40Z</dcterms:modified>
</cp:coreProperties>
</file>