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0" activeTab="14"/>
    <workbookView xWindow="360" yWindow="96" windowWidth="9720" windowHeight="6792" tabRatio="895" activeTab="1"/>
    <workbookView xWindow="600" yWindow="288" windowWidth="9720" windowHeight="6600" firstSheet="27" activeTab="31"/>
    <workbookView xWindow="840" yWindow="480" windowWidth="10860" windowHeight="6408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B11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B7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O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<sst xmlns="http://schemas.openxmlformats.org/spreadsheetml/2006/main" count="434" uniqueCount="156">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</sst>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5" fontId="3" fillId="3" borderId="0" xfId="0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166" fontId="36" fillId="0" borderId="1" xfId="0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5" fontId="9" fillId="0" borderId="0" xfId="0" applyNumberFormat="1" applyFont="1" applyFill="1"/>
    <xf numFmtId="5" fontId="36" fillId="0" borderId="0" xfId="1" applyNumberFormat="1" applyFont="1" applyFill="1"/>
    <xf numFmtId="5" fontId="3" fillId="0" borderId="1" xfId="0" applyNumberFormat="1" applyFont="1" applyFill="1" applyBorder="1"/>
    <xf numFmtId="5" fontId="37" fillId="0" borderId="1" xfId="1" applyNumberFormat="1" applyFont="1" applyFill="1" applyBorder="1"/>
    <xf numFmtId="7" fontId="40" fillId="0" borderId="1" xfId="1" applyNumberFormat="1" applyFont="1" applyFill="1" applyBorder="1"/>
    <xf numFmtId="7" fontId="25" fillId="0" borderId="1" xfId="0" applyNumberFormat="1" applyFont="1" applyFill="1" applyBorder="1"/>
    <xf numFmtId="166" fontId="3" fillId="4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2.76</v>
          </cell>
          <cell r="M39">
            <v>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B34" sqref="B34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96</v>
      </c>
    </row>
    <row r="3" spans="1:16" ht="15.6" x14ac:dyDescent="0.3">
      <c r="A3" s="53" t="s">
        <v>91</v>
      </c>
    </row>
    <row r="4" spans="1:16" ht="15" customHeight="1" x14ac:dyDescent="0.3">
      <c r="A4" s="53" t="s">
        <v>93</v>
      </c>
    </row>
    <row r="5" spans="1:16" ht="15" customHeight="1" x14ac:dyDescent="0.3">
      <c r="A5" s="53" t="s">
        <v>92</v>
      </c>
    </row>
    <row r="6" spans="1:16" ht="20.100000000000001" customHeight="1" x14ac:dyDescent="0.3">
      <c r="A6" s="408" t="s">
        <v>155</v>
      </c>
    </row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68"/>
      <c r="O9" s="305" t="s">
        <v>82</v>
      </c>
      <c r="P9" s="306"/>
    </row>
    <row r="10" spans="1:16" ht="18" customHeight="1" x14ac:dyDescent="0.25">
      <c r="O10" s="307" t="s">
        <v>31</v>
      </c>
      <c r="P10" s="309">
        <f>+'[1]0601'!$K$39</f>
        <v>2.76</v>
      </c>
    </row>
    <row r="11" spans="1:16" ht="18" customHeight="1" x14ac:dyDescent="0.25">
      <c r="A11" s="409" t="s">
        <v>98</v>
      </c>
      <c r="B11" s="410" t="s">
        <v>18</v>
      </c>
      <c r="C11" s="411" t="s">
        <v>0</v>
      </c>
      <c r="D11" s="412" t="s">
        <v>85</v>
      </c>
      <c r="E11" s="409" t="s">
        <v>99</v>
      </c>
      <c r="F11" s="413" t="s">
        <v>111</v>
      </c>
      <c r="G11" s="301" t="s">
        <v>107</v>
      </c>
      <c r="O11" s="308" t="s">
        <v>32</v>
      </c>
      <c r="P11" s="310">
        <f>+'[1]0601'!$M$39</f>
        <v>3.3</v>
      </c>
    </row>
    <row r="12" spans="1:16" ht="18" customHeight="1" x14ac:dyDescent="0.25">
      <c r="A12" s="357" t="s">
        <v>95</v>
      </c>
      <c r="B12" s="380">
        <f>+NNG!$D$24</f>
        <v>1179527.7</v>
      </c>
      <c r="C12" s="402">
        <f>+B12/$P$11</f>
        <v>357432.63636363635</v>
      </c>
      <c r="D12" s="317">
        <f>+NNG!A24</f>
        <v>37047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16" ht="15.9" customHeight="1" x14ac:dyDescent="0.25">
      <c r="A13" s="356" t="s">
        <v>35</v>
      </c>
      <c r="B13" s="380">
        <f>+C13*$P$11</f>
        <v>956640.29999999993</v>
      </c>
      <c r="C13" s="402">
        <f>+'El Paso'!H38</f>
        <v>289891</v>
      </c>
      <c r="D13" s="65">
        <f>+'El Paso'!A38</f>
        <v>37047</v>
      </c>
      <c r="E13" t="s">
        <v>89</v>
      </c>
      <c r="F13" t="s">
        <v>110</v>
      </c>
      <c r="G13" t="s">
        <v>129</v>
      </c>
    </row>
    <row r="14" spans="1:16" ht="15.9" customHeight="1" x14ac:dyDescent="0.25">
      <c r="A14" s="357" t="s">
        <v>30</v>
      </c>
      <c r="B14" s="380">
        <f>+C14*$P$10</f>
        <v>828436.08</v>
      </c>
      <c r="C14" s="402">
        <f>+williams!J40</f>
        <v>300158</v>
      </c>
      <c r="D14" s="317">
        <f>+williams!A40</f>
        <v>37047</v>
      </c>
      <c r="E14" s="314" t="s">
        <v>89</v>
      </c>
      <c r="F14" s="314" t="s">
        <v>125</v>
      </c>
    </row>
    <row r="15" spans="1:16" ht="15.9" customHeight="1" x14ac:dyDescent="0.25">
      <c r="A15" s="356" t="s">
        <v>145</v>
      </c>
      <c r="B15" s="380">
        <f>+SidR!D41</f>
        <v>801058.8</v>
      </c>
      <c r="C15" s="402">
        <f>+B15/$P$11</f>
        <v>242745.09090909094</v>
      </c>
      <c r="D15" s="65">
        <f>+SidR!A41</f>
        <v>37047</v>
      </c>
      <c r="E15" t="s">
        <v>90</v>
      </c>
      <c r="F15" t="s">
        <v>112</v>
      </c>
    </row>
    <row r="16" spans="1:16" ht="15.9" customHeight="1" x14ac:dyDescent="0.25">
      <c r="A16" s="356" t="s">
        <v>87</v>
      </c>
      <c r="B16" s="380">
        <f>+PNM!$D$23</f>
        <v>653515.82999999996</v>
      </c>
      <c r="C16" s="402">
        <f>+B16/$P$11</f>
        <v>198035.1</v>
      </c>
      <c r="D16" s="65">
        <f>+PNM!A23</f>
        <v>37047</v>
      </c>
      <c r="E16" t="s">
        <v>90</v>
      </c>
      <c r="F16" t="s">
        <v>108</v>
      </c>
    </row>
    <row r="17" spans="1:7" ht="15.9" customHeight="1" x14ac:dyDescent="0.25">
      <c r="A17" s="356" t="s">
        <v>3</v>
      </c>
      <c r="B17" s="380">
        <f>+'Amoco Abo'!$D$43</f>
        <v>621040.18999999994</v>
      </c>
      <c r="C17" s="402">
        <f>+B17/$P$11</f>
        <v>188193.99696969695</v>
      </c>
      <c r="D17" s="65">
        <f>+'Amoco Abo'!A43</f>
        <v>37047</v>
      </c>
      <c r="E17" t="s">
        <v>90</v>
      </c>
      <c r="F17" t="s">
        <v>109</v>
      </c>
    </row>
    <row r="18" spans="1:7" ht="15.9" customHeight="1" x14ac:dyDescent="0.25">
      <c r="A18" s="356" t="s">
        <v>25</v>
      </c>
      <c r="B18" s="371">
        <f>+'Red C'!$D$43</f>
        <v>541625.59999999998</v>
      </c>
      <c r="C18" s="372">
        <f>+B18/$P$10</f>
        <v>196241.15942028986</v>
      </c>
      <c r="D18" s="317">
        <f>+'Red C'!B43</f>
        <v>37047</v>
      </c>
      <c r="E18" t="s">
        <v>90</v>
      </c>
      <c r="F18" t="s">
        <v>125</v>
      </c>
    </row>
    <row r="19" spans="1:7" ht="15.9" customHeight="1" x14ac:dyDescent="0.25">
      <c r="A19" s="356" t="s">
        <v>113</v>
      </c>
      <c r="B19" s="380">
        <f>+EOG!J41</f>
        <v>407021.2</v>
      </c>
      <c r="C19" s="402">
        <f>+B19/$P$11</f>
        <v>123339.75757575758</v>
      </c>
      <c r="D19" s="317">
        <f>+EOG!A41</f>
        <v>37047</v>
      </c>
      <c r="E19" t="s">
        <v>90</v>
      </c>
      <c r="F19" t="s">
        <v>112</v>
      </c>
    </row>
    <row r="20" spans="1:7" ht="15.9" customHeight="1" x14ac:dyDescent="0.25">
      <c r="A20" s="356" t="s">
        <v>84</v>
      </c>
      <c r="B20" s="380">
        <f>+Conoco!$F$41</f>
        <v>379759.73</v>
      </c>
      <c r="C20" s="402">
        <f>+B20/$P$10</f>
        <v>137594.10507246378</v>
      </c>
      <c r="D20" s="317">
        <f>+Conoco!A41</f>
        <v>37047</v>
      </c>
      <c r="E20" t="s">
        <v>90</v>
      </c>
      <c r="F20" t="s">
        <v>109</v>
      </c>
    </row>
    <row r="21" spans="1:7" ht="15.9" customHeight="1" x14ac:dyDescent="0.25">
      <c r="A21" s="356" t="s">
        <v>97</v>
      </c>
      <c r="B21" s="380">
        <f>+C21*$P$11</f>
        <v>354264.89999999997</v>
      </c>
      <c r="C21" s="402">
        <f>+NGPL!F38</f>
        <v>107353</v>
      </c>
      <c r="D21" s="65">
        <f>+NGPL!A38</f>
        <v>37047</v>
      </c>
      <c r="E21" t="s">
        <v>89</v>
      </c>
      <c r="F21" t="s">
        <v>125</v>
      </c>
    </row>
    <row r="22" spans="1:7" ht="15.9" customHeight="1" x14ac:dyDescent="0.25">
      <c r="A22" s="356" t="s">
        <v>117</v>
      </c>
      <c r="B22" s="380">
        <f>+KN_Westar!F41</f>
        <v>354000.27</v>
      </c>
      <c r="C22" s="402">
        <f>+B22/$P$11</f>
        <v>107272.8090909091</v>
      </c>
      <c r="D22" s="65">
        <f>+KN_Westar!A41</f>
        <v>37047</v>
      </c>
      <c r="E22" t="s">
        <v>90</v>
      </c>
      <c r="F22" t="s">
        <v>110</v>
      </c>
    </row>
    <row r="23" spans="1:7" ht="15.9" customHeight="1" x14ac:dyDescent="0.25">
      <c r="A23" s="356" t="s">
        <v>120</v>
      </c>
      <c r="B23" s="380">
        <f>+CIG!D43</f>
        <v>353361</v>
      </c>
      <c r="C23" s="402">
        <f>+B23/$P$11</f>
        <v>107079.09090909091</v>
      </c>
      <c r="D23" s="65">
        <f>+CIG!A43</f>
        <v>37046</v>
      </c>
      <c r="E23" t="s">
        <v>90</v>
      </c>
      <c r="F23" t="s">
        <v>123</v>
      </c>
      <c r="G23" t="s">
        <v>139</v>
      </c>
    </row>
    <row r="24" spans="1:7" ht="15.9" customHeight="1" x14ac:dyDescent="0.25">
      <c r="A24" s="357" t="s">
        <v>104</v>
      </c>
      <c r="B24" s="380">
        <f>+burlington!D42</f>
        <v>348236.2</v>
      </c>
      <c r="C24" s="402">
        <f>+B24/$P$10</f>
        <v>126172.53623188408</v>
      </c>
      <c r="D24" s="317">
        <f>+burlington!A42</f>
        <v>37047</v>
      </c>
      <c r="E24" s="314" t="s">
        <v>90</v>
      </c>
      <c r="F24" t="s">
        <v>109</v>
      </c>
    </row>
    <row r="25" spans="1:7" ht="15.9" customHeight="1" x14ac:dyDescent="0.25">
      <c r="A25" s="356" t="s">
        <v>2</v>
      </c>
      <c r="B25" s="380">
        <f>+mewborne!$J$43</f>
        <v>343855.8</v>
      </c>
      <c r="C25" s="402">
        <f>+B25/$P$11</f>
        <v>104198.72727272728</v>
      </c>
      <c r="D25" s="65">
        <f>+mewborne!A43</f>
        <v>37047</v>
      </c>
      <c r="E25" t="s">
        <v>90</v>
      </c>
      <c r="F25" t="s">
        <v>109</v>
      </c>
    </row>
    <row r="26" spans="1:7" ht="15.9" customHeight="1" x14ac:dyDescent="0.25">
      <c r="A26" s="356" t="s">
        <v>7</v>
      </c>
      <c r="B26" s="380">
        <f>+C26*$P$10</f>
        <v>269111.03999999998</v>
      </c>
      <c r="C26" s="402">
        <f>+Amoco!D40</f>
        <v>97504</v>
      </c>
      <c r="D26" s="65">
        <f>+Amoco!A40</f>
        <v>37047</v>
      </c>
      <c r="E26" t="s">
        <v>89</v>
      </c>
      <c r="F26" t="s">
        <v>125</v>
      </c>
    </row>
    <row r="27" spans="1:7" ht="15.9" customHeight="1" x14ac:dyDescent="0.25">
      <c r="A27" s="356" t="s">
        <v>141</v>
      </c>
      <c r="B27" s="380">
        <f>+PGETX!$H$39</f>
        <v>243660.1</v>
      </c>
      <c r="C27" s="402">
        <f>+B27/$P$11</f>
        <v>73836.393939393951</v>
      </c>
      <c r="D27" s="65">
        <f>+PGETX!E39</f>
        <v>37047</v>
      </c>
      <c r="E27" t="s">
        <v>90</v>
      </c>
      <c r="F27" t="s">
        <v>112</v>
      </c>
    </row>
    <row r="28" spans="1:7" ht="15.9" customHeight="1" x14ac:dyDescent="0.25">
      <c r="A28" s="356" t="s">
        <v>33</v>
      </c>
      <c r="B28" s="380">
        <f>+C28*$P$11</f>
        <v>210853.5</v>
      </c>
      <c r="C28" s="402">
        <f>+Lonestar!F42</f>
        <v>63895</v>
      </c>
      <c r="D28" s="317">
        <f>+Lonestar!B42</f>
        <v>37047</v>
      </c>
      <c r="E28" t="s">
        <v>89</v>
      </c>
      <c r="F28" t="s">
        <v>112</v>
      </c>
    </row>
    <row r="29" spans="1:7" ht="15.9" customHeight="1" x14ac:dyDescent="0.25">
      <c r="A29" s="357" t="s">
        <v>83</v>
      </c>
      <c r="B29" s="380">
        <f>+Agave!$D$24</f>
        <v>162795.66</v>
      </c>
      <c r="C29" s="416">
        <f>+B29/$P$11</f>
        <v>49332.018181818188</v>
      </c>
      <c r="D29" s="317">
        <f>+Agave!A24</f>
        <v>37047</v>
      </c>
      <c r="E29" s="314" t="s">
        <v>90</v>
      </c>
      <c r="F29" s="314" t="s">
        <v>112</v>
      </c>
    </row>
    <row r="30" spans="1:7" ht="15.9" customHeight="1" x14ac:dyDescent="0.25">
      <c r="A30" s="356" t="s">
        <v>75</v>
      </c>
      <c r="B30" s="371">
        <f>+transcol!$D$43</f>
        <v>85099.4</v>
      </c>
      <c r="C30" s="372">
        <f>+B30/$P$11</f>
        <v>25787.696969696968</v>
      </c>
      <c r="D30" s="65">
        <f>+transcol!A43</f>
        <v>37047</v>
      </c>
      <c r="E30" t="s">
        <v>90</v>
      </c>
      <c r="F30" t="s">
        <v>125</v>
      </c>
    </row>
    <row r="31" spans="1:7" ht="15.9" customHeight="1" x14ac:dyDescent="0.25">
      <c r="A31" s="356" t="s">
        <v>154</v>
      </c>
      <c r="B31" s="380">
        <f>+'Citizens-Griffith'!D41</f>
        <v>89546.599999999991</v>
      </c>
      <c r="C31" s="402">
        <f>+B31/$P$11</f>
        <v>27135.333333333332</v>
      </c>
      <c r="D31" s="317">
        <f>+'Citizens-Griffith'!A41</f>
        <v>37047</v>
      </c>
      <c r="E31" t="s">
        <v>90</v>
      </c>
      <c r="F31" t="s">
        <v>109</v>
      </c>
    </row>
    <row r="32" spans="1:7" ht="15.9" customHeight="1" x14ac:dyDescent="0.25">
      <c r="A32" s="356" t="s">
        <v>103</v>
      </c>
      <c r="B32" s="403">
        <f>+C32*$P$11</f>
        <v>17321.7</v>
      </c>
      <c r="C32" s="419">
        <f>+Mojave!D40</f>
        <v>5249</v>
      </c>
      <c r="D32" s="65">
        <f>+Mojave!A40</f>
        <v>37047</v>
      </c>
      <c r="E32" t="s">
        <v>89</v>
      </c>
      <c r="F32" t="s">
        <v>110</v>
      </c>
    </row>
    <row r="33" spans="1:15" ht="18" customHeight="1" x14ac:dyDescent="0.25">
      <c r="A33" s="297" t="s">
        <v>105</v>
      </c>
      <c r="B33" s="404">
        <f>SUM(B12:B32)</f>
        <v>9200731.5999999978</v>
      </c>
      <c r="C33" s="405">
        <f>SUM(C12:C32)</f>
        <v>2928446.4522397891</v>
      </c>
    </row>
    <row r="34" spans="1:15" ht="18" customHeight="1" x14ac:dyDescent="0.25">
      <c r="F34" s="366"/>
      <c r="O34">
        <v>50</v>
      </c>
    </row>
    <row r="35" spans="1:15" ht="18" customHeight="1" x14ac:dyDescent="0.25">
      <c r="O35">
        <v>79</v>
      </c>
    </row>
    <row r="36" spans="1:15" ht="18" customHeight="1" x14ac:dyDescent="0.25">
      <c r="A36" s="301" t="s">
        <v>98</v>
      </c>
      <c r="B36" s="302" t="s">
        <v>18</v>
      </c>
      <c r="C36" s="303" t="s">
        <v>0</v>
      </c>
      <c r="D36" s="304" t="s">
        <v>85</v>
      </c>
      <c r="E36" s="301" t="s">
        <v>99</v>
      </c>
      <c r="F36" s="334" t="s">
        <v>111</v>
      </c>
      <c r="G36" s="301" t="s">
        <v>107</v>
      </c>
      <c r="O36">
        <f>+O35*O34</f>
        <v>3950</v>
      </c>
    </row>
    <row r="37" spans="1:15" ht="18" customHeight="1" x14ac:dyDescent="0.25">
      <c r="A37" s="357" t="s">
        <v>149</v>
      </c>
      <c r="B37" s="380">
        <f>+Citizens!D18</f>
        <v>-797015.79999999993</v>
      </c>
      <c r="C37" s="416">
        <f>+B37/$P$11</f>
        <v>-241519.93939393939</v>
      </c>
      <c r="D37" s="317">
        <f>+Citizens!A18</f>
        <v>37046</v>
      </c>
      <c r="E37" s="314" t="s">
        <v>90</v>
      </c>
      <c r="F37" s="314" t="s">
        <v>108</v>
      </c>
      <c r="G37" s="301"/>
    </row>
    <row r="38" spans="1:15" ht="18" customHeight="1" x14ac:dyDescent="0.25">
      <c r="A38" s="356" t="s">
        <v>147</v>
      </c>
      <c r="B38" s="380">
        <f>+'NS Steel'!D41</f>
        <v>-315309.40000000002</v>
      </c>
      <c r="C38" s="416">
        <f>+B38/$P$10</f>
        <v>-114242.53623188408</v>
      </c>
      <c r="D38" s="65">
        <f>+'NS Steel'!A41</f>
        <v>37047</v>
      </c>
      <c r="E38" t="s">
        <v>90</v>
      </c>
      <c r="F38" t="s">
        <v>110</v>
      </c>
      <c r="G38" s="301"/>
    </row>
    <row r="39" spans="1:15" ht="18" customHeight="1" x14ac:dyDescent="0.25">
      <c r="A39" s="357" t="s">
        <v>140</v>
      </c>
      <c r="B39" s="380">
        <f>+Calpine!D41</f>
        <v>-293745.7</v>
      </c>
      <c r="C39" s="416">
        <f>+B39/$P$11</f>
        <v>-89013.848484848495</v>
      </c>
      <c r="D39" s="317">
        <f>+Calpine!A41</f>
        <v>37047</v>
      </c>
      <c r="E39" s="314" t="s">
        <v>90</v>
      </c>
      <c r="F39" s="314" t="s">
        <v>109</v>
      </c>
      <c r="G39" s="301"/>
    </row>
    <row r="40" spans="1:15" ht="18" customHeight="1" x14ac:dyDescent="0.25">
      <c r="A40" s="356" t="s">
        <v>138</v>
      </c>
      <c r="B40" s="380">
        <f>+DEFS!F54</f>
        <v>-151646.62999999989</v>
      </c>
      <c r="C40" s="416">
        <f>+B40/$P$11</f>
        <v>-45953.52424242421</v>
      </c>
      <c r="D40" s="65">
        <f>+DEFS!A40</f>
        <v>37046</v>
      </c>
      <c r="E40" t="s">
        <v>90</v>
      </c>
      <c r="F40" t="s">
        <v>110</v>
      </c>
      <c r="G40" t="s">
        <v>128</v>
      </c>
    </row>
    <row r="41" spans="1:15" ht="18" customHeight="1" x14ac:dyDescent="0.25">
      <c r="A41" s="356" t="s">
        <v>34</v>
      </c>
      <c r="B41" s="380">
        <f>+C41*$P$11</f>
        <v>-80157</v>
      </c>
      <c r="C41" s="416">
        <f>+SoCal!F40</f>
        <v>-24290</v>
      </c>
      <c r="D41" s="401">
        <f>+SoCal!A40</f>
        <v>37047</v>
      </c>
      <c r="E41" t="s">
        <v>89</v>
      </c>
      <c r="F41" t="s">
        <v>108</v>
      </c>
    </row>
    <row r="42" spans="1:15" ht="18" customHeight="1" x14ac:dyDescent="0.25">
      <c r="A42" s="356" t="s">
        <v>143</v>
      </c>
      <c r="B42" s="380">
        <f>+EPFS!D41</f>
        <v>-48631.93</v>
      </c>
      <c r="C42" s="416">
        <f>+B42/$P$12</f>
        <v>-13622.389355742298</v>
      </c>
      <c r="D42" s="317">
        <f>+EPFS!A41</f>
        <v>37047</v>
      </c>
      <c r="E42" t="s">
        <v>90</v>
      </c>
      <c r="F42" t="s">
        <v>110</v>
      </c>
    </row>
    <row r="43" spans="1:15" ht="18" customHeight="1" x14ac:dyDescent="0.25">
      <c r="A43" s="356" t="s">
        <v>8</v>
      </c>
      <c r="B43" s="380">
        <f>+C43*$P$11</f>
        <v>-41302.799999999996</v>
      </c>
      <c r="C43" s="416">
        <f>+Oasis!D40</f>
        <v>-12516</v>
      </c>
      <c r="D43" s="65">
        <f>+Oasis!B40</f>
        <v>37047</v>
      </c>
      <c r="E43" t="s">
        <v>89</v>
      </c>
      <c r="F43" t="s">
        <v>112</v>
      </c>
    </row>
    <row r="44" spans="1:15" ht="18" customHeight="1" x14ac:dyDescent="0.25">
      <c r="A44" s="356" t="s">
        <v>124</v>
      </c>
      <c r="B44" s="380">
        <f>+C44*$P$11</f>
        <v>-27594.6</v>
      </c>
      <c r="C44" s="416">
        <f>+'PG&amp;E'!D40</f>
        <v>-8362</v>
      </c>
      <c r="D44" s="65">
        <f>+'PG&amp;E'!A40</f>
        <v>37047</v>
      </c>
      <c r="E44" t="s">
        <v>89</v>
      </c>
      <c r="F44" t="s">
        <v>112</v>
      </c>
    </row>
    <row r="45" spans="1:15" ht="18" customHeight="1" x14ac:dyDescent="0.25">
      <c r="A45" s="356" t="s">
        <v>119</v>
      </c>
      <c r="B45" s="380">
        <f>+Continental!F43</f>
        <v>-19809.099999999999</v>
      </c>
      <c r="C45" s="416">
        <f>+B45/$P$11</f>
        <v>-6002.757575757576</v>
      </c>
      <c r="D45" s="65">
        <f>+Continental!A43</f>
        <v>37046</v>
      </c>
      <c r="E45" t="s">
        <v>90</v>
      </c>
      <c r="F45" t="s">
        <v>125</v>
      </c>
    </row>
    <row r="46" spans="1:15" ht="18" customHeight="1" x14ac:dyDescent="0.25">
      <c r="A46" s="356" t="s">
        <v>1</v>
      </c>
      <c r="B46" s="403">
        <f>+C46*$P$10</f>
        <v>-16306.079999999998</v>
      </c>
      <c r="C46" s="417">
        <f>+NW!$F$41</f>
        <v>-5908</v>
      </c>
      <c r="D46" s="317">
        <f>+NW!B41</f>
        <v>37047</v>
      </c>
      <c r="E46" t="s">
        <v>89</v>
      </c>
      <c r="F46" t="s">
        <v>109</v>
      </c>
    </row>
    <row r="47" spans="1:15" ht="18" customHeight="1" x14ac:dyDescent="0.25">
      <c r="A47" s="297" t="s">
        <v>106</v>
      </c>
      <c r="B47" s="380">
        <f>SUM(B37:B46)</f>
        <v>-1791519.04</v>
      </c>
      <c r="C47" s="416">
        <f>SUM(C37:C46)</f>
        <v>-561430.99528459611</v>
      </c>
      <c r="D47" s="314"/>
    </row>
    <row r="48" spans="1:15" ht="18" customHeight="1" x14ac:dyDescent="0.25">
      <c r="B48" s="414"/>
      <c r="C48" s="415"/>
    </row>
    <row r="49" spans="1:5" ht="18" customHeight="1" thickBot="1" x14ac:dyDescent="0.3">
      <c r="A49" s="34" t="s">
        <v>100</v>
      </c>
      <c r="B49" s="406">
        <f>+B47+B33</f>
        <v>7409212.5599999977</v>
      </c>
      <c r="C49" s="407">
        <f>+C47+C33</f>
        <v>2367015.4569551931</v>
      </c>
    </row>
    <row r="50" spans="1:5" ht="18" customHeight="1" thickTop="1" x14ac:dyDescent="0.25"/>
    <row r="51" spans="1:5" x14ac:dyDescent="0.25">
      <c r="A51" s="34" t="s">
        <v>101</v>
      </c>
      <c r="C51" s="342"/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97525</v>
      </c>
      <c r="C8" s="433">
        <v>97000</v>
      </c>
      <c r="D8" s="24">
        <f t="shared" si="0"/>
        <v>-525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500754</v>
      </c>
      <c r="C36" s="24">
        <f>SUM(C5:C35)</f>
        <v>492607</v>
      </c>
      <c r="D36" s="24">
        <f t="shared" si="0"/>
        <v>-8147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37042</v>
      </c>
      <c r="C38" s="24"/>
      <c r="D38" s="394">
        <v>-4369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37047</v>
      </c>
      <c r="C40" s="24"/>
      <c r="D40" s="195">
        <f>+D36+D38</f>
        <v>-12516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5" sqref="A2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5">
        <f>131768+33844</f>
        <v>165612</v>
      </c>
      <c r="C5" s="90">
        <v>173680</v>
      </c>
      <c r="D5" s="90">
        <f>+C5-B5</f>
        <v>8068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f>126243+31402</f>
        <v>157645</v>
      </c>
      <c r="C7" s="90">
        <v>159121</v>
      </c>
      <c r="D7" s="90">
        <f t="shared" si="0"/>
        <v>1476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92">
        <f>158156+38916</f>
        <v>197072</v>
      </c>
      <c r="C8" s="90">
        <v>200740</v>
      </c>
      <c r="D8" s="90">
        <f t="shared" si="0"/>
        <v>3668</v>
      </c>
      <c r="E8" s="287"/>
      <c r="F8" s="285"/>
    </row>
    <row r="9" spans="1:13" x14ac:dyDescent="0.25">
      <c r="A9" s="87">
        <v>500293</v>
      </c>
      <c r="B9" s="92">
        <f>64614+16232</f>
        <v>80846</v>
      </c>
      <c r="C9" s="90">
        <v>102156</v>
      </c>
      <c r="D9" s="90">
        <f t="shared" si="0"/>
        <v>21310</v>
      </c>
      <c r="E9" s="287"/>
      <c r="F9" s="285"/>
    </row>
    <row r="10" spans="1:13" x14ac:dyDescent="0.25">
      <c r="A10" s="87">
        <v>500302</v>
      </c>
      <c r="B10" s="90">
        <v>1865</v>
      </c>
      <c r="C10" s="331"/>
      <c r="D10" s="90">
        <f t="shared" si="0"/>
        <v>-1865</v>
      </c>
      <c r="E10" s="287"/>
      <c r="F10" s="285"/>
    </row>
    <row r="11" spans="1:13" x14ac:dyDescent="0.25">
      <c r="A11" s="87">
        <v>500303</v>
      </c>
      <c r="B11" s="331">
        <f>26530+6351</f>
        <v>32881</v>
      </c>
      <c r="C11" s="90">
        <v>55565</v>
      </c>
      <c r="D11" s="90">
        <f t="shared" si="0"/>
        <v>22684</v>
      </c>
      <c r="E11" s="287"/>
      <c r="F11" s="285"/>
    </row>
    <row r="12" spans="1:13" x14ac:dyDescent="0.25">
      <c r="A12" s="91">
        <v>500305</v>
      </c>
      <c r="B12" s="331">
        <f>139727+35294</f>
        <v>175021</v>
      </c>
      <c r="C12" s="90">
        <v>226685</v>
      </c>
      <c r="D12" s="90">
        <f t="shared" si="0"/>
        <v>51664</v>
      </c>
      <c r="E12" s="288"/>
      <c r="F12" s="285"/>
    </row>
    <row r="13" spans="1:13" x14ac:dyDescent="0.25">
      <c r="A13" s="87">
        <v>500307</v>
      </c>
      <c r="B13" s="331">
        <f>8314+2210</f>
        <v>10524</v>
      </c>
      <c r="C13" s="90">
        <v>11055</v>
      </c>
      <c r="D13" s="90">
        <f t="shared" si="0"/>
        <v>531</v>
      </c>
      <c r="E13" s="287"/>
      <c r="F13" s="285"/>
    </row>
    <row r="14" spans="1:13" x14ac:dyDescent="0.25">
      <c r="A14" s="87">
        <v>500313</v>
      </c>
      <c r="B14" s="90"/>
      <c r="C14" s="331">
        <v>525</v>
      </c>
      <c r="D14" s="90">
        <f t="shared" si="0"/>
        <v>525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98146</v>
      </c>
      <c r="C16" s="90"/>
      <c r="D16" s="90">
        <f t="shared" si="0"/>
        <v>-98146</v>
      </c>
      <c r="E16" s="287"/>
      <c r="F16" s="285"/>
    </row>
    <row r="17" spans="1:6" x14ac:dyDescent="0.25">
      <c r="A17" s="87">
        <v>500657</v>
      </c>
      <c r="B17" s="360">
        <f>28886+7041</f>
        <v>35927</v>
      </c>
      <c r="C17" s="88">
        <v>30000</v>
      </c>
      <c r="D17" s="94">
        <f t="shared" si="0"/>
        <v>-5927</v>
      </c>
      <c r="E17" s="287"/>
      <c r="F17" s="285"/>
    </row>
    <row r="18" spans="1:6" x14ac:dyDescent="0.25">
      <c r="A18" s="87"/>
      <c r="B18" s="88"/>
      <c r="C18" s="88"/>
      <c r="D18" s="88">
        <f>SUM(D5:D17)</f>
        <v>3988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3.3</v>
      </c>
      <c r="E19" s="289"/>
      <c r="F19" s="285"/>
    </row>
    <row r="20" spans="1:6" x14ac:dyDescent="0.25">
      <c r="A20" s="87"/>
      <c r="B20" s="88"/>
      <c r="C20" s="88"/>
      <c r="D20" s="96">
        <f>+D19*D18</f>
        <v>13160.4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37042</v>
      </c>
      <c r="B22" s="88"/>
      <c r="C22" s="88"/>
      <c r="D22" s="420">
        <v>149635.26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37047</v>
      </c>
      <c r="B24" s="88"/>
      <c r="C24" s="88"/>
      <c r="D24" s="359">
        <f>+D22+D20</f>
        <v>162795.66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E38" sqref="E3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207631</v>
      </c>
      <c r="C35" s="11">
        <f>SUM(C4:C34)</f>
        <v>206570</v>
      </c>
      <c r="D35" s="11">
        <f>SUM(D4:D34)</f>
        <v>201388</v>
      </c>
      <c r="E35" s="11">
        <f>SUM(E4:E34)</f>
        <v>190000</v>
      </c>
      <c r="F35" s="11">
        <f>+E35-D35+C35-B35</f>
        <v>-12449</v>
      </c>
    </row>
    <row r="36" spans="1:7" x14ac:dyDescent="0.2">
      <c r="A36" s="45"/>
      <c r="C36" s="14">
        <f>+C35-B35</f>
        <v>-1061</v>
      </c>
      <c r="D36" s="14"/>
      <c r="E36" s="14">
        <f>+E35-D35</f>
        <v>-11388</v>
      </c>
      <c r="F36" s="47"/>
    </row>
    <row r="37" spans="1:7" x14ac:dyDescent="0.2">
      <c r="C37" s="15">
        <f>+summary!P11</f>
        <v>3.3</v>
      </c>
      <c r="D37" s="15"/>
      <c r="E37" s="15">
        <f>+C37</f>
        <v>3.3</v>
      </c>
      <c r="F37" s="24"/>
    </row>
    <row r="38" spans="1:7" x14ac:dyDescent="0.2">
      <c r="C38" s="48">
        <f>+C37*C36</f>
        <v>-3501.2999999999997</v>
      </c>
      <c r="D38" s="47"/>
      <c r="E38" s="48">
        <f>+E37*E36</f>
        <v>-37580.400000000001</v>
      </c>
      <c r="F38" s="46">
        <f>+E38+C38</f>
        <v>-41081.700000000004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396">
        <v>2493268.61</v>
      </c>
      <c r="D40" s="111"/>
      <c r="E40" s="396">
        <v>-2072427.18</v>
      </c>
      <c r="F40" s="389">
        <f>+E40+C40</f>
        <v>420841.42999999993</v>
      </c>
      <c r="G40" s="25"/>
    </row>
    <row r="41" spans="1:7" x14ac:dyDescent="0.2">
      <c r="A41" s="57">
        <v>37047</v>
      </c>
      <c r="C41" s="106">
        <f>+C40+C38</f>
        <v>2489767.31</v>
      </c>
      <c r="D41" s="106"/>
      <c r="E41" s="106">
        <f>+E40+E38</f>
        <v>-2110007.58</v>
      </c>
      <c r="F41" s="106">
        <f>+E41+C41</f>
        <v>379759.73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D9" sqref="D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1055196</v>
      </c>
      <c r="C36" s="11">
        <f>SUM(C5:C35)</f>
        <v>1056413</v>
      </c>
      <c r="D36" s="11">
        <f>SUM(D5:D35)</f>
        <v>0</v>
      </c>
      <c r="E36" s="11">
        <f>SUM(E5:E35)</f>
        <v>5116</v>
      </c>
      <c r="F36" s="11">
        <f>SUM(F5:F35)</f>
        <v>-3899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37042</v>
      </c>
      <c r="F39" s="424">
        <v>-2009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37047</v>
      </c>
      <c r="F41" s="391">
        <f>+F39+F36</f>
        <v>-5908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5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5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5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5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286482</v>
      </c>
      <c r="C39" s="11">
        <f>SUM(C8:C38)</f>
        <v>283940</v>
      </c>
      <c r="D39" s="11">
        <f>SUM(D8:D38)</f>
        <v>-2542</v>
      </c>
      <c r="E39" s="10"/>
      <c r="F39" s="11"/>
      <c r="G39" s="11"/>
      <c r="H39" s="11"/>
    </row>
    <row r="40" spans="1:8" x14ac:dyDescent="0.25">
      <c r="A40" s="26"/>
      <c r="D40" s="75">
        <f>+summary!P11</f>
        <v>3.3</v>
      </c>
      <c r="E40" s="26"/>
      <c r="H40" s="75"/>
    </row>
    <row r="41" spans="1:8" x14ac:dyDescent="0.25">
      <c r="D41" s="197">
        <f>+D40*D39</f>
        <v>-8388.6</v>
      </c>
      <c r="F41" s="253"/>
      <c r="H41" s="197"/>
    </row>
    <row r="42" spans="1:8" x14ac:dyDescent="0.25">
      <c r="A42" s="57">
        <v>37042</v>
      </c>
      <c r="D42" s="399">
        <v>93488</v>
      </c>
      <c r="E42" s="57"/>
      <c r="H42" s="197"/>
    </row>
    <row r="43" spans="1:8" x14ac:dyDescent="0.25">
      <c r="A43" s="57">
        <v>37047</v>
      </c>
      <c r="D43" s="198">
        <f>+D42+D41</f>
        <v>85099.4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53" workbookViewId="3">
      <selection activeCell="B16" sqref="B1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37042</v>
      </c>
      <c r="C5" s="374">
        <v>724391.09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37046</v>
      </c>
      <c r="G7" s="32"/>
      <c r="H7" s="15"/>
      <c r="I7" s="32"/>
      <c r="J7" s="32"/>
    </row>
    <row r="8" spans="1:10" x14ac:dyDescent="0.25">
      <c r="A8" s="254">
        <v>60874</v>
      </c>
      <c r="B8" s="362">
        <v>460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2824-3155</f>
        <v>-331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2029-2551</f>
        <v>-522</v>
      </c>
      <c r="G11" s="32"/>
      <c r="H11" s="15"/>
      <c r="I11" s="32"/>
      <c r="J11" s="32"/>
    </row>
    <row r="12" spans="1:10" x14ac:dyDescent="0.25">
      <c r="A12" s="254">
        <v>500254</v>
      </c>
      <c r="B12" s="354">
        <f>238-1019</f>
        <v>-781</v>
      </c>
      <c r="G12" s="32"/>
      <c r="H12" s="15"/>
      <c r="I12" s="32"/>
      <c r="J12" s="32"/>
    </row>
    <row r="13" spans="1:10" x14ac:dyDescent="0.25">
      <c r="A13" s="32">
        <v>500255</v>
      </c>
      <c r="B13" s="354">
        <f>576+590+590+590-750-736-740-760</f>
        <v>-640</v>
      </c>
      <c r="G13" s="32"/>
      <c r="H13" s="15"/>
      <c r="I13" s="32"/>
      <c r="J13" s="32"/>
    </row>
    <row r="14" spans="1:10" x14ac:dyDescent="0.25">
      <c r="A14" s="32">
        <v>500262</v>
      </c>
      <c r="B14" s="354">
        <f>557-115</f>
        <v>442</v>
      </c>
      <c r="G14" s="32"/>
      <c r="H14" s="15"/>
      <c r="I14" s="32"/>
      <c r="J14" s="32"/>
    </row>
    <row r="15" spans="1:10" x14ac:dyDescent="0.25">
      <c r="A15" s="292">
        <v>500267</v>
      </c>
      <c r="B15" s="355">
        <f>227814-60000-175072</f>
        <v>-7258</v>
      </c>
      <c r="G15" s="32"/>
      <c r="H15" s="15"/>
      <c r="I15" s="32"/>
      <c r="J15" s="32"/>
    </row>
    <row r="16" spans="1:10" x14ac:dyDescent="0.25">
      <c r="B16" s="14">
        <f>SUM(B8:B15)</f>
        <v>-8630</v>
      </c>
      <c r="G16" s="32"/>
      <c r="H16" s="15"/>
      <c r="I16" s="32"/>
      <c r="J16" s="32"/>
    </row>
    <row r="17" spans="1:10" x14ac:dyDescent="0.25">
      <c r="B17" s="15">
        <f>+B30</f>
        <v>3.3</v>
      </c>
      <c r="C17" s="201">
        <f>+B17*B16</f>
        <v>-28479</v>
      </c>
      <c r="G17" s="32"/>
      <c r="H17" s="15"/>
      <c r="I17" s="32"/>
      <c r="J17" s="32"/>
    </row>
    <row r="18" spans="1:10" x14ac:dyDescent="0.25">
      <c r="C18" s="365">
        <f>+C17+C5</f>
        <v>695912.09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37042</v>
      </c>
      <c r="C24" s="383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37046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3.3</v>
      </c>
      <c r="C30" s="201">
        <f>+B30*B29</f>
        <v>0</v>
      </c>
    </row>
    <row r="31" spans="1:10" x14ac:dyDescent="0.25">
      <c r="C31" s="365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37042</v>
      </c>
      <c r="C38" s="383">
        <v>662150.47</v>
      </c>
      <c r="E38" s="15"/>
      <c r="F38" s="269"/>
    </row>
    <row r="40" spans="1:6" x14ac:dyDescent="0.25">
      <c r="A40" s="250">
        <v>37046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772</v>
      </c>
    </row>
    <row r="43" spans="1:6" x14ac:dyDescent="0.25">
      <c r="A43" s="32">
        <v>500392</v>
      </c>
      <c r="B43" s="258">
        <v>307</v>
      </c>
    </row>
    <row r="44" spans="1:6" x14ac:dyDescent="0.25">
      <c r="B44" s="14">
        <f>SUM(B41:B43)</f>
        <v>1079</v>
      </c>
    </row>
    <row r="45" spans="1:6" x14ac:dyDescent="0.25">
      <c r="B45" s="201">
        <f>+B30</f>
        <v>3.3</v>
      </c>
      <c r="C45" s="201">
        <f>+B45*B44</f>
        <v>3560.7</v>
      </c>
    </row>
    <row r="46" spans="1:6" x14ac:dyDescent="0.25">
      <c r="C46" s="365">
        <f>+C45+C38</f>
        <v>665711.16999999993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25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26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27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70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1855052.4400000002</v>
      </c>
    </row>
    <row r="63" spans="1:9" x14ac:dyDescent="0.25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3.2" x14ac:dyDescent="0.25"/>
  <cols>
    <col min="3" max="3" width="9.88671875" bestFit="1" customWidth="1"/>
    <col min="6" max="6" width="12.3320312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5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5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5">
      <c r="A7" s="10">
        <v>4</v>
      </c>
      <c r="B7" s="11"/>
      <c r="C7" s="11"/>
      <c r="D7" s="129">
        <v>24411</v>
      </c>
      <c r="E7" s="11">
        <v>23536</v>
      </c>
      <c r="F7" s="11">
        <f t="shared" si="0"/>
        <v>-875</v>
      </c>
      <c r="G7" s="11"/>
      <c r="H7" s="24"/>
    </row>
    <row r="8" spans="1:8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0</v>
      </c>
      <c r="C35" s="11">
        <f>SUM(C4:C34)</f>
        <v>0</v>
      </c>
      <c r="D35" s="11">
        <f>SUM(D4:D34)</f>
        <v>97631</v>
      </c>
      <c r="E35" s="11">
        <f>SUM(E4:E34)</f>
        <v>94608</v>
      </c>
      <c r="F35" s="11">
        <f>SUM(F4:F34)</f>
        <v>-3023</v>
      </c>
      <c r="G35" s="11"/>
      <c r="H35" s="11"/>
    </row>
    <row r="36" spans="1:8" x14ac:dyDescent="0.25">
      <c r="C36" s="25">
        <f>+C35-B35</f>
        <v>0</v>
      </c>
      <c r="E36" s="25">
        <f>+E35-D35</f>
        <v>-3023</v>
      </c>
      <c r="F36" s="25">
        <f>+E36+C36</f>
        <v>-3023</v>
      </c>
    </row>
    <row r="37" spans="1:8" x14ac:dyDescent="0.25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5">
      <c r="C38" s="138">
        <f>+C37*C36</f>
        <v>0</v>
      </c>
      <c r="E38" s="138">
        <f>+E37*E36</f>
        <v>-10792.109999999999</v>
      </c>
      <c r="F38" s="138">
        <f>+F37*F36</f>
        <v>-10792.109999999999</v>
      </c>
    </row>
    <row r="39" spans="1:8" x14ac:dyDescent="0.25">
      <c r="A39" s="57">
        <v>37042</v>
      </c>
      <c r="B39" s="2" t="s">
        <v>47</v>
      </c>
      <c r="C39" s="428">
        <v>-1023426</v>
      </c>
      <c r="D39" s="364"/>
      <c r="E39" s="428">
        <v>-366520</v>
      </c>
      <c r="F39" s="363">
        <f>+E39+C39</f>
        <v>-1389946</v>
      </c>
      <c r="G39" s="51"/>
      <c r="H39" s="24"/>
    </row>
    <row r="40" spans="1:8" x14ac:dyDescent="0.25">
      <c r="A40" s="57">
        <v>37046</v>
      </c>
      <c r="B40" s="2" t="s">
        <v>47</v>
      </c>
      <c r="C40" s="351">
        <f>+C39+C38</f>
        <v>-1023426</v>
      </c>
      <c r="D40" s="260"/>
      <c r="E40" s="351">
        <f>+E39+E38</f>
        <v>-377312.11</v>
      </c>
      <c r="F40" s="351">
        <f>+F39+F38</f>
        <v>-1400738.11</v>
      </c>
      <c r="G40" s="131"/>
      <c r="H40" s="131"/>
    </row>
    <row r="41" spans="1:8" x14ac:dyDescent="0.25">
      <c r="C41" s="384"/>
      <c r="D41" s="251"/>
      <c r="E41" s="251"/>
      <c r="F41" s="251"/>
      <c r="G41" s="25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383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383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85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383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383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26">
        <v>-611980.99</v>
      </c>
      <c r="G49" s="255" t="s">
        <v>132</v>
      </c>
    </row>
    <row r="50" spans="2:7" x14ac:dyDescent="0.25">
      <c r="C50" s="251"/>
      <c r="D50" s="251"/>
      <c r="E50" s="251"/>
      <c r="F50" s="386">
        <f>SUM(F40:F49)</f>
        <v>-2006699.07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1855052.4400000002</v>
      </c>
    </row>
    <row r="54" spans="2:7" x14ac:dyDescent="0.25">
      <c r="F54" s="104">
        <f>+F52+F50</f>
        <v>-151646.62999999989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A44" sqref="A44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6464</v>
      </c>
      <c r="C8" s="11">
        <v>6163</v>
      </c>
      <c r="D8" s="11"/>
      <c r="E8" s="11"/>
      <c r="F8" s="11">
        <v>1156</v>
      </c>
      <c r="G8" s="11">
        <v>1178</v>
      </c>
      <c r="H8" s="11">
        <v>2086</v>
      </c>
      <c r="I8" s="11">
        <v>1619</v>
      </c>
      <c r="J8" s="25">
        <f>+C8-B8+E8-D8+G8-F8+I8-H8</f>
        <v>-746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5980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31029</v>
      </c>
      <c r="C39" s="11">
        <f t="shared" si="1"/>
        <v>30815</v>
      </c>
      <c r="D39" s="11">
        <f t="shared" si="1"/>
        <v>0</v>
      </c>
      <c r="E39" s="11">
        <f t="shared" si="1"/>
        <v>0</v>
      </c>
      <c r="F39" s="11">
        <f t="shared" si="1"/>
        <v>4777</v>
      </c>
      <c r="G39" s="11">
        <f t="shared" si="1"/>
        <v>5890</v>
      </c>
      <c r="H39" s="11">
        <f t="shared" si="1"/>
        <v>9888</v>
      </c>
      <c r="I39" s="11">
        <f t="shared" si="1"/>
        <v>8095</v>
      </c>
      <c r="J39" s="25">
        <f t="shared" si="1"/>
        <v>-894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3.3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-2950.2</v>
      </c>
      <c r="L41"/>
      <c r="R41" s="138"/>
      <c r="X41" s="138"/>
    </row>
    <row r="42" spans="1:24" x14ac:dyDescent="0.25">
      <c r="A42" s="57">
        <v>37042</v>
      </c>
      <c r="C42" s="15"/>
      <c r="J42" s="429">
        <v>346806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37047</v>
      </c>
      <c r="C43" s="48"/>
      <c r="J43" s="138">
        <f>+J42+J41</f>
        <v>343855.8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workbookViewId="3">
      <selection activeCell="C13" sqref="C13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12353</v>
      </c>
      <c r="C8" s="11">
        <v>11113</v>
      </c>
      <c r="D8" s="25">
        <f>+C8-B8</f>
        <v>-1240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12672</v>
      </c>
      <c r="C9" s="11">
        <v>11039</v>
      </c>
      <c r="D9" s="25">
        <f>+C9-B9</f>
        <v>-1633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12650</v>
      </c>
      <c r="C10" s="11">
        <v>11039</v>
      </c>
      <c r="D10" s="25">
        <f t="shared" ref="D10:D38" si="0">+C10-B10</f>
        <v>-1611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12883</v>
      </c>
      <c r="C11" s="11">
        <v>11039</v>
      </c>
      <c r="D11" s="25">
        <f t="shared" si="0"/>
        <v>-1844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13332</v>
      </c>
      <c r="C12" s="11">
        <v>11039</v>
      </c>
      <c r="D12" s="25">
        <f t="shared" si="0"/>
        <v>-2293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63890</v>
      </c>
      <c r="C39" s="11">
        <f>SUM(C8:C38)</f>
        <v>55269</v>
      </c>
      <c r="D39" s="11">
        <f>SUM(D8:D38)</f>
        <v>-8621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3.3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-28449.3</v>
      </c>
      <c r="H41" s="138"/>
      <c r="L41" s="138"/>
      <c r="P41" s="138"/>
      <c r="T41" s="138"/>
      <c r="X41" s="138"/>
    </row>
    <row r="42" spans="1:24" x14ac:dyDescent="0.25">
      <c r="A42" s="57">
        <v>37042</v>
      </c>
      <c r="C42" s="15"/>
      <c r="D42" s="390">
        <v>649489.49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37047</v>
      </c>
      <c r="C43" s="48"/>
      <c r="D43" s="110">
        <f>+D42+D41</f>
        <v>621040.18999999994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7">
        <v>-641</v>
      </c>
      <c r="C6" s="80"/>
      <c r="D6" s="80">
        <f t="shared" ref="D6:D14" si="0">+C6-B6</f>
        <v>641</v>
      </c>
    </row>
    <row r="7" spans="1:8" x14ac:dyDescent="0.2">
      <c r="A7" s="32">
        <v>3531</v>
      </c>
      <c r="B7" s="377">
        <f>-99348-22630</f>
        <v>-121978</v>
      </c>
      <c r="C7" s="80">
        <v>-70205</v>
      </c>
      <c r="D7" s="80">
        <f t="shared" si="0"/>
        <v>51773</v>
      </c>
    </row>
    <row r="8" spans="1:8" x14ac:dyDescent="0.2">
      <c r="A8" s="32">
        <v>60667</v>
      </c>
      <c r="B8" s="377">
        <f>-77346-65470</f>
        <v>-142816</v>
      </c>
      <c r="C8" s="80"/>
      <c r="D8" s="80">
        <f t="shared" si="0"/>
        <v>142816</v>
      </c>
      <c r="H8" s="255"/>
    </row>
    <row r="9" spans="1:8" x14ac:dyDescent="0.2">
      <c r="A9" s="32">
        <v>60749</v>
      </c>
      <c r="B9" s="369">
        <f>41411+188</f>
        <v>41599</v>
      </c>
      <c r="C9" s="80">
        <v>-133507</v>
      </c>
      <c r="D9" s="80">
        <f t="shared" si="0"/>
        <v>-175106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7">
        <v>-22015</v>
      </c>
      <c r="C11" s="80"/>
      <c r="D11" s="80">
        <f t="shared" si="0"/>
        <v>22015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42139</v>
      </c>
    </row>
    <row r="19" spans="1:5" x14ac:dyDescent="0.2">
      <c r="A19" s="32" t="s">
        <v>86</v>
      </c>
      <c r="B19" s="69"/>
      <c r="C19" s="69"/>
      <c r="D19" s="73">
        <f>+summary!P11</f>
        <v>3.3</v>
      </c>
    </row>
    <row r="20" spans="1:5" x14ac:dyDescent="0.2">
      <c r="B20" s="69"/>
      <c r="C20" s="69"/>
      <c r="D20" s="75">
        <f>+D19*D18</f>
        <v>139058.69999999998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30">
        <v>1040469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37047</v>
      </c>
      <c r="B24" s="69"/>
      <c r="C24" s="69"/>
      <c r="D24" s="388">
        <f>+D22+D20</f>
        <v>1179527.7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C34" sqref="C34"/>
    </sheetView>
  </sheetViews>
  <sheetFormatPr defaultRowHeight="13.2" x14ac:dyDescent="0.25"/>
  <cols>
    <col min="2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383958</v>
      </c>
      <c r="C8" s="11">
        <v>398502</v>
      </c>
      <c r="D8" s="11">
        <v>56652</v>
      </c>
      <c r="E8" s="11">
        <v>51016</v>
      </c>
      <c r="F8" s="11">
        <v>75483</v>
      </c>
      <c r="G8" s="11">
        <v>70290</v>
      </c>
      <c r="H8" s="11">
        <v>93011</v>
      </c>
      <c r="I8" s="11">
        <v>84699</v>
      </c>
      <c r="J8" s="11">
        <f t="shared" si="0"/>
        <v>-4597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1893633</v>
      </c>
      <c r="C35" s="11">
        <f t="shared" ref="C35:I35" si="1">SUM(C4:C34)</f>
        <v>1971055</v>
      </c>
      <c r="D35" s="11">
        <f t="shared" si="1"/>
        <v>283926</v>
      </c>
      <c r="E35" s="11">
        <f t="shared" si="1"/>
        <v>279102</v>
      </c>
      <c r="F35" s="11">
        <f t="shared" si="1"/>
        <v>388771</v>
      </c>
      <c r="G35" s="11">
        <f t="shared" si="1"/>
        <v>335655</v>
      </c>
      <c r="H35" s="11">
        <f t="shared" si="1"/>
        <v>416724</v>
      </c>
      <c r="I35" s="11">
        <f t="shared" si="1"/>
        <v>418618</v>
      </c>
      <c r="J35" s="11">
        <f>SUM(J4:J34)</f>
        <v>21376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37042</v>
      </c>
      <c r="C38" s="25"/>
      <c r="E38" s="25"/>
      <c r="G38" s="25"/>
      <c r="I38" s="25"/>
      <c r="J38" s="421">
        <v>278782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37047</v>
      </c>
      <c r="J40" s="51">
        <f>+J38+J35</f>
        <v>300158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331">
        <f>-7560-1832</f>
        <v>-9392</v>
      </c>
      <c r="C5" s="90">
        <v>-9175</v>
      </c>
      <c r="D5" s="90">
        <f t="shared" ref="D5:D13" si="0">+C5-B5</f>
        <v>217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31">
        <f>-488842-142747</f>
        <v>-631589</v>
      </c>
      <c r="C7" s="90">
        <v>-543926</v>
      </c>
      <c r="D7" s="90">
        <f t="shared" si="0"/>
        <v>87663</v>
      </c>
      <c r="E7" s="287"/>
      <c r="F7" s="70"/>
    </row>
    <row r="8" spans="1:13" x14ac:dyDescent="0.25">
      <c r="A8" s="87">
        <v>58710</v>
      </c>
      <c r="B8" s="331">
        <v>-9364</v>
      </c>
      <c r="C8" s="90">
        <v>-330</v>
      </c>
      <c r="D8" s="90">
        <f t="shared" si="0"/>
        <v>9034</v>
      </c>
      <c r="E8" s="287"/>
      <c r="F8" s="70"/>
    </row>
    <row r="9" spans="1:13" x14ac:dyDescent="0.25">
      <c r="A9" s="87">
        <v>60921</v>
      </c>
      <c r="B9" s="331">
        <f>315056+77006</f>
        <v>392062</v>
      </c>
      <c r="C9" s="90">
        <v>307368</v>
      </c>
      <c r="D9" s="90">
        <f t="shared" si="0"/>
        <v>-84694</v>
      </c>
      <c r="E9" s="287"/>
      <c r="F9" s="70"/>
    </row>
    <row r="10" spans="1:13" x14ac:dyDescent="0.25">
      <c r="A10" s="87">
        <v>78026</v>
      </c>
      <c r="B10" s="331"/>
      <c r="C10" s="90">
        <v>7000</v>
      </c>
      <c r="D10" s="90">
        <f t="shared" si="0"/>
        <v>7000</v>
      </c>
      <c r="E10" s="287"/>
      <c r="F10" s="285"/>
    </row>
    <row r="11" spans="1:13" x14ac:dyDescent="0.25">
      <c r="A11" s="87">
        <v>500084</v>
      </c>
      <c r="B11" s="331">
        <f>-2347-423</f>
        <v>-2770</v>
      </c>
      <c r="C11" s="90">
        <v>-5000</v>
      </c>
      <c r="D11" s="90">
        <f t="shared" si="0"/>
        <v>-2230</v>
      </c>
      <c r="E11" s="288"/>
      <c r="F11" s="285"/>
    </row>
    <row r="12" spans="1:13" x14ac:dyDescent="0.25">
      <c r="A12" s="358">
        <v>500085</v>
      </c>
      <c r="B12" s="90"/>
      <c r="C12" s="90"/>
      <c r="D12" s="90">
        <f t="shared" si="0"/>
        <v>0</v>
      </c>
      <c r="E12" s="287"/>
      <c r="F12" s="285"/>
    </row>
    <row r="13" spans="1:13" x14ac:dyDescent="0.25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16990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3.3</v>
      </c>
      <c r="E18" s="289"/>
      <c r="F18" s="285"/>
    </row>
    <row r="19" spans="1:7" x14ac:dyDescent="0.25">
      <c r="A19" s="87"/>
      <c r="B19" s="88"/>
      <c r="C19" s="88"/>
      <c r="D19" s="96">
        <f>+D18*D17</f>
        <v>56067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37042</v>
      </c>
      <c r="B21" s="88"/>
      <c r="C21" s="88"/>
      <c r="D21" s="431">
        <v>597448.82999999996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37047</v>
      </c>
      <c r="B23" s="88"/>
      <c r="C23" s="88"/>
      <c r="D23" s="359">
        <f>+D21+D19</f>
        <v>653515.82999999996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63620</v>
      </c>
      <c r="C3" s="90">
        <v>62288</v>
      </c>
      <c r="D3" s="90"/>
      <c r="E3" s="90"/>
      <c r="F3" s="90">
        <f>+C3-B3+D3-E3</f>
        <v>-1332</v>
      </c>
    </row>
    <row r="4" spans="1:6" x14ac:dyDescent="0.25">
      <c r="A4">
        <v>2</v>
      </c>
      <c r="B4" s="90">
        <v>56372</v>
      </c>
      <c r="C4" s="90">
        <v>61906</v>
      </c>
      <c r="D4" s="90">
        <v>-748</v>
      </c>
      <c r="E4" s="90"/>
      <c r="F4" s="90">
        <f t="shared" ref="F4:F33" si="0">+C4-B4+D4-E4</f>
        <v>4786</v>
      </c>
    </row>
    <row r="5" spans="1:6" x14ac:dyDescent="0.25">
      <c r="A5">
        <v>3</v>
      </c>
      <c r="B5" s="90">
        <v>56757</v>
      </c>
      <c r="C5" s="90">
        <v>62291</v>
      </c>
      <c r="D5" s="90"/>
      <c r="E5" s="90"/>
      <c r="F5" s="90">
        <f t="shared" si="0"/>
        <v>5534</v>
      </c>
    </row>
    <row r="6" spans="1:6" x14ac:dyDescent="0.25">
      <c r="A6">
        <v>4</v>
      </c>
      <c r="B6" s="90">
        <v>62916</v>
      </c>
      <c r="C6" s="90">
        <v>62291</v>
      </c>
      <c r="D6" s="90"/>
      <c r="E6" s="90"/>
      <c r="F6" s="90">
        <f t="shared" si="0"/>
        <v>-625</v>
      </c>
    </row>
    <row r="7" spans="1:6" x14ac:dyDescent="0.25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81"/>
      <c r="C20" s="381"/>
      <c r="D20" s="14"/>
      <c r="E20" s="14"/>
      <c r="F20" s="90">
        <f t="shared" si="0"/>
        <v>0</v>
      </c>
    </row>
    <row r="21" spans="1:6" x14ac:dyDescent="0.25">
      <c r="A21">
        <v>19</v>
      </c>
      <c r="B21" s="381"/>
      <c r="C21" s="381"/>
      <c r="D21" s="14"/>
      <c r="E21" s="14"/>
      <c r="F21" s="90">
        <f t="shared" si="0"/>
        <v>0</v>
      </c>
    </row>
    <row r="22" spans="1:6" x14ac:dyDescent="0.25">
      <c r="A22">
        <v>20</v>
      </c>
      <c r="B22" s="381"/>
      <c r="C22" s="381"/>
      <c r="D22" s="14"/>
      <c r="E22" s="14"/>
      <c r="F22" s="90">
        <f t="shared" si="0"/>
        <v>0</v>
      </c>
    </row>
    <row r="23" spans="1:6" x14ac:dyDescent="0.25">
      <c r="A23">
        <v>21</v>
      </c>
      <c r="B23" s="381"/>
      <c r="C23" s="381"/>
      <c r="D23" s="14"/>
      <c r="E23" s="14"/>
      <c r="F23" s="90">
        <f t="shared" si="0"/>
        <v>0</v>
      </c>
    </row>
    <row r="24" spans="1:6" x14ac:dyDescent="0.25">
      <c r="A24">
        <v>22</v>
      </c>
      <c r="B24" s="381"/>
      <c r="C24" s="381"/>
      <c r="D24" s="14"/>
      <c r="E24" s="14"/>
      <c r="F24" s="90">
        <f t="shared" si="0"/>
        <v>0</v>
      </c>
    </row>
    <row r="25" spans="1:6" x14ac:dyDescent="0.25">
      <c r="A25">
        <v>23</v>
      </c>
      <c r="B25" s="381"/>
      <c r="C25" s="381"/>
      <c r="D25" s="14"/>
      <c r="E25" s="14"/>
      <c r="F25" s="90">
        <f t="shared" si="0"/>
        <v>0</v>
      </c>
    </row>
    <row r="26" spans="1:6" x14ac:dyDescent="0.25">
      <c r="A26">
        <v>24</v>
      </c>
      <c r="B26" s="381"/>
      <c r="C26" s="381"/>
      <c r="D26" s="14"/>
      <c r="E26" s="14"/>
      <c r="F26" s="90">
        <f t="shared" si="0"/>
        <v>0</v>
      </c>
    </row>
    <row r="27" spans="1:6" x14ac:dyDescent="0.25">
      <c r="A27">
        <v>25</v>
      </c>
      <c r="B27" s="381"/>
      <c r="C27" s="381"/>
      <c r="D27" s="14"/>
      <c r="E27" s="14"/>
      <c r="F27" s="90">
        <f t="shared" si="0"/>
        <v>0</v>
      </c>
    </row>
    <row r="28" spans="1:6" x14ac:dyDescent="0.25">
      <c r="A28">
        <v>26</v>
      </c>
      <c r="B28" s="381"/>
      <c r="C28" s="381"/>
      <c r="D28" s="14"/>
      <c r="E28" s="14"/>
      <c r="F28" s="90">
        <f t="shared" si="0"/>
        <v>0</v>
      </c>
    </row>
    <row r="29" spans="1:6" x14ac:dyDescent="0.25">
      <c r="A29">
        <v>27</v>
      </c>
      <c r="B29" s="381"/>
      <c r="C29" s="381"/>
      <c r="D29" s="14"/>
      <c r="E29" s="14"/>
      <c r="F29" s="90">
        <f t="shared" si="0"/>
        <v>0</v>
      </c>
    </row>
    <row r="30" spans="1:6" x14ac:dyDescent="0.25">
      <c r="A30">
        <v>28</v>
      </c>
      <c r="B30" s="381"/>
      <c r="C30" s="381"/>
      <c r="D30" s="14"/>
      <c r="E30" s="14"/>
      <c r="F30" s="90">
        <f t="shared" si="0"/>
        <v>0</v>
      </c>
    </row>
    <row r="31" spans="1:6" x14ac:dyDescent="0.25">
      <c r="A31">
        <v>29</v>
      </c>
      <c r="B31" s="381"/>
      <c r="C31" s="381"/>
      <c r="D31" s="14"/>
      <c r="E31" s="14"/>
      <c r="F31" s="90">
        <f t="shared" si="0"/>
        <v>0</v>
      </c>
    </row>
    <row r="32" spans="1:6" x14ac:dyDescent="0.25">
      <c r="A32">
        <v>30</v>
      </c>
      <c r="B32" s="381"/>
      <c r="C32" s="381"/>
      <c r="D32" s="14"/>
      <c r="E32" s="14"/>
      <c r="F32" s="90">
        <f t="shared" si="0"/>
        <v>0</v>
      </c>
    </row>
    <row r="33" spans="1:6" x14ac:dyDescent="0.25">
      <c r="A33">
        <v>31</v>
      </c>
      <c r="B33" s="381"/>
      <c r="C33" s="381"/>
      <c r="D33" s="14"/>
      <c r="E33" s="14"/>
      <c r="F33" s="90">
        <f t="shared" si="0"/>
        <v>0</v>
      </c>
    </row>
    <row r="34" spans="1:6" x14ac:dyDescent="0.25">
      <c r="B34" s="299">
        <f>SUM(B3:B33)</f>
        <v>306192</v>
      </c>
      <c r="C34" s="299">
        <f>SUM(C3:C33)</f>
        <v>318379</v>
      </c>
      <c r="D34" s="14">
        <f>SUM(D3:D33)</f>
        <v>-748</v>
      </c>
      <c r="E34" s="14">
        <f>SUM(E3:E33)</f>
        <v>0</v>
      </c>
      <c r="F34" s="14">
        <f>SUM(F3:F33)</f>
        <v>11439</v>
      </c>
    </row>
    <row r="35" spans="1:6" x14ac:dyDescent="0.25">
      <c r="D35" s="14"/>
      <c r="E35" s="14"/>
      <c r="F35" s="14"/>
    </row>
    <row r="36" spans="1:6" x14ac:dyDescent="0.25">
      <c r="F36" s="387"/>
    </row>
    <row r="37" spans="1:6" x14ac:dyDescent="0.25">
      <c r="A37" s="264">
        <v>37042</v>
      </c>
      <c r="B37" s="14"/>
      <c r="C37" s="14"/>
      <c r="D37" s="14"/>
      <c r="E37" s="14"/>
      <c r="F37" s="329">
        <v>95914</v>
      </c>
    </row>
    <row r="38" spans="1:6" x14ac:dyDescent="0.25">
      <c r="A38" s="264">
        <v>37047</v>
      </c>
      <c r="B38" s="14"/>
      <c r="C38" s="14"/>
      <c r="D38" s="14"/>
      <c r="E38" s="14"/>
      <c r="F38" s="150">
        <f>+F37+F34</f>
        <v>107353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5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5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5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5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125000</v>
      </c>
      <c r="C35" s="11">
        <f>SUM(C4:C34)</f>
        <v>126299</v>
      </c>
      <c r="D35" s="11">
        <f>SUM(D4:D34)</f>
        <v>1299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37042</v>
      </c>
      <c r="D38" s="51">
        <v>3950</v>
      </c>
    </row>
    <row r="39" spans="1:4" x14ac:dyDescent="0.25">
      <c r="A39" s="2"/>
      <c r="D39" s="24"/>
    </row>
    <row r="40" spans="1:4" x14ac:dyDescent="0.25">
      <c r="A40" s="57">
        <v>37047</v>
      </c>
      <c r="D40" s="36">
        <f>+D38+D35</f>
        <v>5249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H33" sqref="H3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24251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-668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24317</v>
      </c>
      <c r="C8" s="11">
        <v>24500</v>
      </c>
      <c r="D8" s="11">
        <v>9434</v>
      </c>
      <c r="E8" s="11">
        <v>8606</v>
      </c>
      <c r="F8" s="11"/>
      <c r="G8" s="11"/>
      <c r="H8" s="11"/>
      <c r="I8" s="11"/>
      <c r="J8" s="11">
        <f t="shared" si="0"/>
        <v>-645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122207</v>
      </c>
      <c r="C35" s="11">
        <f t="shared" ref="C35:I35" si="1">SUM(C4:C34)</f>
        <v>123246</v>
      </c>
      <c r="D35" s="11">
        <f t="shared" si="1"/>
        <v>45972</v>
      </c>
      <c r="E35" s="11">
        <f t="shared" si="1"/>
        <v>45424</v>
      </c>
      <c r="F35" s="11">
        <f t="shared" si="1"/>
        <v>470</v>
      </c>
      <c r="G35" s="11">
        <f t="shared" si="1"/>
        <v>0</v>
      </c>
      <c r="H35" s="11">
        <f t="shared" si="1"/>
        <v>667</v>
      </c>
      <c r="I35" s="11">
        <f t="shared" si="1"/>
        <v>0</v>
      </c>
      <c r="J35" s="11">
        <f>SUM(J4:J34)</f>
        <v>-646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3.3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-2131.7999999999997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37042</v>
      </c>
      <c r="C39" s="25"/>
      <c r="E39" s="25"/>
      <c r="G39" s="25"/>
      <c r="I39" s="25"/>
      <c r="J39" s="395">
        <v>409153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3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37047</v>
      </c>
      <c r="J41" s="363">
        <f>+J39+J37</f>
        <v>407021.2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4" workbookViewId="3">
      <selection activeCell="C30" sqref="C3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36068</v>
      </c>
      <c r="F9" s="24">
        <f t="shared" si="0"/>
        <v>2287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42962</v>
      </c>
      <c r="F10" s="24">
        <f t="shared" si="0"/>
        <v>-238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135738</v>
      </c>
      <c r="E37" s="24">
        <f>SUM(E6:E36)</f>
        <v>143986</v>
      </c>
      <c r="F37" s="24">
        <f>SUM(F6:F36)</f>
        <v>8248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3.3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27218.399999999998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32">
        <v>326781.87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37047</v>
      </c>
      <c r="E41" s="14"/>
      <c r="F41" s="104">
        <f>+F40+F39</f>
        <v>354000.27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E11" sqref="E1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5">
      <c r="A11" s="10">
        <v>4</v>
      </c>
      <c r="B11" s="11"/>
      <c r="C11" s="11"/>
      <c r="D11" s="11">
        <v>6</v>
      </c>
      <c r="E11" s="11"/>
      <c r="F11" s="25">
        <f t="shared" si="0"/>
        <v>-6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68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47</v>
      </c>
      <c r="E39" s="11">
        <f>SUM(E8:E38)</f>
        <v>40</v>
      </c>
      <c r="F39" s="25">
        <f>SUM(F8:F38)</f>
        <v>-7</v>
      </c>
    </row>
    <row r="40" spans="1:6" x14ac:dyDescent="0.25">
      <c r="A40" s="26"/>
      <c r="C40" s="14"/>
      <c r="F40" s="261">
        <f>+summary!P11</f>
        <v>3.3</v>
      </c>
    </row>
    <row r="41" spans="1:6" x14ac:dyDescent="0.25">
      <c r="F41" s="138">
        <f>+F40*F39</f>
        <v>-23.099999999999998</v>
      </c>
    </row>
    <row r="42" spans="1:6" x14ac:dyDescent="0.25">
      <c r="A42" s="57">
        <v>37042</v>
      </c>
      <c r="C42" s="15"/>
      <c r="F42" s="379">
        <v>-19786</v>
      </c>
    </row>
    <row r="43" spans="1:6" x14ac:dyDescent="0.25">
      <c r="A43" s="57">
        <v>37046</v>
      </c>
      <c r="C43" s="48"/>
      <c r="F43" s="138">
        <f>+F42+F41</f>
        <v>-19809.099999999999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3.3</v>
      </c>
    </row>
    <row r="41" spans="1:4" x14ac:dyDescent="0.25">
      <c r="D41" s="138">
        <f>+D40*D39</f>
        <v>0</v>
      </c>
    </row>
    <row r="42" spans="1:4" x14ac:dyDescent="0.25">
      <c r="A42" s="57">
        <v>37042</v>
      </c>
      <c r="C42" s="15"/>
      <c r="D42" s="373">
        <v>353361</v>
      </c>
    </row>
    <row r="43" spans="1:4" x14ac:dyDescent="0.25">
      <c r="A43" s="57">
        <v>37046</v>
      </c>
      <c r="C43" s="48"/>
      <c r="D43" s="138">
        <f>+D42+D41</f>
        <v>353361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5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5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5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5">
      <c r="A10" s="10">
        <v>5</v>
      </c>
      <c r="B10" s="11">
        <v>-41681</v>
      </c>
      <c r="C10" s="11">
        <v>-45983</v>
      </c>
      <c r="D10" s="25">
        <f t="shared" si="0"/>
        <v>-4302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-212214</v>
      </c>
      <c r="C37" s="11">
        <f>SUM(C6:C36)</f>
        <v>-193033</v>
      </c>
      <c r="D37" s="25">
        <f>SUM(D6:D36)</f>
        <v>19181</v>
      </c>
    </row>
    <row r="38" spans="1:4" x14ac:dyDescent="0.25">
      <c r="A38" s="26"/>
      <c r="C38" s="14"/>
      <c r="D38" s="378">
        <f>+summary!P11</f>
        <v>3.3</v>
      </c>
    </row>
    <row r="39" spans="1:4" x14ac:dyDescent="0.25">
      <c r="D39" s="138">
        <f>+D38*D37</f>
        <v>63297.299999999996</v>
      </c>
    </row>
    <row r="40" spans="1:4" x14ac:dyDescent="0.25">
      <c r="A40" s="57">
        <v>37042</v>
      </c>
      <c r="C40" s="15"/>
      <c r="D40" s="379">
        <v>-357043</v>
      </c>
    </row>
    <row r="41" spans="1:4" x14ac:dyDescent="0.25">
      <c r="A41" s="57">
        <v>37047</v>
      </c>
      <c r="C41" s="48"/>
      <c r="D41" s="138">
        <f>+D40+D39</f>
        <v>-293745.7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5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5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5">
      <c r="A9" s="10">
        <v>4</v>
      </c>
      <c r="B9" s="11">
        <v>32371</v>
      </c>
      <c r="C9" s="11">
        <v>40000</v>
      </c>
      <c r="D9" s="25">
        <f t="shared" si="0"/>
        <v>7629</v>
      </c>
    </row>
    <row r="10" spans="1:4" x14ac:dyDescent="0.25">
      <c r="A10" s="10">
        <v>5</v>
      </c>
      <c r="B10" s="11">
        <v>39014</v>
      </c>
      <c r="C10" s="11">
        <v>38000</v>
      </c>
      <c r="D10" s="25">
        <f t="shared" si="0"/>
        <v>-1014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174449</v>
      </c>
      <c r="C37" s="11">
        <f>SUM(C6:C36)</f>
        <v>168000</v>
      </c>
      <c r="D37" s="25">
        <f>SUM(D6:D36)</f>
        <v>-6449</v>
      </c>
    </row>
    <row r="38" spans="1:4" x14ac:dyDescent="0.25">
      <c r="A38" s="26"/>
      <c r="C38" s="14"/>
      <c r="D38" s="378">
        <f>+summary!P12</f>
        <v>3.57</v>
      </c>
    </row>
    <row r="39" spans="1:4" x14ac:dyDescent="0.25">
      <c r="D39" s="138">
        <f>+D38*D37</f>
        <v>-23022.93</v>
      </c>
    </row>
    <row r="40" spans="1:4" x14ac:dyDescent="0.25">
      <c r="A40" s="57">
        <v>37042</v>
      </c>
      <c r="C40" s="15"/>
      <c r="D40" s="379">
        <v>-25609</v>
      </c>
    </row>
    <row r="41" spans="1:4" x14ac:dyDescent="0.25">
      <c r="A41" s="57">
        <v>37047</v>
      </c>
      <c r="C41" s="48"/>
      <c r="D41" s="138">
        <f>+D40+D39</f>
        <v>-48631.93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E43" sqref="E43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5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5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5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5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266758</v>
      </c>
      <c r="C37" s="11">
        <f>SUM(C6:C36)</f>
        <v>260014</v>
      </c>
      <c r="D37" s="25">
        <f>SUM(D6:D36)</f>
        <v>-6744</v>
      </c>
    </row>
    <row r="38" spans="1:4" x14ac:dyDescent="0.25">
      <c r="A38" s="26"/>
      <c r="C38" s="14"/>
      <c r="D38" s="378">
        <f>+summary!P11</f>
        <v>3.3</v>
      </c>
    </row>
    <row r="39" spans="1:4" x14ac:dyDescent="0.25">
      <c r="D39" s="138">
        <f>+D38*D37</f>
        <v>-22255.199999999997</v>
      </c>
    </row>
    <row r="40" spans="1:4" x14ac:dyDescent="0.25">
      <c r="A40" s="57">
        <v>37042</v>
      </c>
      <c r="C40" s="15"/>
      <c r="D40" s="379">
        <v>823314</v>
      </c>
    </row>
    <row r="41" spans="1:4" x14ac:dyDescent="0.25">
      <c r="A41" s="57">
        <v>37047</v>
      </c>
      <c r="C41" s="48"/>
      <c r="D41" s="138">
        <f>+D40+D39</f>
        <v>801058.8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43" sqref="B4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22917</v>
      </c>
      <c r="C36" s="44">
        <f>SUM(C5:C35)</f>
        <v>0</v>
      </c>
      <c r="D36" s="43">
        <f>SUM(D5:D35)</f>
        <v>0</v>
      </c>
      <c r="E36" s="44">
        <f>SUM(E5:E35)</f>
        <v>20917</v>
      </c>
      <c r="F36" s="11">
        <f>SUM(F5:F35)</f>
        <v>2000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22917</v>
      </c>
      <c r="D37" s="24"/>
      <c r="E37" s="24">
        <f>+D36-E36</f>
        <v>-20917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37047</v>
      </c>
      <c r="C42" s="14"/>
      <c r="D42" s="50"/>
      <c r="E42" s="50"/>
      <c r="F42" s="51">
        <f>+F41+F36</f>
        <v>63895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B36" sqref="B36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82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5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5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5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5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5">
      <c r="A11" s="10">
        <v>6</v>
      </c>
      <c r="B11" s="11"/>
      <c r="C11" s="11"/>
      <c r="D11" s="25">
        <f t="shared" si="0"/>
        <v>0</v>
      </c>
    </row>
    <row r="12" spans="1:5" x14ac:dyDescent="0.25">
      <c r="A12" s="10">
        <v>7</v>
      </c>
      <c r="B12" s="11"/>
      <c r="C12" s="11"/>
      <c r="D12" s="25">
        <f t="shared" si="0"/>
        <v>0</v>
      </c>
    </row>
    <row r="13" spans="1:5" x14ac:dyDescent="0.25">
      <c r="A13" s="10">
        <v>8</v>
      </c>
      <c r="B13" s="11"/>
      <c r="C13" s="11"/>
      <c r="D13" s="25">
        <f t="shared" si="0"/>
        <v>0</v>
      </c>
    </row>
    <row r="14" spans="1:5" x14ac:dyDescent="0.25">
      <c r="A14" s="10">
        <v>9</v>
      </c>
      <c r="B14" s="11"/>
      <c r="C14" s="11"/>
      <c r="D14" s="25">
        <f t="shared" si="0"/>
        <v>0</v>
      </c>
    </row>
    <row r="15" spans="1:5" x14ac:dyDescent="0.25">
      <c r="A15" s="10">
        <v>10</v>
      </c>
      <c r="B15" s="11"/>
      <c r="C15" s="11"/>
      <c r="D15" s="25">
        <f t="shared" si="0"/>
        <v>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-10029</v>
      </c>
      <c r="C37" s="11">
        <f>SUM(C6:C36)</f>
        <v>-13317</v>
      </c>
      <c r="D37" s="25">
        <f>SUM(D6:D36)</f>
        <v>-3288</v>
      </c>
    </row>
    <row r="38" spans="1:4" x14ac:dyDescent="0.25">
      <c r="A38" s="26"/>
      <c r="C38" s="14"/>
      <c r="D38" s="378">
        <f>+summary!P11</f>
        <v>3.3</v>
      </c>
    </row>
    <row r="39" spans="1:4" x14ac:dyDescent="0.25">
      <c r="D39" s="138">
        <f>+D38*D37</f>
        <v>-10850.4</v>
      </c>
    </row>
    <row r="40" spans="1:4" x14ac:dyDescent="0.25">
      <c r="A40" s="57">
        <v>37042</v>
      </c>
      <c r="C40" s="15"/>
      <c r="D40" s="373">
        <v>-304459</v>
      </c>
    </row>
    <row r="41" spans="1:4" x14ac:dyDescent="0.25">
      <c r="A41" s="57">
        <v>37047</v>
      </c>
      <c r="C41" s="48"/>
      <c r="D41" s="138">
        <f>+D40+D39</f>
        <v>-315309.40000000002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B47" sqref="B47"/>
    </sheetView>
  </sheetViews>
  <sheetFormatPr defaultRowHeight="13.2" x14ac:dyDescent="0.25"/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82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5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5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-66792</v>
      </c>
      <c r="C37" s="11">
        <f>SUM(C6:C36)</f>
        <v>-43500</v>
      </c>
      <c r="D37" s="25">
        <f>SUM(D6:D36)</f>
        <v>23292</v>
      </c>
    </row>
    <row r="38" spans="1:4" x14ac:dyDescent="0.25">
      <c r="A38" s="26"/>
      <c r="C38" s="14"/>
      <c r="D38" s="378">
        <f>+summary!P11</f>
        <v>3.3</v>
      </c>
    </row>
    <row r="39" spans="1:4" x14ac:dyDescent="0.25">
      <c r="D39" s="138">
        <f>+D38*D37</f>
        <v>76863.599999999991</v>
      </c>
    </row>
    <row r="40" spans="1:4" x14ac:dyDescent="0.25">
      <c r="A40" s="57">
        <v>37042</v>
      </c>
      <c r="C40" s="15"/>
      <c r="D40" s="373">
        <v>12683</v>
      </c>
    </row>
    <row r="41" spans="1:4" x14ac:dyDescent="0.25">
      <c r="A41" s="57">
        <v>37047</v>
      </c>
      <c r="C41" s="48"/>
      <c r="D41" s="138">
        <f>+D40+D39</f>
        <v>89546.599999999991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5"/>
      <c r="C5" s="90">
        <v>-1425</v>
      </c>
      <c r="D5" s="90">
        <f>+C5-B5</f>
        <v>-1425</v>
      </c>
      <c r="E5" s="287"/>
      <c r="F5" s="285"/>
    </row>
    <row r="6" spans="1:13" x14ac:dyDescent="0.25">
      <c r="A6" s="87">
        <v>500046</v>
      </c>
      <c r="B6" s="90"/>
      <c r="C6" s="90">
        <v>-89</v>
      </c>
      <c r="D6" s="90">
        <f t="shared" ref="D6:D11" si="0">+C6-B6</f>
        <v>-89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/>
      <c r="C8" s="90">
        <v>-80</v>
      </c>
      <c r="D8" s="90">
        <f t="shared" si="0"/>
        <v>-80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400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-1594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3.3</v>
      </c>
      <c r="E13" s="289"/>
      <c r="F13" s="285"/>
    </row>
    <row r="14" spans="1:13" x14ac:dyDescent="0.25">
      <c r="A14" s="87"/>
      <c r="B14" s="88"/>
      <c r="C14" s="88"/>
      <c r="D14" s="96">
        <f>+D13*D12</f>
        <v>-5260.2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37042</v>
      </c>
      <c r="B16" s="88"/>
      <c r="C16" s="88"/>
      <c r="D16" s="398">
        <v>-791755.6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37046</v>
      </c>
      <c r="B18" s="88"/>
      <c r="C18" s="88"/>
      <c r="D18" s="359">
        <f>+D16+D14</f>
        <v>-797015.79999999993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5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5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5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5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1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624677</v>
      </c>
      <c r="C38" s="11">
        <f>SUM(C7:C37)</f>
        <v>643847</v>
      </c>
      <c r="D38" s="11">
        <f>SUM(D7:D37)</f>
        <v>19170</v>
      </c>
    </row>
    <row r="39" spans="1:4" x14ac:dyDescent="0.25">
      <c r="A39" s="26"/>
      <c r="C39" s="14"/>
      <c r="D39" s="106">
        <f>+summary!P10</f>
        <v>2.76</v>
      </c>
    </row>
    <row r="40" spans="1:4" x14ac:dyDescent="0.25">
      <c r="D40" s="138">
        <f>+D39*D38</f>
        <v>52909.2</v>
      </c>
    </row>
    <row r="41" spans="1:4" x14ac:dyDescent="0.25">
      <c r="A41" s="57">
        <v>37042</v>
      </c>
      <c r="C41" s="15"/>
      <c r="D41" s="397">
        <v>295327</v>
      </c>
    </row>
    <row r="42" spans="1:4" x14ac:dyDescent="0.25">
      <c r="A42" s="57">
        <v>37047</v>
      </c>
      <c r="D42" s="363">
        <f>+D41+D40</f>
        <v>348236.2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0" sqref="A40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5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5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5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5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901424</v>
      </c>
      <c r="C35" s="11">
        <f>SUM(C4:C34)</f>
        <v>903107</v>
      </c>
      <c r="D35" s="11">
        <f>SUM(D4:D34)</f>
        <v>1683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37042</v>
      </c>
      <c r="D38" s="248">
        <v>-10045</v>
      </c>
    </row>
    <row r="39" spans="1:30" x14ac:dyDescent="0.25">
      <c r="A39" s="12"/>
      <c r="D39" s="24"/>
    </row>
    <row r="40" spans="1:30" x14ac:dyDescent="0.25">
      <c r="A40" s="250">
        <v>37047</v>
      </c>
      <c r="D40" s="24">
        <f>+D38+D35</f>
        <v>-8362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5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5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5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5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4023826</v>
      </c>
      <c r="C35" s="11">
        <f>SUM(C4:C34)</f>
        <v>4020395</v>
      </c>
      <c r="D35" s="11">
        <f>SUM(D4:D34)</f>
        <v>60000</v>
      </c>
      <c r="E35" s="11">
        <f>SUM(E4:E34)</f>
        <v>60706</v>
      </c>
      <c r="F35" s="11">
        <f>SUM(F4:F34)</f>
        <v>-2725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37042</v>
      </c>
      <c r="F38" s="422">
        <v>-21565</v>
      </c>
    </row>
    <row r="39" spans="1:45" x14ac:dyDescent="0.25">
      <c r="A39" s="2"/>
      <c r="F39" s="24"/>
    </row>
    <row r="40" spans="1:45" x14ac:dyDescent="0.25">
      <c r="A40" s="57">
        <v>37047</v>
      </c>
      <c r="F40" s="51">
        <f>+F38+F35</f>
        <v>-24290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D7" sqref="D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152546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422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117494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932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684728</v>
      </c>
      <c r="C35" s="44">
        <f t="shared" si="1"/>
        <v>535533</v>
      </c>
      <c r="D35" s="11">
        <f t="shared" si="1"/>
        <v>198870</v>
      </c>
      <c r="E35" s="44">
        <f t="shared" si="1"/>
        <v>346828</v>
      </c>
      <c r="F35" s="11">
        <f t="shared" si="1"/>
        <v>0</v>
      </c>
      <c r="G35" s="11">
        <f t="shared" si="1"/>
        <v>0</v>
      </c>
      <c r="H35" s="11">
        <f t="shared" si="1"/>
        <v>1237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4082.1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23">
        <v>239578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37047</v>
      </c>
      <c r="F39" s="47"/>
      <c r="G39" s="47"/>
      <c r="H39" s="137">
        <f>+H38+H37</f>
        <v>243660.1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D33" sqref="D33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337862</v>
      </c>
      <c r="E8" s="129">
        <v>351783</v>
      </c>
      <c r="F8" s="11"/>
      <c r="G8" s="11"/>
      <c r="H8" s="24">
        <f t="shared" si="0"/>
        <v>-13921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/>
      <c r="C36" s="11"/>
      <c r="D36" s="11"/>
      <c r="E36" s="11"/>
      <c r="F36" s="11">
        <f>SUM(F5:F35)</f>
        <v>0</v>
      </c>
      <c r="G36" s="11">
        <f>SUM(G5:G35)</f>
        <v>0</v>
      </c>
      <c r="H36" s="11">
        <f>SUM(H5:H35)</f>
        <v>-8513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37042</v>
      </c>
      <c r="B37" s="2" t="s">
        <v>47</v>
      </c>
      <c r="C37" s="392">
        <v>47504</v>
      </c>
      <c r="D37" s="364"/>
      <c r="E37" s="393">
        <v>250900</v>
      </c>
      <c r="F37" s="24"/>
      <c r="G37" s="24"/>
      <c r="H37" s="241">
        <f>+E37+C37</f>
        <v>298404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37047</v>
      </c>
      <c r="B38" s="2" t="s">
        <v>47</v>
      </c>
      <c r="C38" s="131">
        <f>+C37+C36-B36</f>
        <v>47504</v>
      </c>
      <c r="D38" s="260"/>
      <c r="E38" s="131">
        <f>+E37+D36-E36</f>
        <v>250900</v>
      </c>
      <c r="F38" s="260"/>
      <c r="G38" s="131"/>
      <c r="H38" s="131">
        <f>+H37+H36</f>
        <v>289891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6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A13" sqref="A13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651444</v>
      </c>
      <c r="C37" s="11">
        <f>SUM(C6:C36)</f>
        <v>654093</v>
      </c>
      <c r="D37" s="11">
        <f>SUM(D6:D36)</f>
        <v>2649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37047</v>
      </c>
      <c r="C40" s="48"/>
      <c r="D40" s="25">
        <f>+D39+D37</f>
        <v>97504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2"/>
      <c r="H6" s="281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6"/>
      <c r="H7" s="280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171328</v>
      </c>
      <c r="C8" s="11">
        <v>172740</v>
      </c>
      <c r="D8" s="11">
        <f t="shared" ref="D8:D38" si="0">+C8-B8</f>
        <v>1412</v>
      </c>
      <c r="E8" s="143"/>
      <c r="F8" s="139"/>
      <c r="G8" s="276"/>
      <c r="H8" s="280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171643</v>
      </c>
      <c r="C9" s="11">
        <v>170298</v>
      </c>
      <c r="D9" s="11">
        <f t="shared" si="0"/>
        <v>-1345</v>
      </c>
      <c r="E9" s="143"/>
      <c r="F9" s="139"/>
      <c r="G9" s="276"/>
      <c r="H9" s="280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172625</v>
      </c>
      <c r="C10" s="11">
        <v>174728</v>
      </c>
      <c r="D10" s="11">
        <f t="shared" si="0"/>
        <v>2103</v>
      </c>
      <c r="E10" s="143"/>
      <c r="F10" s="139"/>
      <c r="G10" s="276"/>
      <c r="H10" s="280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158189</v>
      </c>
      <c r="C11" s="11">
        <v>159044</v>
      </c>
      <c r="D11" s="11">
        <f t="shared" si="0"/>
        <v>855</v>
      </c>
      <c r="E11" s="143"/>
      <c r="F11" s="139"/>
      <c r="G11" s="283"/>
      <c r="H11" s="280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140832</v>
      </c>
      <c r="C12" s="11">
        <v>142067</v>
      </c>
      <c r="D12" s="11">
        <f t="shared" si="0"/>
        <v>1235</v>
      </c>
      <c r="E12" s="143"/>
      <c r="F12" s="139"/>
      <c r="G12" s="280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/>
      <c r="C13" s="11"/>
      <c r="D13" s="11">
        <f t="shared" si="0"/>
        <v>0</v>
      </c>
      <c r="E13" s="143"/>
      <c r="F13" s="139"/>
      <c r="G13" s="280"/>
      <c r="H13" s="280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/>
      <c r="C14" s="11"/>
      <c r="D14" s="11">
        <f t="shared" si="0"/>
        <v>0</v>
      </c>
      <c r="E14" s="143"/>
      <c r="F14" s="139"/>
      <c r="G14" s="280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/>
      <c r="C15" s="11"/>
      <c r="D15" s="11">
        <f t="shared" si="0"/>
        <v>0</v>
      </c>
      <c r="E15" s="143"/>
      <c r="F15" s="139"/>
      <c r="G15" s="280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/>
      <c r="C16" s="11"/>
      <c r="D16" s="11">
        <f t="shared" si="0"/>
        <v>0</v>
      </c>
      <c r="E16" s="143"/>
      <c r="F16" s="139"/>
      <c r="G16" s="280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0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78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53</v>
      </c>
      <c r="B25" s="11"/>
      <c r="C25" s="11"/>
      <c r="D25" s="11">
        <f t="shared" si="0"/>
        <v>0</v>
      </c>
      <c r="E25" s="33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814617</v>
      </c>
      <c r="C39" s="150">
        <f>SUM(C8:C38)</f>
        <v>818877</v>
      </c>
      <c r="D39" s="152">
        <f>SUM(D8:D38)</f>
        <v>4260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2.76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2">
        <f>+D40*D39</f>
        <v>11757.599999999999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37042</v>
      </c>
      <c r="C42" s="153"/>
      <c r="D42" s="418">
        <v>529868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37047</v>
      </c>
      <c r="C43" s="142"/>
      <c r="D43" s="252">
        <f>+D42+D41</f>
        <v>541625.59999999998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4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58</v>
      </c>
      <c r="B80" s="157"/>
      <c r="C80" s="154"/>
      <c r="D80" s="142"/>
      <c r="E80" s="144"/>
      <c r="F80" s="144"/>
    </row>
    <row r="81" spans="1:9" x14ac:dyDescent="0.25">
      <c r="A81" s="161" t="s">
        <v>59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5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35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58</v>
      </c>
      <c r="B119" s="157"/>
      <c r="C119" s="154"/>
      <c r="D119" s="142"/>
      <c r="E119" s="144"/>
      <c r="F119" s="112"/>
    </row>
    <row r="120" spans="1:9" x14ac:dyDescent="0.25">
      <c r="A120" s="161" t="s">
        <v>59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5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5">
      <c r="B167" s="187">
        <v>-300000</v>
      </c>
      <c r="C167" s="181">
        <v>-450000</v>
      </c>
      <c r="D167" s="34" t="s">
        <v>67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2001-06-06T15:52:45Z</cp:lastPrinted>
  <dcterms:created xsi:type="dcterms:W3CDTF">2000-03-28T16:52:23Z</dcterms:created>
  <dcterms:modified xsi:type="dcterms:W3CDTF">2023-09-10T12:00:22Z</dcterms:modified>
</cp:coreProperties>
</file>