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  <externalReference r:id="rId4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type_area'!$A$56:$M$91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J57" i="80"/>
  <c r="K57" i="80"/>
  <c r="J58" i="80"/>
  <c r="J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A12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J11" i="20"/>
  <c r="J15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B6" i="65"/>
  <c r="D6" i="65"/>
  <c r="B7" i="65"/>
  <c r="C7" i="65"/>
  <c r="D7" i="65"/>
  <c r="C8" i="65"/>
  <c r="D8" i="65"/>
  <c r="B9" i="65"/>
  <c r="C9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M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O27" i="63"/>
  <c r="B28" i="63"/>
  <c r="C28" i="63"/>
  <c r="D28" i="63"/>
  <c r="O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J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<sst xmlns="http://schemas.openxmlformats.org/spreadsheetml/2006/main" count="926" uniqueCount="323">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</sst>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2.33</v>
          </cell>
          <cell r="K39">
            <v>2.23</v>
          </cell>
          <cell r="M39">
            <v>2.29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78" workbookViewId="0">
      <selection activeCell="B89" sqref="B89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6"/>
    </row>
    <row r="2" spans="1:32" ht="12.9" customHeight="1" x14ac:dyDescent="0.25">
      <c r="A2" s="34" t="s">
        <v>140</v>
      </c>
      <c r="D2" s="7"/>
      <c r="I2" s="390" t="s">
        <v>78</v>
      </c>
      <c r="J2" s="393"/>
      <c r="K2" s="32"/>
    </row>
    <row r="3" spans="1:32" ht="12.9" customHeight="1" x14ac:dyDescent="0.25">
      <c r="D3" s="7"/>
      <c r="I3" s="391" t="s">
        <v>29</v>
      </c>
      <c r="J3" s="394">
        <f>+summary!H3</f>
        <v>2.23</v>
      </c>
      <c r="K3" s="410">
        <f ca="1">NOW()</f>
        <v>37263.544963657405</v>
      </c>
    </row>
    <row r="4" spans="1:32" ht="12.9" customHeight="1" x14ac:dyDescent="0.25">
      <c r="A4" s="34" t="s">
        <v>145</v>
      </c>
      <c r="C4" s="34" t="s">
        <v>5</v>
      </c>
      <c r="D4" s="7"/>
      <c r="I4" s="392" t="s">
        <v>30</v>
      </c>
      <c r="J4" s="394">
        <f>+summary!H4</f>
        <v>2.29</v>
      </c>
      <c r="K4" s="32"/>
    </row>
    <row r="5" spans="1:32" ht="12.9" customHeight="1" x14ac:dyDescent="0.25">
      <c r="D5" s="7"/>
      <c r="I5" s="391" t="s">
        <v>117</v>
      </c>
      <c r="J5" s="394">
        <f>+summary!H5</f>
        <v>2.33</v>
      </c>
      <c r="K5" s="32"/>
    </row>
    <row r="6" spans="1:32" ht="6.9" customHeight="1" x14ac:dyDescent="0.25"/>
    <row r="7" spans="1:32" ht="12.9" customHeight="1" x14ac:dyDescent="0.25">
      <c r="A7" s="408" t="s">
        <v>163</v>
      </c>
      <c r="B7" s="409"/>
      <c r="AD7" s="32"/>
      <c r="AE7" s="32"/>
      <c r="AF7" s="32"/>
    </row>
    <row r="8" spans="1:32" ht="15.9" customHeight="1" outlineLevel="2" x14ac:dyDescent="0.25">
      <c r="A8" s="32"/>
      <c r="B8" s="449" t="s">
        <v>194</v>
      </c>
      <c r="C8" s="406" t="s">
        <v>0</v>
      </c>
      <c r="D8" s="12" t="s">
        <v>193</v>
      </c>
      <c r="E8" s="12" t="s">
        <v>191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73" t="s">
        <v>89</v>
      </c>
      <c r="B9" s="399" t="s">
        <v>195</v>
      </c>
      <c r="C9" s="407" t="s">
        <v>188</v>
      </c>
      <c r="D9" s="435" t="s">
        <v>192</v>
      </c>
      <c r="E9" s="39" t="s">
        <v>190</v>
      </c>
      <c r="F9" s="39" t="s">
        <v>146</v>
      </c>
      <c r="G9" s="397" t="s">
        <v>151</v>
      </c>
      <c r="H9" s="374" t="s">
        <v>101</v>
      </c>
      <c r="I9" s="373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73" t="s">
        <v>155</v>
      </c>
    </row>
    <row r="12" spans="1:32" ht="13.5" customHeight="1" outlineLevel="1" x14ac:dyDescent="0.25">
      <c r="A12" s="537" t="s">
        <v>127</v>
      </c>
      <c r="B12" s="351">
        <f>+Calpine!D41</f>
        <v>239121.41</v>
      </c>
      <c r="C12" s="376">
        <f>+B12/$J$4</f>
        <v>104419.82969432314</v>
      </c>
      <c r="D12" s="14">
        <f>+Calpine!D47</f>
        <v>199432</v>
      </c>
      <c r="E12" s="70">
        <f>+C12-D12</f>
        <v>-95012.17030567686</v>
      </c>
      <c r="F12" s="371">
        <f>+Calpine!A41</f>
        <v>37261</v>
      </c>
      <c r="G12" s="203"/>
      <c r="H12" s="204" t="s">
        <v>99</v>
      </c>
      <c r="I12" s="357"/>
      <c r="J12" s="70"/>
      <c r="K12" s="32"/>
    </row>
    <row r="13" spans="1:32" ht="13.5" customHeight="1" outlineLevel="2" x14ac:dyDescent="0.25">
      <c r="A13" s="248" t="s">
        <v>139</v>
      </c>
      <c r="B13" s="351">
        <f>+'Citizens-Griffith'!D41</f>
        <v>68235.06</v>
      </c>
      <c r="C13" s="375">
        <f>+B13/$J$4</f>
        <v>29796.96943231441</v>
      </c>
      <c r="D13" s="14">
        <f>+'Citizens-Griffith'!D48</f>
        <v>36366</v>
      </c>
      <c r="E13" s="70">
        <f>+C13-D13</f>
        <v>-6569.0305676855896</v>
      </c>
      <c r="F13" s="371">
        <f>+'Citizens-Griffith'!A41</f>
        <v>37261</v>
      </c>
      <c r="G13" s="203" t="s">
        <v>154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302</v>
      </c>
      <c r="B14" s="489">
        <f>+SWGasTrans!D41</f>
        <v>-19607.86</v>
      </c>
      <c r="C14" s="375">
        <f>+B14/J4</f>
        <v>-8562.3842794759821</v>
      </c>
      <c r="D14" s="14">
        <f>+SWGasTrans!$D$48</f>
        <v>4295</v>
      </c>
      <c r="E14" s="70">
        <f>+C14-D14</f>
        <v>-12857.384279475982</v>
      </c>
      <c r="F14" s="371">
        <f>+'Citizens-Griffith'!A42</f>
        <v>0</v>
      </c>
      <c r="G14" s="203"/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51">
        <f>+'NS Steel'!D41</f>
        <v>-355805</v>
      </c>
      <c r="C15" s="375">
        <f>+B15/$J$4</f>
        <v>-155373.36244541485</v>
      </c>
      <c r="D15" s="14">
        <f>+'NS Steel'!D50</f>
        <v>-44621</v>
      </c>
      <c r="E15" s="70">
        <f>+C15-D15</f>
        <v>-110752.36244541485</v>
      </c>
      <c r="F15" s="372">
        <f>+'NS Steel'!A41</f>
        <v>37256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37" t="s">
        <v>135</v>
      </c>
      <c r="B16" s="354">
        <f>+Citizens!D18</f>
        <v>-542234.06000000006</v>
      </c>
      <c r="C16" s="377">
        <f>+B16/$J$4</f>
        <v>-236783.43231441051</v>
      </c>
      <c r="D16" s="355">
        <f>+Citizens!D24</f>
        <v>-38814</v>
      </c>
      <c r="E16" s="72">
        <f>+C16-D16</f>
        <v>-197969.43231441051</v>
      </c>
      <c r="F16" s="371">
        <f>+Citizens!A18</f>
        <v>37259</v>
      </c>
      <c r="G16" s="203"/>
      <c r="H16" s="204" t="s">
        <v>99</v>
      </c>
      <c r="I16" s="427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95">
        <f>SUBTOTAL(9,B12:B16)</f>
        <v>-610290.45000000007</v>
      </c>
      <c r="C17" s="401">
        <f>SUBTOTAL(9,C12:C16)</f>
        <v>-266502.37991266383</v>
      </c>
      <c r="D17" s="402">
        <f>SUBTOTAL(9,D12:D16)</f>
        <v>156658</v>
      </c>
      <c r="E17" s="403">
        <f>SUBTOTAL(9,E12:E16)</f>
        <v>-423160.37991266383</v>
      </c>
      <c r="F17" s="371"/>
      <c r="G17" s="203"/>
      <c r="H17" s="204"/>
      <c r="I17" s="357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405" t="s">
        <v>57</v>
      </c>
      <c r="G19" s="7"/>
    </row>
    <row r="20" spans="1:20" ht="13.5" customHeight="1" outlineLevel="2" x14ac:dyDescent="0.25">
      <c r="A20" s="248" t="s">
        <v>71</v>
      </c>
      <c r="B20" s="490">
        <f>+transcol!$D$43</f>
        <v>36149.229999999996</v>
      </c>
      <c r="C20" s="375">
        <f>+B20/$J$4</f>
        <v>15785.689956331877</v>
      </c>
      <c r="D20" s="14">
        <f>+transcol!D50</f>
        <v>-39595</v>
      </c>
      <c r="E20" s="70">
        <f>+C20-D20</f>
        <v>55380.689956331873</v>
      </c>
      <c r="F20" s="372">
        <f>+transcol!A43</f>
        <v>37261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37" t="s">
        <v>320</v>
      </c>
      <c r="B21" s="490">
        <f>+C21*J3</f>
        <v>72787.199999999997</v>
      </c>
      <c r="C21" s="375">
        <f>+williams!J40</f>
        <v>32640</v>
      </c>
      <c r="D21" s="14">
        <f>+C21</f>
        <v>32640</v>
      </c>
      <c r="E21" s="70">
        <f>+C21-D21</f>
        <v>0</v>
      </c>
      <c r="F21" s="372">
        <f>+williams!A40</f>
        <v>37261</v>
      </c>
      <c r="G21" s="203" t="s">
        <v>154</v>
      </c>
      <c r="H21" s="32" t="s">
        <v>321</v>
      </c>
      <c r="I21" s="32"/>
      <c r="J21" s="32"/>
      <c r="K21" s="32"/>
      <c r="T21" s="259"/>
    </row>
    <row r="22" spans="1:20" ht="13.5" customHeight="1" outlineLevel="2" x14ac:dyDescent="0.25">
      <c r="A22" s="537" t="s">
        <v>95</v>
      </c>
      <c r="B22" s="527">
        <f>+burlington!D42</f>
        <v>53431.11</v>
      </c>
      <c r="C22" s="379">
        <f>+B22/$J$3</f>
        <v>23960.139013452914</v>
      </c>
      <c r="D22" s="355">
        <f>+burlington!D49</f>
        <v>23169</v>
      </c>
      <c r="E22" s="72">
        <f>+C22-D22</f>
        <v>791.13901345291379</v>
      </c>
      <c r="F22" s="371">
        <f>+burlington!A42</f>
        <v>37259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95">
        <f>SUBTOTAL(9,B20:B22)</f>
        <v>162367.53999999998</v>
      </c>
      <c r="C23" s="396">
        <f>SUBTOTAL(9,C20:C22)</f>
        <v>72385.828969784779</v>
      </c>
      <c r="D23" s="402">
        <f>SUBTOTAL(9,D20:D22)</f>
        <v>16214</v>
      </c>
      <c r="E23" s="403">
        <f>SUBTOTAL(9,E20:E22)</f>
        <v>56171.828969784787</v>
      </c>
      <c r="F23" s="371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73" t="s">
        <v>159</v>
      </c>
      <c r="B25" s="431"/>
      <c r="C25" s="432"/>
      <c r="D25" s="433"/>
      <c r="E25" s="433"/>
      <c r="F25" s="433"/>
      <c r="G25" s="434"/>
      <c r="H25" s="433"/>
      <c r="I25" s="433"/>
    </row>
    <row r="26" spans="1:20" ht="15.9" customHeight="1" outlineLevel="2" x14ac:dyDescent="0.25">
      <c r="A26" s="537" t="s">
        <v>87</v>
      </c>
      <c r="B26" s="489">
        <f>+NNG!$D$24</f>
        <v>146.31999999999971</v>
      </c>
      <c r="C26" s="375">
        <f t="shared" ref="C26:C46" si="0">+B26/$J$4</f>
        <v>63.895196506550093</v>
      </c>
      <c r="D26" s="14">
        <f>+NNG!D34</f>
        <v>518</v>
      </c>
      <c r="E26" s="70">
        <f t="shared" ref="E26:E48" si="1">+C26-D26</f>
        <v>-454.10480349344994</v>
      </c>
      <c r="F26" s="371">
        <f>+NNG!A24</f>
        <v>37261</v>
      </c>
      <c r="G26" s="398" t="s">
        <v>152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9">
        <f>+Conoco!$F$41</f>
        <v>459290.77</v>
      </c>
      <c r="C27" s="375">
        <f t="shared" si="0"/>
        <v>200563.65502183407</v>
      </c>
      <c r="D27" s="14">
        <f>+Conoco!D48</f>
        <v>40813</v>
      </c>
      <c r="E27" s="70">
        <f t="shared" si="1"/>
        <v>159750.65502183407</v>
      </c>
      <c r="F27" s="371">
        <f>+Conoco!A41</f>
        <v>37261</v>
      </c>
      <c r="G27" s="203" t="s">
        <v>154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51">
        <f>+'Amoco Abo'!$F$43</f>
        <v>177030.15999999997</v>
      </c>
      <c r="C28" s="375">
        <f t="shared" si="0"/>
        <v>77305.746724890821</v>
      </c>
      <c r="D28" s="14">
        <f>+'Amoco Abo'!D49</f>
        <v>-356270</v>
      </c>
      <c r="E28" s="70">
        <f t="shared" si="1"/>
        <v>433575.74672489084</v>
      </c>
      <c r="F28" s="372">
        <f>+'Amoco Abo'!A43</f>
        <v>37261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9">
        <f>+KN_Westar!F41</f>
        <v>385015.89</v>
      </c>
      <c r="C29" s="375">
        <f t="shared" si="0"/>
        <v>168129.2096069869</v>
      </c>
      <c r="D29" s="14">
        <f>+KN_Westar!D48</f>
        <v>-9522</v>
      </c>
      <c r="E29" s="70">
        <f t="shared" si="1"/>
        <v>177651.2096069869</v>
      </c>
      <c r="F29" s="372">
        <f>+KN_Westar!A41</f>
        <v>37256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37" t="s">
        <v>258</v>
      </c>
      <c r="B30" s="489">
        <f>+summary!B9</f>
        <v>1214345.6599999999</v>
      </c>
      <c r="C30" s="376">
        <f>+B30/$J$5</f>
        <v>521178.39484978537</v>
      </c>
      <c r="D30" s="14">
        <f>+Duke!$G$40+Duke!$H$40+Duke!$I$53+Duke!$I$54</f>
        <v>359988</v>
      </c>
      <c r="E30" s="70">
        <f t="shared" si="1"/>
        <v>161190.39484978537</v>
      </c>
      <c r="F30" s="372">
        <f>+Duke!A42</f>
        <v>37256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37" t="s">
        <v>251</v>
      </c>
      <c r="B31" s="489">
        <f>+summary!B8</f>
        <v>1537446.14</v>
      </c>
      <c r="C31" s="376">
        <f>+B31/$J$5</f>
        <v>659848.1287553648</v>
      </c>
      <c r="D31" s="14">
        <f>+Duke!$F$40</f>
        <v>381295</v>
      </c>
      <c r="E31" s="70">
        <f t="shared" si="1"/>
        <v>278553.1287553648</v>
      </c>
      <c r="F31" s="372">
        <f>+Duke!A7</f>
        <v>37256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37" t="s">
        <v>250</v>
      </c>
      <c r="B32" s="489">
        <f>+summary!B40</f>
        <v>-2743477.3600000003</v>
      </c>
      <c r="C32" s="376">
        <f>+B32/$J$5</f>
        <v>-1177458.0944206009</v>
      </c>
      <c r="D32" s="14">
        <f>+DEFS!$I$36+DEFS!$J$36+DEFS!$K$45+DEFS!$K$46+DEFS!$K$47+DEFS!$K$48</f>
        <v>-410728</v>
      </c>
      <c r="E32" s="70">
        <f t="shared" si="1"/>
        <v>-766730.09442060092</v>
      </c>
      <c r="F32" s="372">
        <f>+DEFS!A40</f>
        <v>36894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9">
        <f>+mewborne!$J$43</f>
        <v>409977.59999999998</v>
      </c>
      <c r="C33" s="375">
        <f t="shared" si="0"/>
        <v>179029.51965065501</v>
      </c>
      <c r="D33" s="14">
        <f>+mewborne!D49</f>
        <v>168268</v>
      </c>
      <c r="E33" s="70">
        <f t="shared" si="1"/>
        <v>10761.519650655013</v>
      </c>
      <c r="F33" s="372">
        <f>+mewborne!A43</f>
        <v>37261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9">
        <f>+PGETX!$H$39</f>
        <v>-68258</v>
      </c>
      <c r="C34" s="375">
        <f t="shared" si="0"/>
        <v>-29806.986899563319</v>
      </c>
      <c r="D34" s="14">
        <f>+PGETX!E48</f>
        <v>-5084</v>
      </c>
      <c r="E34" s="70">
        <f t="shared" si="1"/>
        <v>-24722.986899563319</v>
      </c>
      <c r="F34" s="372">
        <f>+PGETX!E39</f>
        <v>37256</v>
      </c>
      <c r="G34" s="203" t="s">
        <v>152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51">
        <f>+PNM!$D$23</f>
        <v>752963.62999999989</v>
      </c>
      <c r="C35" s="375">
        <f t="shared" si="0"/>
        <v>328805.07860262005</v>
      </c>
      <c r="D35" s="14">
        <f>+PNM!D30</f>
        <v>300817</v>
      </c>
      <c r="E35" s="70">
        <f t="shared" si="1"/>
        <v>27988.078602620051</v>
      </c>
      <c r="F35" s="372">
        <f>+PNM!A23</f>
        <v>37261</v>
      </c>
      <c r="G35" s="203" t="s">
        <v>153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9">
        <f>+EOG!J41</f>
        <v>69284.38</v>
      </c>
      <c r="C36" s="375">
        <f t="shared" si="0"/>
        <v>30255.187772925765</v>
      </c>
      <c r="D36" s="14">
        <f>+EOG!D48</f>
        <v>-97261</v>
      </c>
      <c r="E36" s="70">
        <f t="shared" si="1"/>
        <v>127516.18777292577</v>
      </c>
      <c r="F36" s="371">
        <f>+EOG!A41</f>
        <v>37261</v>
      </c>
      <c r="G36" s="203" t="s">
        <v>154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51">
        <f>+Oasis!D40</f>
        <v>-31354.880000000001</v>
      </c>
      <c r="C37" s="375">
        <f>+B37/J5</f>
        <v>-13457.030042918455</v>
      </c>
      <c r="D37" s="14">
        <f>+Oasis!D47</f>
        <v>-17380</v>
      </c>
      <c r="E37" s="70">
        <f>+C37-D37</f>
        <v>3922.9699570815446</v>
      </c>
      <c r="F37" s="371">
        <f>+Oasis!A40</f>
        <v>37261</v>
      </c>
      <c r="G37" s="203"/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9">
        <f>+SidR!D41</f>
        <v>33154.770000000004</v>
      </c>
      <c r="C38" s="375">
        <f>+B38/$J$5</f>
        <v>14229.515021459229</v>
      </c>
      <c r="D38" s="14">
        <f>+SidR!D48</f>
        <v>16067</v>
      </c>
      <c r="E38" s="70">
        <f t="shared" si="1"/>
        <v>-1837.4849785407714</v>
      </c>
      <c r="F38" s="372">
        <f>+SidR!A41</f>
        <v>37259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37" t="s">
        <v>262</v>
      </c>
      <c r="B39" s="351">
        <f>+summary!$B$43</f>
        <v>-195699.5</v>
      </c>
      <c r="C39" s="375">
        <f>+summary!$C$43</f>
        <v>-83991.2017167382</v>
      </c>
      <c r="D39" s="14">
        <f>+MiVida_Rich!D48</f>
        <v>-47898</v>
      </c>
      <c r="E39" s="70">
        <f>+C39-D39</f>
        <v>-36093.2017167382</v>
      </c>
      <c r="F39" s="372">
        <f>+MiVida_Rich!A41</f>
        <v>37225</v>
      </c>
      <c r="G39" s="203"/>
      <c r="H39" s="32" t="s">
        <v>102</v>
      </c>
      <c r="I39" s="32"/>
      <c r="J39" s="32"/>
      <c r="K39" s="32"/>
    </row>
    <row r="40" spans="1:11" ht="14.1" customHeight="1" x14ac:dyDescent="0.25">
      <c r="A40" s="248" t="s">
        <v>208</v>
      </c>
      <c r="B40" s="351">
        <f>+Dominion!D41</f>
        <v>179339.99</v>
      </c>
      <c r="C40" s="375">
        <f>+B40/$J$5</f>
        <v>76969.952789699571</v>
      </c>
      <c r="D40" s="14">
        <f>+Dominion!D48</f>
        <v>78696</v>
      </c>
      <c r="E40" s="70">
        <f t="shared" si="1"/>
        <v>-1726.0472103004286</v>
      </c>
      <c r="F40" s="372">
        <f>+Dominion!A41</f>
        <v>37261</v>
      </c>
      <c r="G40" s="203"/>
      <c r="H40" s="32" t="s">
        <v>99</v>
      </c>
      <c r="I40" s="32"/>
      <c r="J40" s="32"/>
      <c r="K40" s="32"/>
    </row>
    <row r="41" spans="1:11" ht="14.1" customHeight="1" x14ac:dyDescent="0.25">
      <c r="A41" s="248" t="s">
        <v>205</v>
      </c>
      <c r="B41" s="351">
        <f>+WTGmktg!J43</f>
        <v>-32129.68</v>
      </c>
      <c r="C41" s="375">
        <f t="shared" si="0"/>
        <v>-14030.427947598253</v>
      </c>
      <c r="D41" s="14">
        <f>+WTGmktg!D50</f>
        <v>-1945</v>
      </c>
      <c r="E41" s="70">
        <f t="shared" si="1"/>
        <v>-12085.427947598253</v>
      </c>
      <c r="F41" s="372">
        <f>+WTGmktg!A43</f>
        <v>37259</v>
      </c>
      <c r="G41" s="203"/>
      <c r="H41" s="32" t="s">
        <v>115</v>
      </c>
      <c r="I41" s="32"/>
      <c r="J41" s="32"/>
      <c r="K41" s="32"/>
    </row>
    <row r="42" spans="1:11" ht="14.1" customHeight="1" x14ac:dyDescent="0.25">
      <c r="A42" s="248" t="s">
        <v>307</v>
      </c>
      <c r="B42" s="351">
        <f>+'WTG inc'!N43</f>
        <v>34241.269999999997</v>
      </c>
      <c r="C42" s="375">
        <f>+B42/J4</f>
        <v>14952.51965065502</v>
      </c>
      <c r="D42" s="14">
        <f>+'WTG inc'!D50</f>
        <v>12802</v>
      </c>
      <c r="E42" s="70">
        <f>+C42-D42</f>
        <v>2150.5196506550201</v>
      </c>
      <c r="F42" s="372">
        <f>+'WTG inc'!A43</f>
        <v>37259</v>
      </c>
      <c r="G42" s="203"/>
      <c r="H42" s="32" t="s">
        <v>115</v>
      </c>
      <c r="I42" s="32"/>
      <c r="J42" s="32"/>
      <c r="K42" s="32"/>
    </row>
    <row r="43" spans="1:11" ht="13.5" customHeight="1" x14ac:dyDescent="0.25">
      <c r="A43" s="248" t="s">
        <v>209</v>
      </c>
      <c r="B43" s="351">
        <f>+Devon!D41</f>
        <v>165292.94</v>
      </c>
      <c r="C43" s="375">
        <f>+B43/$J$5</f>
        <v>70941.175965665228</v>
      </c>
      <c r="D43" s="14">
        <f>+Devon!D48</f>
        <v>35688</v>
      </c>
      <c r="E43" s="70">
        <f t="shared" si="1"/>
        <v>35253.175965665228</v>
      </c>
      <c r="F43" s="372">
        <f>+Devon!A41</f>
        <v>37261</v>
      </c>
      <c r="G43" s="203"/>
      <c r="H43" s="32" t="s">
        <v>99</v>
      </c>
      <c r="I43" s="32"/>
      <c r="J43" s="32"/>
      <c r="K43" s="32"/>
    </row>
    <row r="44" spans="1:11" ht="13.5" customHeight="1" x14ac:dyDescent="0.25">
      <c r="A44" s="248" t="s">
        <v>218</v>
      </c>
      <c r="B44" s="351">
        <f>+crosstex!F41</f>
        <v>-128572.76</v>
      </c>
      <c r="C44" s="375">
        <f>+B44/$J$4</f>
        <v>-56145.31004366812</v>
      </c>
      <c r="D44" s="14">
        <f>+crosstex!D48</f>
        <v>-38813</v>
      </c>
      <c r="E44" s="70">
        <f t="shared" si="1"/>
        <v>-17332.31004366812</v>
      </c>
      <c r="F44" s="372">
        <f>+crosstex!A41</f>
        <v>37259</v>
      </c>
      <c r="G44" s="203"/>
      <c r="H44" s="32" t="s">
        <v>100</v>
      </c>
      <c r="I44" s="32"/>
      <c r="J44" s="32"/>
      <c r="K44" s="32"/>
    </row>
    <row r="45" spans="1:11" ht="13.5" customHeight="1" x14ac:dyDescent="0.25">
      <c r="A45" s="248" t="s">
        <v>219</v>
      </c>
      <c r="B45" s="351">
        <f>+Amarillo!P41</f>
        <v>114904.95</v>
      </c>
      <c r="C45" s="375">
        <f>+B45/$J$4</f>
        <v>50176.834061135371</v>
      </c>
      <c r="D45" s="14">
        <f>+Amarillo!D48</f>
        <v>48361</v>
      </c>
      <c r="E45" s="70">
        <f t="shared" si="1"/>
        <v>1815.8340611353706</v>
      </c>
      <c r="F45" s="372">
        <f>+Amarillo!A41</f>
        <v>37259</v>
      </c>
      <c r="G45" s="203"/>
      <c r="H45" s="32" t="s">
        <v>113</v>
      </c>
      <c r="I45" s="32"/>
      <c r="J45" s="32"/>
      <c r="K45" s="32"/>
    </row>
    <row r="46" spans="1:11" ht="13.5" customHeight="1" x14ac:dyDescent="0.25">
      <c r="A46" s="248" t="s">
        <v>109</v>
      </c>
      <c r="B46" s="351">
        <f>+Continental!F43</f>
        <v>34262</v>
      </c>
      <c r="C46" s="376">
        <f t="shared" si="0"/>
        <v>14961.572052401747</v>
      </c>
      <c r="D46" s="14">
        <f>+Continental!D50</f>
        <v>748</v>
      </c>
      <c r="E46" s="70">
        <f t="shared" si="1"/>
        <v>14213.572052401747</v>
      </c>
      <c r="F46" s="372">
        <f>+Continental!A43</f>
        <v>37256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351">
        <f>+EPFS!D41</f>
        <v>92285.25</v>
      </c>
      <c r="C47" s="376">
        <f>+B47/$J$5</f>
        <v>39607.403433476393</v>
      </c>
      <c r="D47" s="14">
        <f>+EPFS!D47</f>
        <v>57707</v>
      </c>
      <c r="E47" s="70">
        <f t="shared" si="1"/>
        <v>-18099.596566523607</v>
      </c>
      <c r="F47" s="371">
        <f>+EPFS!A41</f>
        <v>37261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537" t="s">
        <v>79</v>
      </c>
      <c r="B48" s="527">
        <f>+Agave!$D$24</f>
        <v>-24903.020000000004</v>
      </c>
      <c r="C48" s="377">
        <f>+B48/$J$4</f>
        <v>-10874.681222707426</v>
      </c>
      <c r="D48" s="355">
        <f>+Agave!D31</f>
        <v>3966</v>
      </c>
      <c r="E48" s="72">
        <f t="shared" si="1"/>
        <v>-14840.681222707426</v>
      </c>
      <c r="F48" s="371">
        <f>+Agave!A24</f>
        <v>37261</v>
      </c>
      <c r="G48" s="203" t="s">
        <v>178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161</v>
      </c>
      <c r="B49" s="395">
        <f>SUBTOTAL(9,B26:B48)</f>
        <v>2434586.5199999996</v>
      </c>
      <c r="C49" s="401">
        <f>SUBTOTAL(9,C26:C48)</f>
        <v>1061254.0568622672</v>
      </c>
      <c r="D49" s="402">
        <f>SUBTOTAL(9,D26:D48)</f>
        <v>520833</v>
      </c>
      <c r="E49" s="403">
        <f>SUBTOTAL(9,E26:E48)</f>
        <v>540421.0568622672</v>
      </c>
      <c r="F49" s="371"/>
      <c r="G49" s="358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162</v>
      </c>
      <c r="B51" s="395">
        <f>SUBTOTAL(9,B12:B48)</f>
        <v>1986663.6099999994</v>
      </c>
      <c r="C51" s="401">
        <f>SUBTOTAL(9,C12:C48)</f>
        <v>867137.50591938803</v>
      </c>
      <c r="D51" s="402">
        <f>SUBTOTAL(9,D12:D48)</f>
        <v>693705</v>
      </c>
      <c r="E51" s="403">
        <f>SUBTOTAL(9,E12:E48)</f>
        <v>173432.50591938815</v>
      </c>
      <c r="F51" s="371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51"/>
      <c r="C52" s="375"/>
      <c r="D52" s="375"/>
      <c r="E52" s="375"/>
      <c r="F52" s="358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I56" s="390" t="s">
        <v>78</v>
      </c>
      <c r="J56" s="393"/>
      <c r="K56" s="32"/>
    </row>
    <row r="57" spans="1:19" ht="13.5" customHeight="1" outlineLevel="2" x14ac:dyDescent="0.25">
      <c r="D57" s="7"/>
      <c r="I57" s="391" t="s">
        <v>29</v>
      </c>
      <c r="J57" s="394">
        <f>+J3</f>
        <v>2.23</v>
      </c>
      <c r="K57" s="410">
        <f ca="1">NOW()</f>
        <v>37263.544963657405</v>
      </c>
    </row>
    <row r="58" spans="1:19" ht="13.5" customHeight="1" outlineLevel="2" x14ac:dyDescent="0.25">
      <c r="A58" s="34" t="s">
        <v>145</v>
      </c>
      <c r="C58" s="34" t="s">
        <v>5</v>
      </c>
      <c r="D58" s="7"/>
      <c r="I58" s="392" t="s">
        <v>30</v>
      </c>
      <c r="J58" s="394">
        <f>+J4</f>
        <v>2.29</v>
      </c>
      <c r="K58" s="32"/>
    </row>
    <row r="59" spans="1:19" ht="13.5" customHeight="1" outlineLevel="1" x14ac:dyDescent="0.25">
      <c r="D59" s="7"/>
      <c r="I59" s="391" t="s">
        <v>117</v>
      </c>
      <c r="J59" s="394">
        <f>+J5</f>
        <v>2.33</v>
      </c>
      <c r="K59" s="32"/>
    </row>
    <row r="60" spans="1:19" ht="13.5" customHeight="1" outlineLevel="2" x14ac:dyDescent="0.25"/>
    <row r="61" spans="1:19" ht="13.5" customHeight="1" outlineLevel="2" x14ac:dyDescent="0.25">
      <c r="A61" s="408" t="s">
        <v>164</v>
      </c>
      <c r="B61" s="409"/>
      <c r="E61" s="12" t="s">
        <v>198</v>
      </c>
    </row>
    <row r="62" spans="1:19" ht="13.5" customHeight="1" outlineLevel="2" x14ac:dyDescent="0.25">
      <c r="A62" s="32"/>
      <c r="B62" s="411" t="s">
        <v>189</v>
      </c>
      <c r="C62" s="411" t="s">
        <v>196</v>
      </c>
      <c r="D62" s="411" t="s">
        <v>193</v>
      </c>
      <c r="E62" s="12" t="s">
        <v>199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73" t="s">
        <v>89</v>
      </c>
      <c r="B63" s="407" t="s">
        <v>0</v>
      </c>
      <c r="C63" s="385" t="s">
        <v>166</v>
      </c>
      <c r="D63" s="39" t="s">
        <v>197</v>
      </c>
      <c r="E63" s="39" t="s">
        <v>200</v>
      </c>
      <c r="F63" s="39" t="s">
        <v>146</v>
      </c>
      <c r="G63" s="397" t="s">
        <v>151</v>
      </c>
      <c r="H63" s="374" t="s">
        <v>101</v>
      </c>
      <c r="I63" s="373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73" t="s">
        <v>155</v>
      </c>
      <c r="B65" s="286"/>
      <c r="C65" s="247"/>
    </row>
    <row r="66" spans="1:11" ht="13.5" customHeight="1" outlineLevel="2" x14ac:dyDescent="0.25">
      <c r="A66" s="248" t="s">
        <v>94</v>
      </c>
      <c r="B66" s="540">
        <f>+Mojave!D40</f>
        <v>190739</v>
      </c>
      <c r="C66" s="351">
        <f>+B66*$J$4</f>
        <v>436792.31</v>
      </c>
      <c r="D66" s="47">
        <f>+Mojave!D47</f>
        <v>208780.64</v>
      </c>
      <c r="E66" s="47">
        <f>+C66-D66</f>
        <v>228011.66999999998</v>
      </c>
      <c r="F66" s="372">
        <f>+Mojave!A40</f>
        <v>37261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5">
      <c r="A67" s="248" t="s">
        <v>32</v>
      </c>
      <c r="B67" s="376">
        <f>+SoCal!F40</f>
        <v>122043</v>
      </c>
      <c r="C67" s="351">
        <f>+B67*$J$4</f>
        <v>279478.47000000003</v>
      </c>
      <c r="D67" s="47">
        <f>+SoCal!D47</f>
        <v>372273.67</v>
      </c>
      <c r="E67" s="47">
        <f>+C67-D67</f>
        <v>-92795.199999999953</v>
      </c>
      <c r="F67" s="372">
        <f>+SoCal!A40</f>
        <v>37261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179</v>
      </c>
      <c r="B68" s="375">
        <f>+'El Paso'!C39</f>
        <v>64166</v>
      </c>
      <c r="C68" s="351">
        <f>+B68*$J$4</f>
        <v>146940.14000000001</v>
      </c>
      <c r="D68" s="47">
        <f>+'El Paso'!C46</f>
        <v>-1583193</v>
      </c>
      <c r="E68" s="47">
        <f>+C68-D68</f>
        <v>1730133.1400000001</v>
      </c>
      <c r="F68" s="372">
        <f>+'El Paso'!A39</f>
        <v>37261</v>
      </c>
      <c r="G68" s="428"/>
      <c r="H68" s="32" t="s">
        <v>100</v>
      </c>
      <c r="I68" s="32" t="s">
        <v>170</v>
      </c>
      <c r="J68" s="32"/>
      <c r="K68" s="32"/>
    </row>
    <row r="69" spans="1:11" ht="15" customHeight="1" outlineLevel="1" x14ac:dyDescent="0.25">
      <c r="A69" s="248" t="s">
        <v>114</v>
      </c>
      <c r="B69" s="377">
        <f>+'PG&amp;E'!D40</f>
        <v>43156</v>
      </c>
      <c r="C69" s="354">
        <f>+B69*$J$4</f>
        <v>98827.24</v>
      </c>
      <c r="D69" s="354">
        <f>+'PG&amp;E'!D47</f>
        <v>-23992.35</v>
      </c>
      <c r="E69" s="354">
        <f>+C69-D69</f>
        <v>122819.59</v>
      </c>
      <c r="F69" s="372">
        <f>+'PG&amp;E'!A40</f>
        <v>37261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156</v>
      </c>
      <c r="B70" s="401">
        <f>SUBTOTAL(9,B66:B69)</f>
        <v>420104</v>
      </c>
      <c r="C70" s="395">
        <f>SUBTOTAL(9,C66:C69)</f>
        <v>962038.16</v>
      </c>
      <c r="D70" s="395">
        <f>SUBTOTAL(9,D66:D69)</f>
        <v>-1026131.0399999999</v>
      </c>
      <c r="E70" s="395">
        <f>SUBTOTAL(9,E66:E69)</f>
        <v>1988169.2000000002</v>
      </c>
      <c r="F70" s="372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73" t="s">
        <v>57</v>
      </c>
      <c r="B72" s="286"/>
      <c r="C72" s="247"/>
      <c r="G72" s="203"/>
    </row>
    <row r="73" spans="1:11" x14ac:dyDescent="0.25">
      <c r="A73" s="248" t="s">
        <v>23</v>
      </c>
      <c r="B73" s="375">
        <f>+'Red C'!F45</f>
        <v>24171</v>
      </c>
      <c r="C73" s="352">
        <f>+B73*J57</f>
        <v>53901.33</v>
      </c>
      <c r="D73" s="200">
        <f>+'Red C'!D52</f>
        <v>421070.75</v>
      </c>
      <c r="E73" s="47">
        <f>+C73-D73</f>
        <v>-367169.42</v>
      </c>
      <c r="F73" s="371">
        <f>+'Red C'!A45</f>
        <v>37261</v>
      </c>
      <c r="G73" s="203" t="s">
        <v>153</v>
      </c>
      <c r="H73" s="32" t="s">
        <v>115</v>
      </c>
      <c r="I73" s="32"/>
      <c r="J73" s="32"/>
      <c r="K73" s="32"/>
    </row>
    <row r="74" spans="1:11" x14ac:dyDescent="0.25">
      <c r="A74" s="248" t="s">
        <v>319</v>
      </c>
      <c r="B74" s="375">
        <f>+Amoco!D40</f>
        <v>-35346</v>
      </c>
      <c r="C74" s="351">
        <f>+B74*$J$3</f>
        <v>-78821.58</v>
      </c>
      <c r="D74" s="47">
        <f>+Amoco!D47</f>
        <v>261128.72</v>
      </c>
      <c r="E74" s="47">
        <f>+C74-D74</f>
        <v>-339950.3</v>
      </c>
      <c r="F74" s="372">
        <f>+Amoco!A40</f>
        <v>37261</v>
      </c>
      <c r="G74" s="203" t="s">
        <v>153</v>
      </c>
      <c r="H74" s="32" t="s">
        <v>115</v>
      </c>
      <c r="I74" s="32"/>
      <c r="J74" s="32"/>
      <c r="K74" s="32"/>
    </row>
    <row r="75" spans="1:11" x14ac:dyDescent="0.25">
      <c r="A75" s="248" t="s">
        <v>180</v>
      </c>
      <c r="B75" s="375">
        <f>+'El Paso'!E39</f>
        <v>-36347</v>
      </c>
      <c r="C75" s="351">
        <f>+B75*$J$3</f>
        <v>-81053.81</v>
      </c>
      <c r="D75" s="47">
        <f>+'El Paso'!F46</f>
        <v>-657486</v>
      </c>
      <c r="E75" s="47">
        <f>+C75-D75</f>
        <v>576432.18999999994</v>
      </c>
      <c r="F75" s="372">
        <f>+'El Paso'!A39</f>
        <v>37261</v>
      </c>
      <c r="G75" s="428"/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77">
        <f>+NW!$F$41</f>
        <v>-26973</v>
      </c>
      <c r="C76" s="354">
        <f>+B76*$J$3</f>
        <v>-60149.79</v>
      </c>
      <c r="D76" s="354">
        <f>+NW!E49</f>
        <v>-517830.32</v>
      </c>
      <c r="E76" s="354">
        <f>+C76-D76</f>
        <v>457680.53</v>
      </c>
      <c r="F76" s="371">
        <f>+NW!B41</f>
        <v>37261</v>
      </c>
      <c r="G76" s="203" t="s">
        <v>153</v>
      </c>
      <c r="H76" s="32" t="s">
        <v>115</v>
      </c>
      <c r="I76" s="32"/>
      <c r="J76" s="32"/>
      <c r="K76" s="32"/>
    </row>
    <row r="77" spans="1:11" x14ac:dyDescent="0.25">
      <c r="A77" s="32" t="s">
        <v>157</v>
      </c>
      <c r="B77" s="401">
        <f>SUBTOTAL(9,B73:B76)</f>
        <v>-74495</v>
      </c>
      <c r="C77" s="395">
        <f>SUBTOTAL(9,C73:C76)</f>
        <v>-166123.85</v>
      </c>
      <c r="D77" s="395">
        <f>SUBTOTAL(9,D73:D76)</f>
        <v>-493116.85000000003</v>
      </c>
      <c r="E77" s="395">
        <f>SUBTOTAL(9,E73:E76)</f>
        <v>326993</v>
      </c>
      <c r="F77" s="371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73" t="s">
        <v>159</v>
      </c>
      <c r="B79" s="286"/>
      <c r="C79" s="247"/>
      <c r="G79" s="203"/>
    </row>
    <row r="80" spans="1:11" x14ac:dyDescent="0.25">
      <c r="A80" s="248" t="s">
        <v>88</v>
      </c>
      <c r="B80" s="375">
        <f>+NGPL!F38</f>
        <v>121854</v>
      </c>
      <c r="C80" s="489">
        <f>+B80*$J$5</f>
        <v>283919.82</v>
      </c>
      <c r="D80" s="47">
        <f>+NGPL!D45</f>
        <v>309529.76</v>
      </c>
      <c r="E80" s="47">
        <f>+C80-D80</f>
        <v>-25609.940000000002</v>
      </c>
      <c r="F80" s="372">
        <f>+NGPL!A38</f>
        <v>37261</v>
      </c>
      <c r="G80" s="203"/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75">
        <f>+PEPL!D41</f>
        <v>-11634</v>
      </c>
      <c r="C81" s="490">
        <f>+B81*$J$4</f>
        <v>-26641.86</v>
      </c>
      <c r="D81" s="47">
        <f>+PEPL!D47</f>
        <v>155492.51</v>
      </c>
      <c r="E81" s="47">
        <f>+C81-D81</f>
        <v>-182134.37</v>
      </c>
      <c r="F81" s="372">
        <f>+PEPL!A41</f>
        <v>37262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16328</v>
      </c>
      <c r="C82" s="490">
        <f>+B82*$J$4</f>
        <v>37391.120000000003</v>
      </c>
      <c r="D82" s="200">
        <f>+CIG!D49</f>
        <v>383278</v>
      </c>
      <c r="E82" s="70">
        <f>+C82-D82</f>
        <v>-345886.88</v>
      </c>
      <c r="F82" s="372">
        <f>+CIG!A42</f>
        <v>37261</v>
      </c>
      <c r="G82" s="203" t="s">
        <v>154</v>
      </c>
      <c r="H82" s="32" t="s">
        <v>113</v>
      </c>
      <c r="I82" s="32" t="s">
        <v>181</v>
      </c>
      <c r="J82" s="32"/>
      <c r="K82" s="32"/>
    </row>
    <row r="83" spans="1:12" x14ac:dyDescent="0.25">
      <c r="A83" s="248" t="s">
        <v>31</v>
      </c>
      <c r="B83" s="379">
        <f>+Lonestar!F43</f>
        <v>16678.330000000002</v>
      </c>
      <c r="C83" s="527">
        <f>+B83*J59</f>
        <v>38860.508900000008</v>
      </c>
      <c r="D83" s="354">
        <f>+Lonestar!D50</f>
        <v>22944.240000000002</v>
      </c>
      <c r="E83" s="354">
        <f>+C83-D83</f>
        <v>15916.268900000006</v>
      </c>
      <c r="F83" s="371">
        <f>+Lonestar!A43</f>
        <v>37261</v>
      </c>
      <c r="H83" s="32" t="s">
        <v>102</v>
      </c>
      <c r="I83" s="32"/>
      <c r="J83" s="32"/>
      <c r="K83" s="32"/>
    </row>
    <row r="84" spans="1:12" x14ac:dyDescent="0.25">
      <c r="A84" s="2" t="s">
        <v>160</v>
      </c>
      <c r="B84" s="396">
        <f>SUBTOTAL(9,B80:B83)</f>
        <v>143226.33000000002</v>
      </c>
      <c r="C84" s="395">
        <f>SUBTOTAL(9,C80:C83)</f>
        <v>333529.58890000003</v>
      </c>
      <c r="D84" s="395">
        <f>SUBTOTAL(9,D80:D83)</f>
        <v>871244.51</v>
      </c>
      <c r="E84" s="395">
        <f>SUBTOTAL(9,E80:E83)</f>
        <v>-537714.92109999992</v>
      </c>
      <c r="F84" s="371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165</v>
      </c>
      <c r="B86" s="396">
        <f>SUBTOTAL(9,B66:B83)</f>
        <v>488835.33</v>
      </c>
      <c r="C86" s="395">
        <f>SUBTOTAL(9,C66:C83)</f>
        <v>1129443.8989000001</v>
      </c>
      <c r="D86" s="395">
        <f>SUBTOTAL(9,D66:D83)</f>
        <v>-648003.37999999989</v>
      </c>
      <c r="E86" s="395">
        <f>SUBTOTAL(9,E66:E83)</f>
        <v>1777447.2789000003</v>
      </c>
      <c r="F86" s="371"/>
      <c r="H86" s="32"/>
      <c r="I86" s="32"/>
      <c r="J86" s="32"/>
      <c r="K86" s="32"/>
    </row>
    <row r="87" spans="1:12" x14ac:dyDescent="0.25">
      <c r="A87" s="32"/>
      <c r="B87" s="351"/>
      <c r="C87" s="376"/>
      <c r="D87" s="351"/>
      <c r="E87" s="351"/>
      <c r="F87" s="371"/>
      <c r="H87" s="32"/>
      <c r="I87" s="32"/>
      <c r="J87" s="32"/>
      <c r="K87" s="32"/>
    </row>
    <row r="88" spans="1:12" x14ac:dyDescent="0.25">
      <c r="A88" s="32"/>
      <c r="B88" s="354"/>
      <c r="C88" s="375"/>
      <c r="D88" s="293"/>
      <c r="E88" s="293"/>
      <c r="F88" s="371"/>
      <c r="G88" s="32"/>
      <c r="I88" s="32"/>
      <c r="J88" s="32"/>
      <c r="K88" s="32"/>
      <c r="L88" s="32"/>
    </row>
    <row r="89" spans="1:12" ht="13.8" thickBot="1" x14ac:dyDescent="0.3">
      <c r="A89" s="2" t="s">
        <v>167</v>
      </c>
      <c r="B89" s="404">
        <f>+C86+B51</f>
        <v>3116107.5088999998</v>
      </c>
      <c r="C89" s="206"/>
      <c r="D89" s="351"/>
      <c r="E89" s="351"/>
      <c r="F89" s="358"/>
      <c r="H89" s="32"/>
      <c r="I89" s="32"/>
      <c r="J89" s="32"/>
      <c r="K89" s="32"/>
    </row>
    <row r="90" spans="1:12" ht="13.8" thickTop="1" x14ac:dyDescent="0.25">
      <c r="A90" s="2" t="s">
        <v>168</v>
      </c>
      <c r="B90" s="14">
        <f>+B86+C51</f>
        <v>1355972.8359193881</v>
      </c>
      <c r="C90" s="378"/>
      <c r="D90" s="430"/>
      <c r="E90" s="293"/>
      <c r="F90" s="358"/>
      <c r="G90" s="32"/>
      <c r="H90" s="32"/>
      <c r="I90" s="32"/>
      <c r="J90" s="32"/>
    </row>
    <row r="91" spans="1:12" x14ac:dyDescent="0.25">
      <c r="A91" s="32"/>
      <c r="B91" s="47"/>
      <c r="C91" s="380"/>
      <c r="D91" s="293"/>
      <c r="E91" s="293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4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9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5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5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5">
      <c r="A129" s="32"/>
      <c r="B129" s="47"/>
      <c r="D129" s="32"/>
      <c r="E129" s="32"/>
      <c r="F129" s="32"/>
      <c r="G129" s="32"/>
      <c r="H129" s="32"/>
    </row>
    <row r="130" spans="1:8" x14ac:dyDescent="0.25">
      <c r="A130" s="32"/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7" workbookViewId="0">
      <selection activeCell="C30" sqref="C30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184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7" t="s">
        <v>10</v>
      </c>
      <c r="B5" s="437" t="s">
        <v>19</v>
      </c>
      <c r="C5" s="437" t="s">
        <v>20</v>
      </c>
      <c r="D5" s="43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8">
        <v>1</v>
      </c>
      <c r="B6" s="419">
        <v>152595</v>
      </c>
      <c r="C6" s="419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8">
        <v>2</v>
      </c>
      <c r="B7" s="445">
        <v>151711</v>
      </c>
      <c r="C7" s="419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8">
        <v>3</v>
      </c>
      <c r="B8" s="445">
        <v>130476</v>
      </c>
      <c r="C8" s="419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8">
        <v>4</v>
      </c>
      <c r="B9" s="445">
        <v>157869</v>
      </c>
      <c r="C9" s="419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8">
        <v>5</v>
      </c>
      <c r="B10" s="445">
        <v>153621</v>
      </c>
      <c r="C10" s="419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8">
        <v>6</v>
      </c>
      <c r="B11" s="445"/>
      <c r="C11" s="419"/>
      <c r="D11" s="310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8">
        <v>7</v>
      </c>
      <c r="B12" s="445"/>
      <c r="C12" s="419"/>
      <c r="D12" s="310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8">
        <v>8</v>
      </c>
      <c r="B13" s="419"/>
      <c r="C13" s="419"/>
      <c r="D13" s="310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8">
        <v>9</v>
      </c>
      <c r="B14" s="419"/>
      <c r="C14" s="419"/>
      <c r="D14" s="310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8">
        <v>10</v>
      </c>
      <c r="B15" s="419"/>
      <c r="C15" s="419"/>
      <c r="D15" s="310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8">
        <v>11</v>
      </c>
      <c r="B16" s="419"/>
      <c r="C16" s="419"/>
      <c r="D16" s="310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8">
        <v>12</v>
      </c>
      <c r="B17" s="419"/>
      <c r="C17" s="419"/>
      <c r="D17" s="310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8">
        <v>13</v>
      </c>
      <c r="B18" s="419"/>
      <c r="C18" s="419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8">
        <v>14</v>
      </c>
      <c r="B19" s="419"/>
      <c r="C19" s="419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8">
        <v>15</v>
      </c>
      <c r="B20" s="419"/>
      <c r="C20" s="419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8">
        <v>16</v>
      </c>
      <c r="B21" s="419"/>
      <c r="C21" s="419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8">
        <v>17</v>
      </c>
      <c r="B22" s="445"/>
      <c r="C22" s="419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8">
        <v>18</v>
      </c>
      <c r="B23" s="445"/>
      <c r="C23" s="419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8">
        <v>19</v>
      </c>
      <c r="B24" s="445"/>
      <c r="C24" s="445"/>
      <c r="D24" s="493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8">
        <v>20</v>
      </c>
      <c r="B25" s="445"/>
      <c r="C25" s="445"/>
      <c r="D25" s="493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8">
        <v>21</v>
      </c>
      <c r="B26" s="445"/>
      <c r="C26" s="445"/>
      <c r="D26" s="493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8">
        <v>22</v>
      </c>
      <c r="B27" s="445"/>
      <c r="C27" s="445"/>
      <c r="D27" s="493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8">
        <v>23</v>
      </c>
      <c r="B28" s="445"/>
      <c r="C28" s="445"/>
      <c r="D28" s="493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8">
        <v>24</v>
      </c>
      <c r="B29" s="445"/>
      <c r="C29" s="445"/>
      <c r="D29" s="493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8">
        <v>25</v>
      </c>
      <c r="B30" s="445"/>
      <c r="C30" s="445"/>
      <c r="D30" s="493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8">
        <v>26</v>
      </c>
      <c r="B31" s="419"/>
      <c r="C31" s="419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8">
        <v>27</v>
      </c>
      <c r="B32" s="419"/>
      <c r="C32" s="419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8">
        <v>28</v>
      </c>
      <c r="B33" s="419"/>
      <c r="C33" s="419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8">
        <v>29</v>
      </c>
      <c r="B34" s="419"/>
      <c r="C34" s="419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8"/>
      <c r="B37" s="419">
        <f>SUM(B6:B36)</f>
        <v>746272</v>
      </c>
      <c r="C37" s="419">
        <f>SUM(C6:C36)</f>
        <v>741136</v>
      </c>
      <c r="D37" s="419">
        <f>SUM(D6:D36)</f>
        <v>-5136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37256</v>
      </c>
      <c r="B39" s="285"/>
      <c r="C39" s="443"/>
      <c r="D39" s="506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37261</v>
      </c>
      <c r="B40" s="285"/>
      <c r="C40" s="444"/>
      <c r="D40" s="310">
        <f>+D39+D37</f>
        <v>-35346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37256</v>
      </c>
      <c r="B45" s="32"/>
      <c r="C45" s="32"/>
      <c r="D45" s="507">
        <v>272582</v>
      </c>
      <c r="H45">
        <v>12</v>
      </c>
    </row>
    <row r="46" spans="1:16" x14ac:dyDescent="0.25">
      <c r="A46" s="49">
        <f>+A40</f>
        <v>37261</v>
      </c>
      <c r="B46" s="32"/>
      <c r="C46" s="32"/>
      <c r="D46" s="382">
        <f>+D37*'by type_area'!J3</f>
        <v>-11453.28</v>
      </c>
      <c r="H46">
        <v>500</v>
      </c>
    </row>
    <row r="47" spans="1:16" x14ac:dyDescent="0.25">
      <c r="A47" s="32"/>
      <c r="B47" s="32"/>
      <c r="C47" s="32"/>
      <c r="D47" s="200">
        <f>+D46+D45</f>
        <v>261128.72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A18" sqref="A18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5">
      <c r="A36" s="12"/>
      <c r="B36" s="24">
        <f>SUM(B5:B35)</f>
        <v>-360888</v>
      </c>
      <c r="C36" s="24">
        <f>SUM(C5:C35)</f>
        <v>-359824</v>
      </c>
      <c r="D36" s="24">
        <f t="shared" si="0"/>
        <v>1064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5">
      <c r="A37" s="26"/>
      <c r="B37"/>
      <c r="C37" s="14"/>
      <c r="D37" s="329">
        <f>+summary!H5</f>
        <v>2.33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5">
      <c r="B38"/>
      <c r="C38"/>
      <c r="D38" s="138">
        <f>+D37*D36</f>
        <v>2479.12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5">
      <c r="A39" s="57">
        <v>37256</v>
      </c>
      <c r="B39"/>
      <c r="C39" s="15"/>
      <c r="D39" s="514">
        <v>-33834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5">
      <c r="A40" s="57">
        <v>37261</v>
      </c>
      <c r="B40"/>
      <c r="C40" s="48"/>
      <c r="D40" s="138">
        <f>+D39+D38</f>
        <v>-31354.880000000001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5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5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5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5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5">
      <c r="A45" s="49">
        <f>+A39</f>
        <v>37256</v>
      </c>
      <c r="B45" s="32"/>
      <c r="C45" s="32"/>
      <c r="D45" s="504">
        <v>-18444</v>
      </c>
    </row>
    <row r="46" spans="1:65" x14ac:dyDescent="0.25">
      <c r="A46" s="49">
        <f>+A40</f>
        <v>37261</v>
      </c>
      <c r="B46" s="32"/>
      <c r="C46" s="32"/>
      <c r="D46" s="355">
        <f>+D36</f>
        <v>1064</v>
      </c>
    </row>
    <row r="47" spans="1:65" x14ac:dyDescent="0.25">
      <c r="A47" s="32"/>
      <c r="B47" s="32"/>
      <c r="C47" s="32"/>
      <c r="D47" s="14">
        <f>+D46+D45</f>
        <v>-17380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C7" sqref="C7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159260</v>
      </c>
      <c r="C5" s="90">
        <v>160824</v>
      </c>
      <c r="D5" s="90">
        <f>+C5-B5</f>
        <v>1564</v>
      </c>
      <c r="E5" s="275"/>
      <c r="F5" s="273"/>
    </row>
    <row r="6" spans="1:13" x14ac:dyDescent="0.25">
      <c r="A6" s="87">
        <v>78311</v>
      </c>
      <c r="B6" s="90">
        <v>48180</v>
      </c>
      <c r="C6" s="90">
        <v>34200</v>
      </c>
      <c r="D6" s="90">
        <f t="shared" ref="D6:D17" si="0">+C6-B6</f>
        <v>-13980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148198</v>
      </c>
      <c r="C7" s="90">
        <v>173332</v>
      </c>
      <c r="D7" s="90">
        <f t="shared" si="0"/>
        <v>25134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191824</v>
      </c>
      <c r="C8" s="90">
        <v>143548</v>
      </c>
      <c r="D8" s="90">
        <f t="shared" si="0"/>
        <v>-48276</v>
      </c>
      <c r="E8" s="464"/>
      <c r="F8" s="273"/>
    </row>
    <row r="9" spans="1:13" x14ac:dyDescent="0.25">
      <c r="A9" s="87">
        <v>500293</v>
      </c>
      <c r="B9" s="90">
        <v>95279</v>
      </c>
      <c r="C9" s="90">
        <v>94670</v>
      </c>
      <c r="D9" s="90">
        <f t="shared" si="0"/>
        <v>-609</v>
      </c>
      <c r="E9" s="275"/>
      <c r="F9" s="273"/>
    </row>
    <row r="10" spans="1:13" x14ac:dyDescent="0.25">
      <c r="A10" s="87">
        <v>500302</v>
      </c>
      <c r="B10" s="90"/>
      <c r="C10" s="90">
        <v>1380</v>
      </c>
      <c r="D10" s="90">
        <f t="shared" si="0"/>
        <v>1380</v>
      </c>
      <c r="E10" s="275"/>
      <c r="F10" s="273"/>
    </row>
    <row r="11" spans="1:13" x14ac:dyDescent="0.25">
      <c r="A11" s="87">
        <v>500303</v>
      </c>
      <c r="B11" s="90"/>
      <c r="C11" s="90">
        <v>40807</v>
      </c>
      <c r="D11" s="90">
        <f t="shared" si="0"/>
        <v>40807</v>
      </c>
      <c r="E11" s="275"/>
      <c r="F11" s="273"/>
    </row>
    <row r="12" spans="1:13" x14ac:dyDescent="0.25">
      <c r="A12" s="91">
        <v>500305</v>
      </c>
      <c r="B12" s="90">
        <v>253754</v>
      </c>
      <c r="C12" s="90">
        <v>244698</v>
      </c>
      <c r="D12" s="90">
        <f t="shared" si="0"/>
        <v>-9056</v>
      </c>
      <c r="E12" s="276"/>
      <c r="F12" s="273"/>
    </row>
    <row r="13" spans="1:13" x14ac:dyDescent="0.25">
      <c r="A13" s="87">
        <v>500307</v>
      </c>
      <c r="B13" s="90">
        <v>18290</v>
      </c>
      <c r="C13" s="90">
        <v>10640</v>
      </c>
      <c r="D13" s="90">
        <f t="shared" si="0"/>
        <v>-7650</v>
      </c>
      <c r="E13" s="275"/>
      <c r="F13" s="273"/>
    </row>
    <row r="14" spans="1:13" x14ac:dyDescent="0.25">
      <c r="A14" s="87">
        <v>500313</v>
      </c>
      <c r="B14" s="90"/>
      <c r="C14" s="90">
        <v>505</v>
      </c>
      <c r="D14" s="90">
        <f t="shared" si="0"/>
        <v>505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36126</v>
      </c>
      <c r="C16" s="90"/>
      <c r="D16" s="90">
        <f t="shared" si="0"/>
        <v>-36126</v>
      </c>
      <c r="E16" s="275"/>
      <c r="F16" s="273"/>
    </row>
    <row r="17" spans="1:6" x14ac:dyDescent="0.25">
      <c r="A17" s="87">
        <v>500657</v>
      </c>
      <c r="B17" s="88">
        <v>28965</v>
      </c>
      <c r="C17" s="88">
        <v>34988</v>
      </c>
      <c r="D17" s="94">
        <f t="shared" si="0"/>
        <v>6023</v>
      </c>
      <c r="E17" s="275"/>
      <c r="F17" s="273"/>
    </row>
    <row r="18" spans="1:6" x14ac:dyDescent="0.25">
      <c r="A18" s="87"/>
      <c r="B18" s="88"/>
      <c r="C18" s="88"/>
      <c r="D18" s="88">
        <f>SUM(D5:D17)</f>
        <v>-40284</v>
      </c>
      <c r="E18" s="275"/>
      <c r="F18" s="273"/>
    </row>
    <row r="19" spans="1:6" x14ac:dyDescent="0.25">
      <c r="A19" s="87" t="s">
        <v>81</v>
      </c>
      <c r="B19" s="88"/>
      <c r="C19" s="88"/>
      <c r="D19" s="95">
        <f>+summary!H5</f>
        <v>2.33</v>
      </c>
      <c r="E19" s="277"/>
      <c r="F19" s="273"/>
    </row>
    <row r="20" spans="1:6" x14ac:dyDescent="0.25">
      <c r="A20" s="87"/>
      <c r="B20" s="88"/>
      <c r="C20" s="88"/>
      <c r="D20" s="96">
        <f>+D19*D18</f>
        <v>-93861.72</v>
      </c>
      <c r="E20" s="207"/>
      <c r="F20" s="274"/>
    </row>
    <row r="21" spans="1:6" x14ac:dyDescent="0.25">
      <c r="A21" s="87"/>
      <c r="B21" s="88"/>
      <c r="C21" s="88"/>
      <c r="D21" s="96"/>
      <c r="E21" s="207"/>
      <c r="F21" s="74"/>
    </row>
    <row r="22" spans="1:6" x14ac:dyDescent="0.25">
      <c r="A22" s="99">
        <v>37256</v>
      </c>
      <c r="B22" s="88"/>
      <c r="C22" s="88"/>
      <c r="D22" s="511">
        <v>68958.7</v>
      </c>
      <c r="E22" s="207"/>
      <c r="F22" s="66"/>
    </row>
    <row r="23" spans="1:6" x14ac:dyDescent="0.25">
      <c r="A23" s="87"/>
      <c r="B23" s="88"/>
      <c r="C23" s="88"/>
      <c r="D23" s="311"/>
      <c r="E23" s="207"/>
      <c r="F23" s="66"/>
    </row>
    <row r="24" spans="1:6" ht="13.8" thickBot="1" x14ac:dyDescent="0.3">
      <c r="A24" s="99">
        <v>37261</v>
      </c>
      <c r="B24" s="88"/>
      <c r="C24" s="88"/>
      <c r="D24" s="321">
        <f>+D22+D20</f>
        <v>-24903.020000000004</v>
      </c>
      <c r="E24" s="207"/>
      <c r="F24" s="66"/>
    </row>
    <row r="25" spans="1:6" ht="13.8" thickTop="1" x14ac:dyDescent="0.25">
      <c r="E25" s="278"/>
    </row>
    <row r="28" spans="1:6" x14ac:dyDescent="0.25">
      <c r="A28" s="32" t="s">
        <v>149</v>
      </c>
      <c r="B28" s="32"/>
      <c r="C28" s="32"/>
      <c r="D28" s="32"/>
      <c r="E28" s="348"/>
    </row>
    <row r="29" spans="1:6" x14ac:dyDescent="0.25">
      <c r="A29" s="49">
        <f>+A22</f>
        <v>37256</v>
      </c>
      <c r="B29" s="32"/>
      <c r="C29" s="32"/>
      <c r="D29" s="504">
        <v>44250</v>
      </c>
    </row>
    <row r="30" spans="1:6" x14ac:dyDescent="0.25">
      <c r="A30" s="49">
        <f>+A24</f>
        <v>37261</v>
      </c>
      <c r="B30" s="32"/>
      <c r="C30" s="32"/>
      <c r="D30" s="355">
        <f>+D18</f>
        <v>-40284</v>
      </c>
    </row>
    <row r="31" spans="1:6" x14ac:dyDescent="0.25">
      <c r="A31" s="32"/>
      <c r="B31" s="32"/>
      <c r="C31" s="32"/>
      <c r="D31" s="14">
        <f>+D30+D29</f>
        <v>3966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6" sqref="C36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4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4" t="s">
        <v>39</v>
      </c>
      <c r="I3" s="4" t="s">
        <v>19</v>
      </c>
      <c r="J3" s="4" t="s">
        <v>20</v>
      </c>
      <c r="K3" s="41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176109</v>
      </c>
      <c r="C35" s="11">
        <f>SUM(C4:C34)</f>
        <v>176894</v>
      </c>
      <c r="D35" s="11">
        <f>SUM(D4:D34)</f>
        <v>159223</v>
      </c>
      <c r="E35" s="11">
        <f>SUM(E4:E34)</f>
        <v>157940</v>
      </c>
      <c r="F35" s="11">
        <f>+E35-D35+C35-B35</f>
        <v>-498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0">
        <f>+summary!H4</f>
        <v>2.29</v>
      </c>
    </row>
    <row r="38" spans="1:7" x14ac:dyDescent="0.2">
      <c r="C38" s="48"/>
      <c r="D38" s="47"/>
      <c r="E38" s="48"/>
      <c r="F38" s="46">
        <f>+F37*F35</f>
        <v>-1140.42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70"/>
      <c r="D40" s="111"/>
      <c r="E40" s="470"/>
      <c r="F40" s="508">
        <v>460431.19</v>
      </c>
      <c r="G40" s="25"/>
    </row>
    <row r="41" spans="1:7" x14ac:dyDescent="0.2">
      <c r="A41" s="57">
        <v>37261</v>
      </c>
      <c r="C41" s="106"/>
      <c r="D41" s="106"/>
      <c r="E41" s="106"/>
      <c r="F41" s="106">
        <f>+F38+F40</f>
        <v>459290.77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09">
        <v>41311</v>
      </c>
      <c r="E46" s="11"/>
      <c r="F46" s="11"/>
      <c r="G46" s="25"/>
    </row>
    <row r="47" spans="1:7" x14ac:dyDescent="0.2">
      <c r="A47" s="49">
        <f>+A41</f>
        <v>37261</v>
      </c>
      <c r="D47" s="355">
        <f>+F35</f>
        <v>-498</v>
      </c>
      <c r="E47" s="11"/>
      <c r="F47" s="11"/>
      <c r="G47" s="25"/>
    </row>
    <row r="48" spans="1:7" x14ac:dyDescent="0.2">
      <c r="D48" s="14">
        <f>+D47+D46</f>
        <v>40813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E9" sqref="E9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939312</v>
      </c>
      <c r="C36" s="11">
        <f>SUM(C5:C35)</f>
        <v>937539</v>
      </c>
      <c r="D36" s="11">
        <f>SUM(D5:D35)</f>
        <v>0</v>
      </c>
      <c r="E36" s="11">
        <f>SUM(E5:E35)</f>
        <v>-2811</v>
      </c>
      <c r="F36" s="11">
        <f>SUM(F5:F35)</f>
        <v>-4584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37256</v>
      </c>
      <c r="F39" s="534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37261</v>
      </c>
      <c r="F41" s="336">
        <f>+F39+F36</f>
        <v>-26973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37256</v>
      </c>
      <c r="C47" s="32"/>
      <c r="D47" s="32"/>
      <c r="E47" s="49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37261</v>
      </c>
      <c r="C48" s="32"/>
      <c r="D48" s="32"/>
      <c r="E48" s="382">
        <f>+F36*'by type_area'!J3</f>
        <v>-10222.32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-517830.32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36" sqref="C36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5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5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5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553869</v>
      </c>
      <c r="C39" s="11">
        <f>SUM(C8:C38)</f>
        <v>564056</v>
      </c>
      <c r="D39" s="11">
        <f>SUM(D8:D38)</f>
        <v>10187</v>
      </c>
      <c r="E39" s="10"/>
      <c r="F39" s="11"/>
      <c r="G39" s="11"/>
      <c r="H39" s="11"/>
    </row>
    <row r="40" spans="1:8" x14ac:dyDescent="0.25">
      <c r="A40" s="26"/>
      <c r="D40" s="75">
        <f>+summary!H4</f>
        <v>2.29</v>
      </c>
      <c r="E40" s="26"/>
      <c r="H40" s="75"/>
    </row>
    <row r="41" spans="1:8" x14ac:dyDescent="0.25">
      <c r="D41" s="195">
        <f>+D40*D39</f>
        <v>23328.23</v>
      </c>
      <c r="F41" s="247"/>
      <c r="H41" s="195"/>
    </row>
    <row r="42" spans="1:8" x14ac:dyDescent="0.25">
      <c r="A42" s="57">
        <v>37256</v>
      </c>
      <c r="D42" s="524">
        <v>12821</v>
      </c>
      <c r="E42" s="57"/>
      <c r="H42" s="195"/>
    </row>
    <row r="43" spans="1:8" x14ac:dyDescent="0.25">
      <c r="A43" s="57">
        <v>37261</v>
      </c>
      <c r="D43" s="196">
        <f>+D42+D41</f>
        <v>36149.229999999996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37256</v>
      </c>
      <c r="B48" s="32"/>
      <c r="C48" s="32"/>
      <c r="D48" s="504">
        <v>-49782</v>
      </c>
    </row>
    <row r="49" spans="1:4" x14ac:dyDescent="0.25">
      <c r="A49" s="49">
        <f>+A43</f>
        <v>37261</v>
      </c>
      <c r="B49" s="32"/>
      <c r="C49" s="32"/>
      <c r="D49" s="355">
        <f>+D39</f>
        <v>10187</v>
      </c>
    </row>
    <row r="50" spans="1:4" x14ac:dyDescent="0.25">
      <c r="A50" s="32"/>
      <c r="B50" s="32"/>
      <c r="C50" s="32"/>
      <c r="D50" s="14">
        <f>+D49+D48</f>
        <v>-39595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35" workbookViewId="0">
      <selection activeCell="B45" sqref="B44:B45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37256</v>
      </c>
      <c r="C5" s="516">
        <v>1537446.14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253</v>
      </c>
      <c r="J6" s="15"/>
    </row>
    <row r="7" spans="1:14" x14ac:dyDescent="0.25">
      <c r="A7" s="57">
        <v>37256</v>
      </c>
      <c r="I7" s="3" t="s">
        <v>260</v>
      </c>
      <c r="J7" s="15"/>
    </row>
    <row r="8" spans="1:14" x14ac:dyDescent="0.25">
      <c r="A8" s="248">
        <v>50895</v>
      </c>
      <c r="B8" s="343"/>
      <c r="J8" s="15"/>
    </row>
    <row r="9" spans="1:14" x14ac:dyDescent="0.25">
      <c r="A9" s="248">
        <v>60874</v>
      </c>
      <c r="B9" s="343"/>
      <c r="J9" s="15"/>
    </row>
    <row r="10" spans="1:14" x14ac:dyDescent="0.25">
      <c r="A10" s="248">
        <v>78169</v>
      </c>
      <c r="B10" s="343"/>
      <c r="I10" s="87" t="s">
        <v>254</v>
      </c>
      <c r="J10" s="492" t="s">
        <v>27</v>
      </c>
      <c r="K10" s="87" t="s">
        <v>255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92">
        <f>+C40</f>
        <v>841974.51</v>
      </c>
      <c r="K11" s="87" t="s">
        <v>256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5"/>
      <c r="I12" s="87">
        <v>24693</v>
      </c>
      <c r="J12" s="454">
        <v>275313.71999999997</v>
      </c>
      <c r="K12" s="87" t="s">
        <v>257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9"/>
      <c r="I13" s="87">
        <v>21665</v>
      </c>
      <c r="J13" s="454">
        <v>73449.16</v>
      </c>
      <c r="K13" s="87" t="s">
        <v>259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9"/>
      <c r="I14" s="87">
        <v>22664</v>
      </c>
      <c r="J14" s="457">
        <v>23612.35</v>
      </c>
      <c r="K14" s="87" t="s">
        <v>261</v>
      </c>
      <c r="L14" s="87"/>
      <c r="M14" s="87"/>
      <c r="N14" s="87"/>
    </row>
    <row r="15" spans="1:14" ht="20.100000000000001" customHeight="1" x14ac:dyDescent="0.25">
      <c r="A15" s="32">
        <v>500255</v>
      </c>
      <c r="B15" s="319"/>
      <c r="I15" s="87"/>
      <c r="J15" s="454">
        <f>SUM(J11:J14)</f>
        <v>1214349.74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9"/>
      <c r="I16" s="87"/>
      <c r="J16" s="454"/>
      <c r="K16" s="87"/>
      <c r="L16" s="87"/>
      <c r="M16" s="87"/>
      <c r="N16" s="87"/>
    </row>
    <row r="17" spans="1:14" x14ac:dyDescent="0.25">
      <c r="A17" s="280">
        <v>500267</v>
      </c>
      <c r="B17" s="344"/>
      <c r="I17" s="87"/>
      <c r="J17" s="454"/>
      <c r="K17" s="87"/>
      <c r="L17" s="87"/>
      <c r="M17" s="87"/>
      <c r="N17" s="87"/>
    </row>
    <row r="18" spans="1:14" x14ac:dyDescent="0.25">
      <c r="B18" s="14">
        <f>SUM(B8:B17)</f>
        <v>0</v>
      </c>
      <c r="I18" s="87"/>
      <c r="J18" s="454"/>
      <c r="K18" s="87"/>
      <c r="L18" s="87"/>
      <c r="M18" s="87"/>
      <c r="N18" s="87"/>
    </row>
    <row r="19" spans="1:14" x14ac:dyDescent="0.25">
      <c r="B19" s="15">
        <f>+summary!H5</f>
        <v>2.33</v>
      </c>
      <c r="C19" s="199">
        <f>+B19*B18</f>
        <v>0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5">
      <c r="C20" s="324">
        <f>+C19+C5</f>
        <v>1537446.14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5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5">
      <c r="A23" s="2" t="s">
        <v>73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5">
      <c r="G24" s="32"/>
      <c r="H24" s="387"/>
      <c r="I24" s="330"/>
      <c r="J24" s="454"/>
      <c r="K24" s="87"/>
      <c r="L24" s="87"/>
      <c r="M24" s="87"/>
      <c r="N24" s="87"/>
    </row>
    <row r="25" spans="1:14" x14ac:dyDescent="0.25">
      <c r="G25" s="32"/>
      <c r="H25" s="387"/>
      <c r="I25" s="330"/>
      <c r="J25" s="454"/>
      <c r="K25" s="87"/>
      <c r="L25" s="87"/>
      <c r="M25" s="87"/>
      <c r="N25" s="87"/>
    </row>
    <row r="26" spans="1:14" x14ac:dyDescent="0.25">
      <c r="A26" s="198">
        <v>37256</v>
      </c>
      <c r="C26" s="516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5">
      <c r="A28" s="57">
        <v>37256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5">
      <c r="B32" s="15">
        <f>+summary!H4</f>
        <v>2.29</v>
      </c>
      <c r="C32" s="199">
        <f>+B32*B31</f>
        <v>0</v>
      </c>
    </row>
    <row r="33" spans="1:9" x14ac:dyDescent="0.25">
      <c r="C33" s="324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5">
      <c r="A38" s="32" t="s">
        <v>74</v>
      </c>
      <c r="E38" s="49">
        <f>+A5</f>
        <v>37256</v>
      </c>
      <c r="F38" s="504">
        <v>381295</v>
      </c>
      <c r="G38" s="495">
        <v>117857</v>
      </c>
      <c r="H38" s="504">
        <v>186798</v>
      </c>
      <c r="I38" s="14"/>
    </row>
    <row r="39" spans="1:9" x14ac:dyDescent="0.25">
      <c r="E39" s="49">
        <f>+A7</f>
        <v>37256</v>
      </c>
      <c r="F39" s="355">
        <f>+B18</f>
        <v>0</v>
      </c>
      <c r="G39" s="355">
        <f>+B31</f>
        <v>0</v>
      </c>
      <c r="H39" s="355">
        <f>+B46</f>
        <v>0</v>
      </c>
      <c r="I39" s="14"/>
    </row>
    <row r="40" spans="1:9" x14ac:dyDescent="0.25">
      <c r="A40" s="49">
        <v>37256</v>
      </c>
      <c r="C40" s="516">
        <v>841974.51</v>
      </c>
      <c r="F40" s="14">
        <f>+F39+F38</f>
        <v>381295</v>
      </c>
      <c r="G40" s="14">
        <f>+G39+G38</f>
        <v>117857</v>
      </c>
      <c r="H40" s="14">
        <f>+H39+H38</f>
        <v>186798</v>
      </c>
      <c r="I40" s="14">
        <f>+H40+G40+F40</f>
        <v>685950</v>
      </c>
    </row>
    <row r="41" spans="1:9" x14ac:dyDescent="0.25">
      <c r="G41" s="32"/>
      <c r="H41" s="15"/>
      <c r="I41" s="32"/>
    </row>
    <row r="42" spans="1:9" x14ac:dyDescent="0.25">
      <c r="A42" s="245">
        <v>37256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/>
      <c r="G44" s="32"/>
      <c r="H44" s="388"/>
      <c r="I44" s="14"/>
    </row>
    <row r="45" spans="1:9" x14ac:dyDescent="0.25">
      <c r="A45" s="32">
        <v>500392</v>
      </c>
      <c r="B45" s="250"/>
      <c r="G45" s="32"/>
      <c r="H45" s="388"/>
      <c r="I45" s="14"/>
    </row>
    <row r="46" spans="1:9" x14ac:dyDescent="0.25">
      <c r="B46" s="14">
        <f>SUM(B43:B45)</f>
        <v>0</v>
      </c>
      <c r="G46" s="32"/>
      <c r="H46" s="388"/>
      <c r="I46" s="14"/>
    </row>
    <row r="47" spans="1:9" x14ac:dyDescent="0.25">
      <c r="B47" s="199">
        <f>+summary!H5</f>
        <v>2.33</v>
      </c>
      <c r="C47" s="199">
        <f>+B47*B46</f>
        <v>0</v>
      </c>
      <c r="H47" s="388"/>
      <c r="I47" s="14"/>
    </row>
    <row r="48" spans="1:9" x14ac:dyDescent="0.25">
      <c r="C48" s="324">
        <f>+C47+C40</f>
        <v>841974.51</v>
      </c>
      <c r="E48" s="204"/>
      <c r="H48" s="388"/>
      <c r="I48" s="14"/>
    </row>
    <row r="49" spans="1:9" x14ac:dyDescent="0.25">
      <c r="E49" s="213"/>
      <c r="H49" s="388"/>
      <c r="I49" s="14"/>
    </row>
    <row r="50" spans="1:9" x14ac:dyDescent="0.25">
      <c r="E50" s="204"/>
      <c r="H50" s="388"/>
      <c r="I50" s="14"/>
    </row>
    <row r="51" spans="1:9" x14ac:dyDescent="0.25">
      <c r="C51" s="313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21">
        <v>73445.08</v>
      </c>
      <c r="D53" s="32" t="s">
        <v>119</v>
      </c>
      <c r="E53" s="50"/>
      <c r="H53" s="388">
        <v>21665</v>
      </c>
      <c r="I53" s="14">
        <v>36401</v>
      </c>
    </row>
    <row r="54" spans="1:9" x14ac:dyDescent="0.25">
      <c r="A54" s="32">
        <v>22664</v>
      </c>
      <c r="B54" s="15" t="s">
        <v>137</v>
      </c>
      <c r="C54" s="522">
        <v>23612.35</v>
      </c>
      <c r="D54" s="32" t="s">
        <v>120</v>
      </c>
      <c r="H54" s="388">
        <v>22664</v>
      </c>
      <c r="I54" s="206">
        <v>18932</v>
      </c>
    </row>
    <row r="55" spans="1:9" x14ac:dyDescent="0.25">
      <c r="H55" s="389"/>
      <c r="I55" s="16"/>
    </row>
    <row r="56" spans="1:9" x14ac:dyDescent="0.25">
      <c r="C56" s="429"/>
    </row>
    <row r="57" spans="1:9" x14ac:dyDescent="0.25">
      <c r="C57" s="318">
        <f>+C54+C53+C48+C33+C20</f>
        <v>2751791.8</v>
      </c>
      <c r="I57" s="14">
        <f>SUM(I40:I54)</f>
        <v>741283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9" workbookViewId="0">
      <selection activeCell="E30" sqref="E30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5">
        <v>23995</v>
      </c>
      <c r="C1" s="231"/>
      <c r="D1" s="314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5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5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04">
        <v>-183024</v>
      </c>
      <c r="J34" s="504">
        <v>-128596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72456</v>
      </c>
      <c r="E35" s="11">
        <f>SUM(E4:E34)</f>
        <v>72000</v>
      </c>
      <c r="F35" s="11">
        <f>SUM(F4:F34)</f>
        <v>-456</v>
      </c>
      <c r="G35" s="11"/>
      <c r="H35" s="49">
        <f>+A40</f>
        <v>36894</v>
      </c>
      <c r="I35" s="355">
        <f>+C36</f>
        <v>0</v>
      </c>
      <c r="J35" s="355">
        <f>+E36</f>
        <v>-456</v>
      </c>
      <c r="K35" s="206"/>
      <c r="L35" s="14"/>
    </row>
    <row r="36" spans="1:13" x14ac:dyDescent="0.25">
      <c r="C36" s="25">
        <f>+C35-B35</f>
        <v>0</v>
      </c>
      <c r="E36" s="25">
        <f>+E35-D35</f>
        <v>-456</v>
      </c>
      <c r="F36" s="25">
        <f>+E36+C36</f>
        <v>-456</v>
      </c>
      <c r="H36" s="32"/>
      <c r="I36" s="14">
        <f>+I35+I34</f>
        <v>-183024</v>
      </c>
      <c r="J36" s="14">
        <f>+J35+J34</f>
        <v>-129052</v>
      </c>
      <c r="K36" s="14">
        <f>+J36+I36</f>
        <v>-312076</v>
      </c>
      <c r="L36" s="14"/>
    </row>
    <row r="37" spans="1:13" x14ac:dyDescent="0.25">
      <c r="C37" s="316">
        <f>+summary!H5</f>
        <v>2.33</v>
      </c>
      <c r="E37" s="104">
        <f>+C37</f>
        <v>2.33</v>
      </c>
      <c r="F37" s="138">
        <f>+F36*E37</f>
        <v>-1062.48</v>
      </c>
    </row>
    <row r="38" spans="1:13" x14ac:dyDescent="0.25">
      <c r="C38" s="138">
        <f>+C37*C36</f>
        <v>0</v>
      </c>
      <c r="E38" s="136">
        <f>+E37*E36</f>
        <v>-1062.48</v>
      </c>
      <c r="F38" s="138">
        <f>+E38+C38</f>
        <v>-1062.48</v>
      </c>
    </row>
    <row r="39" spans="1:13" x14ac:dyDescent="0.25">
      <c r="A39" s="57">
        <v>37256</v>
      </c>
      <c r="B39" s="2" t="s">
        <v>45</v>
      </c>
      <c r="C39" s="517">
        <v>-1033425</v>
      </c>
      <c r="D39" s="323"/>
      <c r="E39" s="503">
        <v>-571848</v>
      </c>
      <c r="F39" s="322">
        <f>+E39+C39</f>
        <v>-1605273</v>
      </c>
    </row>
    <row r="40" spans="1:13" x14ac:dyDescent="0.25">
      <c r="A40" s="57">
        <v>36894</v>
      </c>
      <c r="B40" s="2" t="s">
        <v>45</v>
      </c>
      <c r="C40" s="317">
        <f>+C39+C38</f>
        <v>-1033425</v>
      </c>
      <c r="D40" s="252"/>
      <c r="E40" s="317">
        <f>+E39+E38</f>
        <v>-572910.48</v>
      </c>
      <c r="F40" s="317">
        <f>+E40+C40</f>
        <v>-1606335.48</v>
      </c>
      <c r="H40" s="131"/>
    </row>
    <row r="41" spans="1:13" x14ac:dyDescent="0.25">
      <c r="C41" s="332"/>
      <c r="D41" s="246"/>
      <c r="E41" s="246"/>
      <c r="H41" s="31">
        <f>+C39+E39+F45+F46+F47+F48</f>
        <v>-2742414.8800000004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66">
        <v>0</v>
      </c>
      <c r="G44" s="249" t="s">
        <v>47</v>
      </c>
      <c r="J44" s="12">
        <v>22864</v>
      </c>
      <c r="K44" s="452"/>
    </row>
    <row r="45" spans="1:13" x14ac:dyDescent="0.25">
      <c r="C45" s="246"/>
      <c r="D45" s="246"/>
      <c r="E45" s="12">
        <v>20379</v>
      </c>
      <c r="F45" s="516">
        <v>-51695.87</v>
      </c>
      <c r="G45" s="249" t="s">
        <v>122</v>
      </c>
      <c r="J45" s="12">
        <v>20379</v>
      </c>
      <c r="K45" s="495">
        <v>2979</v>
      </c>
      <c r="M45" s="14"/>
    </row>
    <row r="46" spans="1:13" x14ac:dyDescent="0.25">
      <c r="C46" s="246"/>
      <c r="D46" s="246"/>
      <c r="E46" s="12">
        <v>26357</v>
      </c>
      <c r="F46" s="515">
        <f>44144.84-58339.66</f>
        <v>-14194.820000000007</v>
      </c>
      <c r="G46" s="249" t="s">
        <v>123</v>
      </c>
      <c r="J46" s="12">
        <v>26357</v>
      </c>
      <c r="K46" s="495">
        <f>26521-24566</f>
        <v>1955</v>
      </c>
    </row>
    <row r="47" spans="1:13" x14ac:dyDescent="0.25">
      <c r="C47" s="246"/>
      <c r="D47" s="246"/>
      <c r="E47" s="12">
        <v>21544</v>
      </c>
      <c r="F47" s="516">
        <v>61340.160000000003</v>
      </c>
      <c r="G47" s="249" t="s">
        <v>124</v>
      </c>
      <c r="J47" s="12">
        <v>21544</v>
      </c>
      <c r="K47" s="495">
        <v>36108</v>
      </c>
    </row>
    <row r="48" spans="1:13" x14ac:dyDescent="0.25">
      <c r="C48" s="246"/>
      <c r="D48" s="246"/>
      <c r="E48" s="12">
        <v>24532</v>
      </c>
      <c r="F48" s="518">
        <v>-1132591.3500000001</v>
      </c>
      <c r="G48" s="249" t="s">
        <v>121</v>
      </c>
      <c r="J48" s="12">
        <v>24532</v>
      </c>
      <c r="K48" s="504">
        <v>-139694</v>
      </c>
    </row>
    <row r="49" spans="3:13" x14ac:dyDescent="0.25">
      <c r="C49" s="246"/>
      <c r="D49" s="246"/>
      <c r="F49" s="333">
        <f>SUM(F40:F48)</f>
        <v>-2743477.3600000003</v>
      </c>
      <c r="G49" s="246"/>
      <c r="K49" s="14">
        <f>SUM(K36:K48)</f>
        <v>-410728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2751791.8</v>
      </c>
      <c r="M51" s="14">
        <f>+Duke!I57</f>
        <v>741283</v>
      </c>
    </row>
    <row r="53" spans="3:13" x14ac:dyDescent="0.25">
      <c r="F53" s="104">
        <f>+F51+F49</f>
        <v>8314.4399999994785</v>
      </c>
      <c r="M53" s="16">
        <f>+M51+K49</f>
        <v>330555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8"/>
    </row>
    <row r="63" spans="3:13" x14ac:dyDescent="0.25">
      <c r="F63" s="348"/>
    </row>
    <row r="64" spans="3:13" x14ac:dyDescent="0.25">
      <c r="F64" s="348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-183024</v>
      </c>
      <c r="C73" s="247">
        <f>+C40</f>
        <v>-1033425</v>
      </c>
    </row>
    <row r="74" spans="1:3" x14ac:dyDescent="0.25">
      <c r="A74">
        <v>22051</v>
      </c>
      <c r="B74" s="31">
        <f>+J36</f>
        <v>-129052</v>
      </c>
      <c r="C74" s="247">
        <f>+E40</f>
        <v>-572910.48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186798</v>
      </c>
      <c r="C77" s="259">
        <f>+Duke!C48</f>
        <v>841974.51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381295</v>
      </c>
      <c r="C79" s="259">
        <f>+Duke!C20</f>
        <v>1537446.14</v>
      </c>
    </row>
    <row r="81" spans="2:3" x14ac:dyDescent="0.25">
      <c r="B81" s="31">
        <f>SUM(B68:B80)</f>
        <v>330555</v>
      </c>
      <c r="C81" s="259">
        <f>SUM(C68:C80)</f>
        <v>8314.4399999997113</v>
      </c>
    </row>
    <row r="82" spans="2:3" x14ac:dyDescent="0.25">
      <c r="C82">
        <f>+C81/B81</f>
        <v>2.515297000499073E-2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6" sqref="C36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5553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-285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5431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5364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105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5192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1277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24969</v>
      </c>
      <c r="C39" s="11">
        <f t="shared" si="1"/>
        <v>28705</v>
      </c>
      <c r="D39" s="11">
        <f t="shared" si="1"/>
        <v>3018</v>
      </c>
      <c r="E39" s="11">
        <f t="shared" si="1"/>
        <v>5625</v>
      </c>
      <c r="F39" s="129">
        <f t="shared" si="1"/>
        <v>4959</v>
      </c>
      <c r="G39" s="11">
        <f t="shared" si="1"/>
        <v>4360</v>
      </c>
      <c r="H39" s="11">
        <f t="shared" si="1"/>
        <v>7619</v>
      </c>
      <c r="I39" s="11">
        <f t="shared" si="1"/>
        <v>5615</v>
      </c>
      <c r="J39" s="25">
        <f t="shared" si="1"/>
        <v>3740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+summary!H4</f>
        <v>2.29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8564.6</v>
      </c>
      <c r="L41"/>
      <c r="R41" s="138"/>
      <c r="X41" s="138"/>
    </row>
    <row r="42" spans="1:24" x14ac:dyDescent="0.25">
      <c r="A42" s="57">
        <v>37256</v>
      </c>
      <c r="C42" s="15"/>
      <c r="J42" s="514">
        <v>401413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37261</v>
      </c>
      <c r="C43" s="48"/>
      <c r="J43" s="138">
        <f>+J42+J41</f>
        <v>409977.59999999998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37256</v>
      </c>
      <c r="B47" s="32"/>
      <c r="C47" s="32"/>
      <c r="D47" s="504">
        <v>164528</v>
      </c>
      <c r="L47"/>
    </row>
    <row r="48" spans="1:24" x14ac:dyDescent="0.25">
      <c r="A48" s="49">
        <f>+A43</f>
        <v>37261</v>
      </c>
      <c r="B48" s="32"/>
      <c r="C48" s="32"/>
      <c r="D48" s="355">
        <f>+J39</f>
        <v>3740</v>
      </c>
      <c r="L48"/>
    </row>
    <row r="49" spans="1:12" x14ac:dyDescent="0.25">
      <c r="A49" s="32"/>
      <c r="B49" s="32"/>
      <c r="C49" s="32"/>
      <c r="D49" s="14">
        <f>+D48+D47</f>
        <v>168268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D32" sqref="D32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182</v>
      </c>
      <c r="C6" s="285"/>
      <c r="D6" s="34" t="s">
        <v>183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7" t="s">
        <v>10</v>
      </c>
      <c r="B7" s="437" t="s">
        <v>19</v>
      </c>
      <c r="C7" s="437" t="s">
        <v>20</v>
      </c>
      <c r="D7" s="437" t="s">
        <v>19</v>
      </c>
      <c r="E7" s="437" t="s">
        <v>20</v>
      </c>
      <c r="F7" s="43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8">
        <v>1</v>
      </c>
      <c r="B8" s="419">
        <v>13305</v>
      </c>
      <c r="C8" s="419">
        <v>1998</v>
      </c>
      <c r="D8" s="419">
        <v>-4206</v>
      </c>
      <c r="E8" s="419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8">
        <v>2</v>
      </c>
      <c r="B9" s="419">
        <v>1426</v>
      </c>
      <c r="C9" s="419">
        <v>1998</v>
      </c>
      <c r="D9" s="419">
        <v>-1924</v>
      </c>
      <c r="E9" s="419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8">
        <v>3</v>
      </c>
      <c r="B10" s="419">
        <v>2</v>
      </c>
      <c r="C10" s="419">
        <v>1333</v>
      </c>
      <c r="D10" s="419"/>
      <c r="E10" s="419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8">
        <v>4</v>
      </c>
      <c r="B11" s="419">
        <v>585</v>
      </c>
      <c r="C11" s="419"/>
      <c r="D11" s="419">
        <v>-861</v>
      </c>
      <c r="E11" s="419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8">
        <v>5</v>
      </c>
      <c r="B12" s="419"/>
      <c r="C12" s="419"/>
      <c r="D12" s="419"/>
      <c r="E12" s="419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8">
        <v>6</v>
      </c>
      <c r="B13" s="419"/>
      <c r="C13" s="419"/>
      <c r="D13" s="419"/>
      <c r="E13" s="419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8">
        <v>7</v>
      </c>
      <c r="B14" s="419"/>
      <c r="C14" s="419"/>
      <c r="D14" s="419"/>
      <c r="E14" s="419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8">
        <v>8</v>
      </c>
      <c r="B15" s="419"/>
      <c r="C15" s="419"/>
      <c r="D15" s="419"/>
      <c r="E15" s="419"/>
      <c r="F15" s="310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8">
        <v>9</v>
      </c>
      <c r="B16" s="419"/>
      <c r="C16" s="419"/>
      <c r="D16" s="419"/>
      <c r="E16" s="419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8">
        <v>10</v>
      </c>
      <c r="B17" s="419"/>
      <c r="C17" s="419"/>
      <c r="D17" s="419"/>
      <c r="E17" s="419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8">
        <v>11</v>
      </c>
      <c r="B18" s="419"/>
      <c r="C18" s="419"/>
      <c r="D18" s="419"/>
      <c r="E18" s="419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8">
        <v>12</v>
      </c>
      <c r="B19" s="419"/>
      <c r="C19" s="419"/>
      <c r="D19" s="419"/>
      <c r="E19" s="419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8">
        <v>13</v>
      </c>
      <c r="B20" s="419"/>
      <c r="C20" s="419"/>
      <c r="D20" s="419"/>
      <c r="E20" s="419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8">
        <v>14</v>
      </c>
      <c r="B21" s="419"/>
      <c r="C21" s="419"/>
      <c r="D21" s="419"/>
      <c r="E21" s="419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8">
        <v>15</v>
      </c>
      <c r="B22" s="419"/>
      <c r="C22" s="419"/>
      <c r="D22" s="419"/>
      <c r="E22" s="419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8">
        <v>16</v>
      </c>
      <c r="B23" s="419"/>
      <c r="C23" s="419"/>
      <c r="D23" s="419"/>
      <c r="E23" s="419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8">
        <v>17</v>
      </c>
      <c r="B24" s="419"/>
      <c r="C24" s="419"/>
      <c r="D24" s="419"/>
      <c r="E24" s="419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8">
        <v>18</v>
      </c>
      <c r="B25" s="419"/>
      <c r="C25" s="419"/>
      <c r="D25" s="419"/>
      <c r="E25" s="419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8">
        <v>19</v>
      </c>
      <c r="B26" s="419"/>
      <c r="C26" s="419"/>
      <c r="D26" s="419"/>
      <c r="E26" s="419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8">
        <v>20</v>
      </c>
      <c r="B27" s="445"/>
      <c r="C27" s="419"/>
      <c r="D27" s="419"/>
      <c r="E27" s="419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8">
        <v>21</v>
      </c>
      <c r="B28" s="419"/>
      <c r="C28" s="419"/>
      <c r="D28" s="419"/>
      <c r="E28" s="419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8">
        <v>22</v>
      </c>
      <c r="B29" s="419"/>
      <c r="C29" s="419"/>
      <c r="D29" s="419"/>
      <c r="E29" s="419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8">
        <v>23</v>
      </c>
      <c r="B30" s="419"/>
      <c r="C30" s="419"/>
      <c r="D30" s="419"/>
      <c r="E30" s="419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8">
        <v>24</v>
      </c>
      <c r="B31" s="419"/>
      <c r="C31" s="419"/>
      <c r="D31" s="419"/>
      <c r="E31" s="419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8">
        <v>25</v>
      </c>
      <c r="B32" s="419"/>
      <c r="C32" s="419"/>
      <c r="D32" s="419"/>
      <c r="E32" s="419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8">
        <v>26</v>
      </c>
      <c r="B33" s="419"/>
      <c r="C33" s="419"/>
      <c r="D33" s="419"/>
      <c r="E33" s="419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8">
        <v>27</v>
      </c>
      <c r="B34" s="419"/>
      <c r="C34" s="419"/>
      <c r="D34" s="419"/>
      <c r="E34" s="419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8">
        <v>28</v>
      </c>
      <c r="B35" s="419"/>
      <c r="C35" s="419"/>
      <c r="D35" s="419"/>
      <c r="E35" s="419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8">
        <v>29</v>
      </c>
      <c r="B36" s="419"/>
      <c r="C36" s="419"/>
      <c r="D36" s="419"/>
      <c r="E36" s="419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8"/>
      <c r="B39" s="419">
        <f>SUM(B8:B38)</f>
        <v>15318</v>
      </c>
      <c r="C39" s="419">
        <f>SUM(C8:C38)</f>
        <v>5329</v>
      </c>
      <c r="D39" s="419">
        <f>SUM(D8:D38)</f>
        <v>-6991</v>
      </c>
      <c r="E39" s="419">
        <f>SUM(E8:E38)</f>
        <v>0</v>
      </c>
      <c r="F39" s="419">
        <f>SUM(F8:F38)</f>
        <v>-2998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9"/>
      <c r="B40" s="285"/>
      <c r="C40" s="440"/>
      <c r="D40" s="440"/>
      <c r="E40" s="440"/>
      <c r="F40" s="441">
        <f>+summary!H4</f>
        <v>2.29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42">
        <f>+F40*F39</f>
        <v>-6865.42</v>
      </c>
      <c r="J41" s="138"/>
      <c r="N41" s="138"/>
      <c r="R41" s="138"/>
      <c r="V41" s="138"/>
      <c r="Z41" s="138"/>
    </row>
    <row r="42" spans="1:26" ht="15" customHeight="1" x14ac:dyDescent="0.25">
      <c r="A42" s="56">
        <v>37256</v>
      </c>
      <c r="B42" s="285"/>
      <c r="C42" s="443"/>
      <c r="D42" s="443"/>
      <c r="E42" s="443"/>
      <c r="F42" s="505">
        <v>183895.58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37261</v>
      </c>
      <c r="B43" s="285"/>
      <c r="C43" s="444"/>
      <c r="D43" s="444"/>
      <c r="E43" s="444"/>
      <c r="F43" s="425">
        <f>+F42+F41</f>
        <v>177030.15999999997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37256</v>
      </c>
      <c r="B47" s="32"/>
      <c r="C47" s="32"/>
      <c r="D47" s="504">
        <v>-353272</v>
      </c>
      <c r="E47" s="11"/>
    </row>
    <row r="48" spans="1:26" x14ac:dyDescent="0.25">
      <c r="A48" s="49">
        <f>+A43</f>
        <v>37261</v>
      </c>
      <c r="B48" s="32"/>
      <c r="C48" s="32"/>
      <c r="D48" s="355">
        <f>+F39</f>
        <v>-2998</v>
      </c>
      <c r="E48" s="11"/>
    </row>
    <row r="49" spans="1:5" x14ac:dyDescent="0.25">
      <c r="A49" s="32"/>
      <c r="B49" s="32"/>
      <c r="C49" s="32"/>
      <c r="D49" s="14">
        <f>+D48+D47</f>
        <v>-356270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workbookViewId="0">
      <selection activeCell="B32" sqref="B32"/>
    </sheetView>
  </sheetViews>
  <sheetFormatPr defaultRowHeight="13.2" x14ac:dyDescent="0.25"/>
  <cols>
    <col min="1" max="1" width="25.88671875" style="285" customWidth="1"/>
    <col min="2" max="2" width="11.109375" style="247" bestFit="1" customWidth="1"/>
    <col min="3" max="3" width="9.6640625" style="286" customWidth="1"/>
    <col min="4" max="4" width="5.109375" style="7" customWidth="1"/>
    <col min="5" max="5" width="11.109375" bestFit="1" customWidth="1"/>
    <col min="6" max="6" width="12.88671875" bestFit="1" customWidth="1"/>
    <col min="8" max="8" width="9.33203125" bestFit="1" customWidth="1"/>
    <col min="9" max="9" width="11.33203125" bestFit="1" customWidth="1"/>
    <col min="10" max="10" width="8.44140625" customWidth="1"/>
    <col min="11" max="11" width="5.109375" customWidth="1"/>
    <col min="13" max="13" width="9.88671875" style="479" bestFit="1" customWidth="1"/>
    <col min="14" max="14" width="9" style="64" bestFit="1" customWidth="1"/>
  </cols>
  <sheetData>
    <row r="2" spans="1:32" ht="20.100000000000001" customHeight="1" x14ac:dyDescent="0.25">
      <c r="A2" s="346" t="s">
        <v>140</v>
      </c>
      <c r="G2" s="370" t="s">
        <v>78</v>
      </c>
      <c r="H2" s="350"/>
    </row>
    <row r="3" spans="1:32" ht="15" customHeight="1" x14ac:dyDescent="0.25">
      <c r="G3" s="289" t="s">
        <v>29</v>
      </c>
      <c r="H3" s="349">
        <f>+'[3]1001'!$K$39</f>
        <v>2.23</v>
      </c>
      <c r="I3" s="381">
        <f ca="1">NOW()</f>
        <v>37263.544963657405</v>
      </c>
    </row>
    <row r="4" spans="1:32" ht="15" customHeight="1" x14ac:dyDescent="0.25">
      <c r="A4" s="34" t="s">
        <v>145</v>
      </c>
      <c r="C4" s="34" t="s">
        <v>5</v>
      </c>
      <c r="G4" s="290" t="s">
        <v>30</v>
      </c>
      <c r="H4" s="291">
        <f>+'[3]1001'!$M$39</f>
        <v>2.29</v>
      </c>
    </row>
    <row r="5" spans="1:32" ht="15" customHeight="1" x14ac:dyDescent="0.25">
      <c r="B5" s="348"/>
      <c r="G5" s="289" t="s">
        <v>117</v>
      </c>
      <c r="H5" s="349">
        <f>+'[3]1001'!$E$39</f>
        <v>2.33</v>
      </c>
    </row>
    <row r="6" spans="1:32" ht="12" customHeight="1" x14ac:dyDescent="0.25">
      <c r="C6" s="448"/>
    </row>
    <row r="7" spans="1:32" ht="15" customHeight="1" x14ac:dyDescent="0.25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101</v>
      </c>
      <c r="G7" s="338" t="s">
        <v>98</v>
      </c>
    </row>
    <row r="8" spans="1:32" ht="15" customHeight="1" x14ac:dyDescent="0.25">
      <c r="A8" s="537" t="s">
        <v>251</v>
      </c>
      <c r="B8" s="489">
        <f>+Duke!$C$20</f>
        <v>1537446.14</v>
      </c>
      <c r="C8" s="206">
        <f>+B8/$H$5</f>
        <v>659848.1287553648</v>
      </c>
      <c r="D8" s="371">
        <f>+Duke!A7</f>
        <v>37256</v>
      </c>
      <c r="E8" s="204" t="s">
        <v>85</v>
      </c>
      <c r="F8" s="204" t="s">
        <v>100</v>
      </c>
      <c r="G8" s="204" t="s">
        <v>316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537" t="s">
        <v>258</v>
      </c>
      <c r="B9" s="489">
        <f>+Duke!$C$54+Duke!$C$53+Duke!$C$48+Duke!$C$33</f>
        <v>1214345.6599999999</v>
      </c>
      <c r="C9" s="206">
        <f>+B9/$H$5</f>
        <v>521178.39484978537</v>
      </c>
      <c r="D9" s="371">
        <f>+DEFS!A40</f>
        <v>36894</v>
      </c>
      <c r="E9" s="204" t="s">
        <v>85</v>
      </c>
      <c r="F9" s="204" t="s">
        <v>100</v>
      </c>
      <c r="G9" s="204" t="s">
        <v>318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48" t="s">
        <v>82</v>
      </c>
      <c r="B10" s="489">
        <f>+PNM!$D$23</f>
        <v>752963.62999999989</v>
      </c>
      <c r="C10" s="275">
        <f>+B10/$H$4</f>
        <v>328805.07860262005</v>
      </c>
      <c r="D10" s="372">
        <f>+PNM!A23</f>
        <v>37261</v>
      </c>
      <c r="E10" s="32" t="s">
        <v>85</v>
      </c>
      <c r="F10" s="32" t="s">
        <v>115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48" t="s">
        <v>80</v>
      </c>
      <c r="B11" s="351">
        <f>+Conoco!$F$41</f>
        <v>459290.77</v>
      </c>
      <c r="C11" s="275">
        <f>+B11/$H$4</f>
        <v>200563.65502183407</v>
      </c>
      <c r="D11" s="371">
        <f>+Conoco!A41</f>
        <v>37261</v>
      </c>
      <c r="E11" s="32" t="s">
        <v>85</v>
      </c>
      <c r="F11" s="32" t="s">
        <v>113</v>
      </c>
      <c r="G11" s="32" t="s">
        <v>143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48" t="s">
        <v>94</v>
      </c>
      <c r="B12" s="489">
        <f>+C12*$H$4</f>
        <v>436792.31</v>
      </c>
      <c r="C12" s="275">
        <f>+Mojave!D40</f>
        <v>190739</v>
      </c>
      <c r="D12" s="372">
        <f>+Mojave!A40</f>
        <v>37261</v>
      </c>
      <c r="E12" s="32" t="s">
        <v>84</v>
      </c>
      <c r="F12" s="32" t="s">
        <v>100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48" t="s">
        <v>2</v>
      </c>
      <c r="B13" s="351">
        <f>+mewborne!$J$43</f>
        <v>409977.59999999998</v>
      </c>
      <c r="C13" s="275">
        <f>+B13/$H$4</f>
        <v>179029.51965065501</v>
      </c>
      <c r="D13" s="372">
        <f>+mewborne!A43</f>
        <v>37261</v>
      </c>
      <c r="E13" s="32" t="s">
        <v>85</v>
      </c>
      <c r="F13" s="32" t="s">
        <v>99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48" t="s">
        <v>107</v>
      </c>
      <c r="B14" s="351">
        <f>+KN_Westar!F41</f>
        <v>385015.89</v>
      </c>
      <c r="C14" s="275">
        <f>+B14/$H$4</f>
        <v>168129.2096069869</v>
      </c>
      <c r="D14" s="372">
        <f>+KN_Westar!A41</f>
        <v>37256</v>
      </c>
      <c r="E14" s="32" t="s">
        <v>85</v>
      </c>
      <c r="F14" s="32" t="s">
        <v>100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5">
      <c r="A15" s="248" t="s">
        <v>88</v>
      </c>
      <c r="B15" s="351">
        <f>+C15*$H$5</f>
        <v>283919.82</v>
      </c>
      <c r="C15" s="275">
        <f>+NGPL!F38</f>
        <v>121854</v>
      </c>
      <c r="D15" s="372">
        <f>+NGPL!A38</f>
        <v>37261</v>
      </c>
      <c r="E15" s="204" t="s">
        <v>84</v>
      </c>
      <c r="F15" s="32" t="s">
        <v>115</v>
      </c>
      <c r="G15" s="32"/>
      <c r="H15" s="32"/>
      <c r="I15" s="32"/>
      <c r="J15" s="32"/>
      <c r="K15" s="32"/>
      <c r="L15" s="32"/>
      <c r="M15" s="387">
        <f>+B8+B9+B40</f>
        <v>8314.4399999994785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537" t="s">
        <v>32</v>
      </c>
      <c r="B16" s="489">
        <f>+C16*$H$4</f>
        <v>279478.47000000003</v>
      </c>
      <c r="C16" s="206">
        <f>+SoCal!F40</f>
        <v>122043</v>
      </c>
      <c r="D16" s="371">
        <f>+SoCal!A40</f>
        <v>37261</v>
      </c>
      <c r="E16" s="204" t="s">
        <v>84</v>
      </c>
      <c r="F16" s="204" t="s">
        <v>102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537" t="s">
        <v>127</v>
      </c>
      <c r="B17" s="489">
        <f>+Calpine!D41</f>
        <v>239121.41</v>
      </c>
      <c r="C17" s="206">
        <f>+B17/$H$4</f>
        <v>104419.82969432314</v>
      </c>
      <c r="D17" s="371">
        <f>+Calpine!A41</f>
        <v>37261</v>
      </c>
      <c r="E17" s="204" t="s">
        <v>85</v>
      </c>
      <c r="F17" s="204" t="s">
        <v>99</v>
      </c>
      <c r="G17" s="204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248" t="s">
        <v>208</v>
      </c>
      <c r="B18" s="489">
        <f>+Dominion!D41</f>
        <v>179339.99</v>
      </c>
      <c r="C18" s="275">
        <f>+B18/$H$5</f>
        <v>76969.952789699571</v>
      </c>
      <c r="D18" s="372">
        <f>+Dominion!A41</f>
        <v>37261</v>
      </c>
      <c r="E18" s="32" t="s">
        <v>85</v>
      </c>
      <c r="F18" s="32" t="s">
        <v>99</v>
      </c>
      <c r="G18" s="32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248" t="s">
        <v>3</v>
      </c>
      <c r="B19" s="489">
        <f>+'Amoco Abo'!$F$43</f>
        <v>177030.15999999997</v>
      </c>
      <c r="C19" s="275">
        <f>+B19/$H$4</f>
        <v>77305.746724890821</v>
      </c>
      <c r="D19" s="372">
        <f>+'Amoco Abo'!A43</f>
        <v>37261</v>
      </c>
      <c r="E19" s="32" t="s">
        <v>85</v>
      </c>
      <c r="F19" s="32" t="s">
        <v>115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248" t="s">
        <v>211</v>
      </c>
      <c r="B20" s="489">
        <f>+Devon!D41</f>
        <v>165292.94</v>
      </c>
      <c r="C20" s="275">
        <f>+B20/$H$5</f>
        <v>70941.175965665228</v>
      </c>
      <c r="D20" s="372">
        <f>+Devon!A41</f>
        <v>37261</v>
      </c>
      <c r="E20" s="32" t="s">
        <v>85</v>
      </c>
      <c r="F20" s="32" t="s">
        <v>99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48" t="s">
        <v>219</v>
      </c>
      <c r="B21" s="489">
        <f>+Amarillo!P41</f>
        <v>114904.95</v>
      </c>
      <c r="C21" s="275">
        <f>+B21/$H$4</f>
        <v>50176.834061135371</v>
      </c>
      <c r="D21" s="372">
        <f>+Amarillo!A41</f>
        <v>37259</v>
      </c>
      <c r="E21" s="32" t="s">
        <v>85</v>
      </c>
      <c r="F21" s="32" t="s">
        <v>113</v>
      </c>
      <c r="G21" s="32"/>
      <c r="H21" s="32"/>
      <c r="I21" s="32"/>
      <c r="J21" s="32"/>
      <c r="K21" s="32"/>
      <c r="L21" s="32" t="s">
        <v>245</v>
      </c>
      <c r="M21" s="387">
        <v>23995</v>
      </c>
      <c r="N21" s="70">
        <v>-1023166</v>
      </c>
      <c r="O21" s="32" t="s">
        <v>247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48" t="s">
        <v>114</v>
      </c>
      <c r="B22" s="489">
        <f>+C22*$H$4</f>
        <v>98827.24</v>
      </c>
      <c r="C22" s="206">
        <f>+'PG&amp;E'!D40</f>
        <v>43156</v>
      </c>
      <c r="D22" s="372">
        <f>+'PG&amp;E'!A40</f>
        <v>37261</v>
      </c>
      <c r="E22" s="32" t="s">
        <v>84</v>
      </c>
      <c r="F22" s="32" t="s">
        <v>102</v>
      </c>
      <c r="G22" s="32"/>
      <c r="H22" s="32"/>
      <c r="I22" s="32"/>
      <c r="J22" s="32"/>
      <c r="K22" s="32"/>
      <c r="L22" s="32" t="s">
        <v>245</v>
      </c>
      <c r="M22" s="387">
        <v>22051</v>
      </c>
      <c r="N22" s="70">
        <v>-527215</v>
      </c>
      <c r="O22" s="32" t="s">
        <v>248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248" t="s">
        <v>129</v>
      </c>
      <c r="B23" s="489">
        <f>+EPFS!D41</f>
        <v>92285.25</v>
      </c>
      <c r="C23" s="206">
        <f>+B23/$H$5</f>
        <v>39607.403433476393</v>
      </c>
      <c r="D23" s="371">
        <f>+EPFS!A41</f>
        <v>37261</v>
      </c>
      <c r="E23" s="32" t="s">
        <v>85</v>
      </c>
      <c r="F23" s="32" t="s">
        <v>102</v>
      </c>
      <c r="G23" s="32"/>
      <c r="H23" s="32"/>
      <c r="I23" s="32"/>
      <c r="J23" s="32"/>
      <c r="K23" s="32"/>
      <c r="L23" s="32" t="s">
        <v>245</v>
      </c>
      <c r="M23" s="387">
        <v>22864</v>
      </c>
      <c r="N23" s="70">
        <v>-58339.66</v>
      </c>
      <c r="O23" s="32" t="s">
        <v>249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" customHeight="1" x14ac:dyDescent="0.25">
      <c r="A24" s="537" t="s">
        <v>28</v>
      </c>
      <c r="B24" s="351">
        <f>+C24*$H$3</f>
        <v>72787.199999999997</v>
      </c>
      <c r="C24" s="275">
        <f>+williams!J40</f>
        <v>32640</v>
      </c>
      <c r="D24" s="371">
        <f>+williams!A40</f>
        <v>37261</v>
      </c>
      <c r="E24" s="204" t="s">
        <v>85</v>
      </c>
      <c r="F24" s="204" t="s">
        <v>321</v>
      </c>
      <c r="G24" s="2"/>
      <c r="H24" s="15"/>
      <c r="I24" s="32"/>
      <c r="J24" s="32"/>
      <c r="K24" s="32"/>
      <c r="L24" s="32" t="s">
        <v>245</v>
      </c>
      <c r="M24" s="387">
        <v>20379</v>
      </c>
      <c r="N24" s="70">
        <v>-51695.87</v>
      </c>
      <c r="O24" s="32" t="s">
        <v>249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32" t="s">
        <v>103</v>
      </c>
      <c r="B25" s="351">
        <f>+EOG!$J$41</f>
        <v>69284.38</v>
      </c>
      <c r="C25" s="275">
        <f>+B25/$H$4</f>
        <v>30255.187772925765</v>
      </c>
      <c r="D25" s="371">
        <f>+EOG!A41</f>
        <v>37261</v>
      </c>
      <c r="E25" s="32" t="s">
        <v>85</v>
      </c>
      <c r="F25" s="32" t="s">
        <v>102</v>
      </c>
      <c r="G25" s="32"/>
      <c r="H25" s="204"/>
      <c r="I25" s="32"/>
      <c r="J25" s="32"/>
      <c r="K25" s="32"/>
      <c r="L25" s="32" t="s">
        <v>245</v>
      </c>
      <c r="M25" s="387">
        <v>26357</v>
      </c>
      <c r="N25" s="70">
        <v>44144.84</v>
      </c>
      <c r="O25" s="32" t="s">
        <v>249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537" t="s">
        <v>139</v>
      </c>
      <c r="B26" s="489">
        <f>+'Citizens-Griffith'!D41</f>
        <v>68235.06</v>
      </c>
      <c r="C26" s="275">
        <f>+B26/$H$4</f>
        <v>29796.96943231441</v>
      </c>
      <c r="D26" s="371">
        <f>+'Citizens-Griffith'!A41</f>
        <v>37261</v>
      </c>
      <c r="E26" s="204" t="s">
        <v>85</v>
      </c>
      <c r="F26" s="204" t="s">
        <v>99</v>
      </c>
      <c r="G26" s="204"/>
      <c r="H26" s="32"/>
      <c r="I26" s="32"/>
      <c r="J26" s="32"/>
      <c r="K26" s="32"/>
      <c r="L26" s="32" t="s">
        <v>245</v>
      </c>
      <c r="M26" s="387">
        <v>21544</v>
      </c>
      <c r="N26" s="70">
        <v>61340.160000000003</v>
      </c>
      <c r="O26" s="32" t="s">
        <v>249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" customHeight="1" x14ac:dyDescent="0.25">
      <c r="A27" s="537" t="s">
        <v>33</v>
      </c>
      <c r="B27" s="489">
        <f>+'El Paso'!C39*summary!H4+'El Paso'!E39*summary!H3</f>
        <v>65886.330000000016</v>
      </c>
      <c r="C27" s="275">
        <f>+'El Paso'!H39</f>
        <v>27819</v>
      </c>
      <c r="D27" s="371">
        <f>+'El Paso'!A39</f>
        <v>37261</v>
      </c>
      <c r="E27" s="204" t="s">
        <v>84</v>
      </c>
      <c r="F27" s="204" t="s">
        <v>100</v>
      </c>
      <c r="G27" s="204"/>
      <c r="H27" s="32"/>
      <c r="I27" s="204"/>
      <c r="J27" s="204"/>
      <c r="K27" s="204"/>
      <c r="L27" s="32" t="s">
        <v>245</v>
      </c>
      <c r="M27" s="480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5">
      <c r="A28" s="248" t="s">
        <v>23</v>
      </c>
      <c r="B28" s="351">
        <f>+C28*$H$3</f>
        <v>53901.33</v>
      </c>
      <c r="C28" s="353">
        <f>+'Red C'!$F$45</f>
        <v>24171</v>
      </c>
      <c r="D28" s="371">
        <f>+'Red C'!A45</f>
        <v>37261</v>
      </c>
      <c r="E28" s="204" t="s">
        <v>84</v>
      </c>
      <c r="F28" s="32" t="s">
        <v>115</v>
      </c>
      <c r="G28" s="32"/>
      <c r="H28" s="204"/>
      <c r="I28" s="204"/>
      <c r="J28" s="204"/>
      <c r="K28" s="204"/>
      <c r="L28" s="204" t="s">
        <v>244</v>
      </c>
      <c r="M28" s="480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5">
      <c r="A29" s="537" t="s">
        <v>95</v>
      </c>
      <c r="B29" s="351">
        <f>+burlington!D42</f>
        <v>53431.11</v>
      </c>
      <c r="C29" s="275">
        <f>+B29/$H$3</f>
        <v>23960.139013452914</v>
      </c>
      <c r="D29" s="371">
        <f>+burlington!A42</f>
        <v>37259</v>
      </c>
      <c r="E29" s="204" t="s">
        <v>85</v>
      </c>
      <c r="F29" s="32" t="s">
        <v>113</v>
      </c>
      <c r="G29" s="32"/>
      <c r="H29" s="204"/>
      <c r="I29" s="204"/>
      <c r="J29" s="204"/>
      <c r="K29" s="204"/>
      <c r="L29" s="204"/>
      <c r="M29" s="480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5">
      <c r="A30" s="248" t="s">
        <v>31</v>
      </c>
      <c r="B30" s="351">
        <f>+C30*H5</f>
        <v>38860.508900000008</v>
      </c>
      <c r="C30" s="275">
        <f>+Lonestar!F43</f>
        <v>16678.330000000002</v>
      </c>
      <c r="D30" s="371">
        <f>+Lonestar!A43</f>
        <v>37261</v>
      </c>
      <c r="E30" s="32" t="s">
        <v>84</v>
      </c>
      <c r="F30" s="32" t="s">
        <v>102</v>
      </c>
      <c r="G30" s="32" t="s">
        <v>314</v>
      </c>
      <c r="H30" s="204"/>
      <c r="I30" s="204"/>
      <c r="J30" s="204"/>
      <c r="K30" s="204"/>
      <c r="L30" s="204"/>
      <c r="M30" s="480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ht="15" customHeight="1" x14ac:dyDescent="0.25">
      <c r="A31" s="248" t="s">
        <v>110</v>
      </c>
      <c r="B31" s="351">
        <f>+C31*$H$4</f>
        <v>37391.120000000003</v>
      </c>
      <c r="C31" s="275">
        <f>+CIG!D42</f>
        <v>16328</v>
      </c>
      <c r="D31" s="372">
        <f>+CIG!A42</f>
        <v>37261</v>
      </c>
      <c r="E31" s="204" t="s">
        <v>84</v>
      </c>
      <c r="F31" s="32" t="s">
        <v>113</v>
      </c>
      <c r="G31" s="32"/>
      <c r="H31" s="32"/>
      <c r="I31" s="32"/>
      <c r="J31" s="32"/>
      <c r="K31" s="32"/>
      <c r="L31" s="32"/>
      <c r="M31" s="387"/>
      <c r="N31" s="70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5">
      <c r="A32" s="537" t="s">
        <v>71</v>
      </c>
      <c r="B32" s="352">
        <f>+transcol!$D$43</f>
        <v>36149.229999999996</v>
      </c>
      <c r="C32" s="353">
        <f>+B32/$H$4</f>
        <v>15785.689956331877</v>
      </c>
      <c r="D32" s="371">
        <f>+transcol!A43</f>
        <v>37261</v>
      </c>
      <c r="E32" s="204" t="s">
        <v>85</v>
      </c>
      <c r="F32" s="204" t="s">
        <v>115</v>
      </c>
      <c r="G32" s="32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2.9" customHeight="1" x14ac:dyDescent="0.25">
      <c r="A33" s="537" t="s">
        <v>109</v>
      </c>
      <c r="B33" s="489">
        <f>+Continental!F43</f>
        <v>34262</v>
      </c>
      <c r="C33" s="206">
        <f>+B33/$H$4</f>
        <v>14961.572052401747</v>
      </c>
      <c r="D33" s="371">
        <f>+Continental!A43</f>
        <v>37256</v>
      </c>
      <c r="E33" s="204" t="s">
        <v>85</v>
      </c>
      <c r="F33" s="204" t="s">
        <v>115</v>
      </c>
      <c r="G33" s="204"/>
      <c r="H33" s="204"/>
      <c r="I33" s="204"/>
      <c r="J33" s="204"/>
      <c r="K33" s="204"/>
      <c r="L33" s="204"/>
      <c r="M33" s="480"/>
      <c r="N33" s="273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ht="13.5" customHeight="1" x14ac:dyDescent="0.25">
      <c r="A34" s="248" t="s">
        <v>307</v>
      </c>
      <c r="B34" s="489">
        <f>+'WTG inc'!N43</f>
        <v>34241.269999999997</v>
      </c>
      <c r="C34" s="275">
        <f>+B34/$H$4</f>
        <v>14952.51965065502</v>
      </c>
      <c r="D34" s="372">
        <f>+'WTG inc'!A43</f>
        <v>37259</v>
      </c>
      <c r="E34" s="32" t="s">
        <v>85</v>
      </c>
      <c r="F34" s="32" t="s">
        <v>115</v>
      </c>
      <c r="G34" s="204"/>
      <c r="H34" s="32"/>
      <c r="I34" s="32"/>
      <c r="J34" s="32"/>
      <c r="K34" s="32"/>
      <c r="L34" s="32"/>
      <c r="M34" s="387"/>
      <c r="N34" s="70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3.5" customHeight="1" x14ac:dyDescent="0.25">
      <c r="A35" s="248" t="s">
        <v>131</v>
      </c>
      <c r="B35" s="351">
        <f>+SidR!D41</f>
        <v>33154.770000000004</v>
      </c>
      <c r="C35" s="275">
        <f>+B35/$H$5</f>
        <v>14229.515021459229</v>
      </c>
      <c r="D35" s="372">
        <f>+SidR!A41</f>
        <v>37259</v>
      </c>
      <c r="E35" s="32" t="s">
        <v>85</v>
      </c>
      <c r="F35" s="32" t="s">
        <v>102</v>
      </c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s="293" customFormat="1" ht="13.5" customHeight="1" x14ac:dyDescent="0.25">
      <c r="A36" s="537" t="s">
        <v>87</v>
      </c>
      <c r="B36" s="354">
        <f>+NNG!$D$24</f>
        <v>146.31999999999971</v>
      </c>
      <c r="C36" s="71">
        <f>+B36/$H$4</f>
        <v>63.895196506550093</v>
      </c>
      <c r="D36" s="371">
        <f>+NNG!A24</f>
        <v>37261</v>
      </c>
      <c r="E36" s="204" t="s">
        <v>85</v>
      </c>
      <c r="F36" s="204" t="s">
        <v>100</v>
      </c>
      <c r="G36" s="32"/>
      <c r="H36" s="204"/>
      <c r="I36" s="204"/>
      <c r="J36" s="204"/>
      <c r="K36" s="204"/>
      <c r="L36" s="32" t="s">
        <v>246</v>
      </c>
      <c r="M36" s="387">
        <v>24361</v>
      </c>
      <c r="N36" s="70">
        <v>811179.69</v>
      </c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</row>
    <row r="37" spans="1:32" ht="18" customHeight="1" x14ac:dyDescent="0.25">
      <c r="A37" s="32" t="s">
        <v>96</v>
      </c>
      <c r="B37" s="47">
        <f>SUM(B8:B36)</f>
        <v>7423762.8589000003</v>
      </c>
      <c r="C37" s="69">
        <f>SUM(C8:C36)</f>
        <v>3216408.7472524857</v>
      </c>
      <c r="D37" s="203"/>
      <c r="E37" s="32"/>
      <c r="F37" s="32"/>
      <c r="G37" s="32"/>
      <c r="H37" s="32"/>
      <c r="I37" s="32"/>
      <c r="J37" s="32"/>
      <c r="K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32"/>
      <c r="B38" s="47"/>
      <c r="C38" s="69"/>
      <c r="D38" s="203"/>
      <c r="E38" s="32"/>
      <c r="F38" s="356"/>
      <c r="G38" s="32"/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38" t="s">
        <v>98</v>
      </c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5">
      <c r="A40" s="537" t="s">
        <v>250</v>
      </c>
      <c r="B40" s="490">
        <f>+DEFS!$C$40+DEFS!$E$40+DEFS!$F$44+DEFS!$F$45+DEFS!$F$46+DEFS!$F$47+DEFS!$F$48</f>
        <v>-2743477.3600000003</v>
      </c>
      <c r="C40" s="353">
        <f>+B40/$H$5</f>
        <v>-1177458.0944206009</v>
      </c>
      <c r="D40" s="371">
        <f>+DEFS!A40</f>
        <v>36894</v>
      </c>
      <c r="E40" s="204" t="s">
        <v>85</v>
      </c>
      <c r="F40" s="32" t="s">
        <v>100</v>
      </c>
      <c r="G40" s="32" t="s">
        <v>317</v>
      </c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537" t="s">
        <v>135</v>
      </c>
      <c r="B41" s="489">
        <f>+Citizens!D18</f>
        <v>-542234.06000000006</v>
      </c>
      <c r="C41" s="206">
        <f>+B41/$H$4</f>
        <v>-236783.43231441051</v>
      </c>
      <c r="D41" s="371">
        <f>+Citizens!A18</f>
        <v>37259</v>
      </c>
      <c r="E41" s="204" t="s">
        <v>85</v>
      </c>
      <c r="F41" s="204" t="s">
        <v>99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248" t="s">
        <v>133</v>
      </c>
      <c r="B42" s="489">
        <f>+'NS Steel'!D41</f>
        <v>-355805</v>
      </c>
      <c r="C42" s="206">
        <f>+B42/$H$4</f>
        <v>-155373.36244541485</v>
      </c>
      <c r="D42" s="372">
        <f>+'NS Steel'!A41</f>
        <v>37256</v>
      </c>
      <c r="E42" s="32" t="s">
        <v>85</v>
      </c>
      <c r="F42" s="32" t="s">
        <v>100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" customHeight="1" x14ac:dyDescent="0.25">
      <c r="A43" s="537" t="s">
        <v>262</v>
      </c>
      <c r="B43" s="489">
        <f>+MiVida_Rich!D41</f>
        <v>-195699.5</v>
      </c>
      <c r="C43" s="206">
        <f>+B43/$H$5</f>
        <v>-83991.2017167382</v>
      </c>
      <c r="D43" s="371">
        <f>+MiVida_Rich!A41</f>
        <v>37225</v>
      </c>
      <c r="E43" s="204" t="s">
        <v>85</v>
      </c>
      <c r="F43" s="204" t="s">
        <v>102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248" t="s">
        <v>217</v>
      </c>
      <c r="B44" s="489">
        <f>+crosstex!F41</f>
        <v>-128572.76</v>
      </c>
      <c r="C44" s="206">
        <f>+B44/$H$4</f>
        <v>-56145.31004366812</v>
      </c>
      <c r="D44" s="372">
        <f>+crosstex!A41</f>
        <v>37259</v>
      </c>
      <c r="E44" s="32" t="s">
        <v>85</v>
      </c>
      <c r="F44" s="32" t="s">
        <v>100</v>
      </c>
      <c r="G44" s="357"/>
      <c r="H44" s="32"/>
      <c r="I44" s="32"/>
      <c r="J44" s="32"/>
      <c r="K44" s="32"/>
      <c r="L44" s="32"/>
      <c r="M44" s="387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s="293" customFormat="1" ht="13.5" customHeight="1" x14ac:dyDescent="0.25">
      <c r="A45" s="248" t="s">
        <v>319</v>
      </c>
      <c r="B45" s="489">
        <f>+C45*$H$3</f>
        <v>-78821.58</v>
      </c>
      <c r="C45" s="275">
        <f>+Amoco!D40</f>
        <v>-35346</v>
      </c>
      <c r="D45" s="372">
        <f>+Amoco!A40</f>
        <v>37261</v>
      </c>
      <c r="E45" s="32" t="s">
        <v>84</v>
      </c>
      <c r="F45" s="32" t="s">
        <v>115</v>
      </c>
      <c r="G45" s="32"/>
      <c r="H45" s="204"/>
      <c r="I45" s="204"/>
      <c r="J45" s="204"/>
      <c r="K45" s="204"/>
      <c r="L45" s="204"/>
      <c r="M45" s="480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s="246" customFormat="1" ht="13.5" customHeight="1" x14ac:dyDescent="0.25">
      <c r="A46" s="248" t="s">
        <v>147</v>
      </c>
      <c r="B46" s="351">
        <f>+PGETX!$H$39</f>
        <v>-68258</v>
      </c>
      <c r="C46" s="275">
        <f>+B46/$H$4</f>
        <v>-29806.986899563319</v>
      </c>
      <c r="D46" s="372">
        <f>+PGETX!E39</f>
        <v>37256</v>
      </c>
      <c r="E46" s="32" t="s">
        <v>85</v>
      </c>
      <c r="F46" s="32" t="s">
        <v>102</v>
      </c>
      <c r="G46" s="32"/>
      <c r="H46" s="249"/>
      <c r="I46" s="249"/>
      <c r="J46" s="249"/>
      <c r="K46" s="249"/>
      <c r="L46" s="32"/>
      <c r="M46" s="480"/>
      <c r="N46" s="273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</row>
    <row r="47" spans="1:32" s="293" customFormat="1" ht="13.5" customHeight="1" x14ac:dyDescent="0.25">
      <c r="A47" s="248" t="s">
        <v>1</v>
      </c>
      <c r="B47" s="489">
        <f>+C47*$H$3</f>
        <v>-60149.79</v>
      </c>
      <c r="C47" s="206">
        <f>+NW!$F$41</f>
        <v>-26973</v>
      </c>
      <c r="D47" s="371">
        <f>+NW!B41</f>
        <v>37261</v>
      </c>
      <c r="E47" s="32" t="s">
        <v>84</v>
      </c>
      <c r="F47" s="32" t="s">
        <v>115</v>
      </c>
      <c r="G47" s="357"/>
      <c r="H47" s="204"/>
      <c r="I47" s="204"/>
      <c r="J47" s="204">
        <f>135710*1.98</f>
        <v>268705.8</v>
      </c>
      <c r="K47" s="204"/>
      <c r="L47" s="204"/>
      <c r="M47" s="480"/>
      <c r="N47" s="273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</row>
    <row r="48" spans="1:32" ht="13.5" customHeight="1" x14ac:dyDescent="0.25">
      <c r="A48" s="537" t="s">
        <v>205</v>
      </c>
      <c r="B48" s="490">
        <f>+WTGmktg!J43</f>
        <v>-32129.68</v>
      </c>
      <c r="C48" s="206">
        <f>+B48/$H$4</f>
        <v>-14030.427947598253</v>
      </c>
      <c r="D48" s="371">
        <f>+WTGmktg!A43</f>
        <v>37259</v>
      </c>
      <c r="E48" s="32" t="s">
        <v>85</v>
      </c>
      <c r="F48" s="204" t="s">
        <v>115</v>
      </c>
      <c r="G48" s="204"/>
      <c r="H48" s="32"/>
      <c r="I48" s="32"/>
      <c r="J48" s="32"/>
      <c r="K48" s="32"/>
      <c r="L48" s="32"/>
      <c r="M48" s="387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3.5" customHeight="1" x14ac:dyDescent="0.25">
      <c r="A49" s="248" t="s">
        <v>6</v>
      </c>
      <c r="B49" s="489">
        <f>+Oasis!$D$40</f>
        <v>-31354.880000000001</v>
      </c>
      <c r="C49" s="206">
        <f>+B49/$H$5</f>
        <v>-13457.030042918455</v>
      </c>
      <c r="D49" s="372">
        <f>+Oasis!A40</f>
        <v>37261</v>
      </c>
      <c r="E49" s="32" t="s">
        <v>85</v>
      </c>
      <c r="F49" s="32" t="s">
        <v>102</v>
      </c>
      <c r="G49" s="32"/>
      <c r="H49" s="32"/>
      <c r="I49" s="32"/>
      <c r="J49" s="32"/>
      <c r="K49" s="32"/>
      <c r="L49" s="32"/>
      <c r="M49" s="38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293" customFormat="1" ht="13.5" customHeight="1" x14ac:dyDescent="0.25">
      <c r="A50" s="537" t="s">
        <v>142</v>
      </c>
      <c r="B50" s="352">
        <f>+C50*$H$4</f>
        <v>-26641.86</v>
      </c>
      <c r="C50" s="353">
        <f>+PEPL!D41</f>
        <v>-11634</v>
      </c>
      <c r="D50" s="371">
        <f>+PEPL!A41</f>
        <v>37262</v>
      </c>
      <c r="E50" s="204" t="s">
        <v>84</v>
      </c>
      <c r="F50" s="204" t="s">
        <v>100</v>
      </c>
      <c r="G50" s="32"/>
      <c r="H50" s="204"/>
      <c r="I50" s="204"/>
      <c r="J50" s="204"/>
      <c r="K50" s="204"/>
      <c r="L50" s="204"/>
      <c r="M50" s="480"/>
      <c r="N50" s="273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</row>
    <row r="51" spans="1:32" s="293" customFormat="1" ht="13.5" customHeight="1" x14ac:dyDescent="0.25">
      <c r="A51" s="538" t="s">
        <v>79</v>
      </c>
      <c r="B51" s="541">
        <f>+Agave!$D$24</f>
        <v>-24903.020000000004</v>
      </c>
      <c r="C51" s="472">
        <f>+B51/$H$4</f>
        <v>-10874.681222707426</v>
      </c>
      <c r="D51" s="471">
        <f>+Agave!A24</f>
        <v>37261</v>
      </c>
      <c r="E51" s="451" t="s">
        <v>85</v>
      </c>
      <c r="F51" s="451" t="s">
        <v>102</v>
      </c>
      <c r="G51" s="451"/>
      <c r="H51" s="204"/>
      <c r="I51" s="204"/>
      <c r="J51" s="204"/>
      <c r="K51" s="204"/>
      <c r="L51" s="32" t="s">
        <v>246</v>
      </c>
      <c r="M51" s="387">
        <v>21665</v>
      </c>
      <c r="N51" s="70">
        <v>73449</v>
      </c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</row>
    <row r="52" spans="1:32" s="293" customFormat="1" ht="13.5" customHeight="1" x14ac:dyDescent="0.25">
      <c r="A52" s="248" t="s">
        <v>302</v>
      </c>
      <c r="B52" s="354">
        <f>+SWGasTrans!$D$41</f>
        <v>-19607.86</v>
      </c>
      <c r="C52" s="71">
        <f>+B52/$H$4</f>
        <v>-8562.3842794759821</v>
      </c>
      <c r="D52" s="371">
        <f>+SWGasTrans!A41</f>
        <v>36894</v>
      </c>
      <c r="E52" s="32" t="s">
        <v>85</v>
      </c>
      <c r="F52" s="32" t="s">
        <v>99</v>
      </c>
      <c r="G52" s="32"/>
      <c r="H52" s="204"/>
      <c r="I52" s="204"/>
      <c r="J52" s="204"/>
      <c r="K52" s="204"/>
      <c r="L52" s="32"/>
      <c r="M52" s="387"/>
      <c r="N52" s="70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</row>
    <row r="53" spans="1:32" ht="15" customHeight="1" x14ac:dyDescent="0.25">
      <c r="A53" s="32" t="s">
        <v>97</v>
      </c>
      <c r="B53" s="351">
        <f>SUM(B40:B52)</f>
        <v>-4307655.3500000006</v>
      </c>
      <c r="C53" s="206">
        <f>SUM(C40:C52)</f>
        <v>-1860435.9113330962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" customHeight="1" x14ac:dyDescent="0.25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8" thickBot="1" x14ac:dyDescent="0.3">
      <c r="A55" s="2" t="s">
        <v>91</v>
      </c>
      <c r="B55" s="359">
        <f>+B53+B37</f>
        <v>3116107.5088999998</v>
      </c>
      <c r="C55" s="360">
        <f>+C53+C37</f>
        <v>1355972.8359193895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8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2" t="s">
        <v>92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5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5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5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5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5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5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5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5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5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5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5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5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5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5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5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5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2" t="s">
        <v>265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 t="s">
        <v>263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 t="s">
        <v>266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 t="s">
        <v>267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 t="s">
        <v>269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 t="s">
        <v>270</v>
      </c>
      <c r="B107" s="75">
        <v>8689.86</v>
      </c>
      <c r="C107" s="69" t="s">
        <v>271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 t="s">
        <v>272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 t="s">
        <v>273</v>
      </c>
      <c r="B109" s="523" t="s">
        <v>275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 t="s">
        <v>274</v>
      </c>
      <c r="B110" s="523" t="s">
        <v>276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 t="s">
        <v>279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 t="s">
        <v>277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 t="s">
        <v>280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 t="s">
        <v>284</v>
      </c>
      <c r="B114" s="75">
        <v>9780.35</v>
      </c>
      <c r="C114" s="519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 t="s">
        <v>287</v>
      </c>
      <c r="B115" s="75">
        <v>47610.18</v>
      </c>
      <c r="C115" s="519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 t="s">
        <v>291</v>
      </c>
      <c r="B116" s="15">
        <v>-1548.84</v>
      </c>
      <c r="C116" s="519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 t="s">
        <v>295</v>
      </c>
      <c r="B117" s="15">
        <v>-10776.55</v>
      </c>
      <c r="C117" s="519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 t="s">
        <v>296</v>
      </c>
      <c r="B118" s="15">
        <v>9125.5499999999993</v>
      </c>
      <c r="C118" s="520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 t="s">
        <v>298</v>
      </c>
      <c r="B119" s="525" t="s">
        <v>299</v>
      </c>
      <c r="C119" s="520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 t="s">
        <v>303</v>
      </c>
      <c r="B120" s="15">
        <v>1357.88</v>
      </c>
      <c r="C120" s="520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 t="s">
        <v>294</v>
      </c>
      <c r="B121" s="15">
        <f>44144.84-58339.66</f>
        <v>-14194.820000000007</v>
      </c>
      <c r="C121" s="520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 t="s">
        <v>294</v>
      </c>
      <c r="B122" s="15">
        <v>-51695.87</v>
      </c>
      <c r="C122" s="520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 t="s">
        <v>294</v>
      </c>
      <c r="B123" s="15">
        <v>61340.160000000003</v>
      </c>
      <c r="C123" s="520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 t="s">
        <v>294</v>
      </c>
      <c r="B124" s="259"/>
      <c r="C124" s="520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 t="s">
        <v>304</v>
      </c>
      <c r="B125" s="259">
        <v>828.64</v>
      </c>
      <c r="C125" s="520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 t="s">
        <v>305</v>
      </c>
      <c r="B126" s="259">
        <v>8282.6</v>
      </c>
      <c r="C126" s="520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 t="s">
        <v>297</v>
      </c>
      <c r="B127" s="259">
        <v>17432.3</v>
      </c>
      <c r="C127" s="520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 t="s">
        <v>290</v>
      </c>
      <c r="B128" s="259">
        <v>-7228.77</v>
      </c>
      <c r="C128" s="519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285" t="s">
        <v>289</v>
      </c>
      <c r="B129" s="15">
        <v>249009.74</v>
      </c>
      <c r="C129" s="519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 t="s">
        <v>283</v>
      </c>
      <c r="B130" s="15">
        <v>1974.11</v>
      </c>
      <c r="C130" s="519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 t="s">
        <v>268</v>
      </c>
      <c r="B131" s="75">
        <v>-35893</v>
      </c>
      <c r="C131" s="519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 t="s">
        <v>278</v>
      </c>
      <c r="B132" s="75">
        <v>27281.87</v>
      </c>
      <c r="C132" s="519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 t="s">
        <v>281</v>
      </c>
      <c r="B133" s="75">
        <v>-2614.58</v>
      </c>
      <c r="C133" s="519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 t="s">
        <v>282</v>
      </c>
      <c r="B134" s="75">
        <v>-177733.88</v>
      </c>
      <c r="C134" s="519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 t="s">
        <v>285</v>
      </c>
      <c r="B135" s="15">
        <v>3338.45</v>
      </c>
      <c r="C135" s="519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 t="s">
        <v>286</v>
      </c>
      <c r="B136" s="15">
        <v>15325.21</v>
      </c>
      <c r="C136" s="519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 t="s">
        <v>288</v>
      </c>
      <c r="B137" s="15">
        <v>-33878.81</v>
      </c>
      <c r="C137" s="519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 t="s">
        <v>292</v>
      </c>
      <c r="B138" s="15">
        <v>-726.96</v>
      </c>
      <c r="C138" s="519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 t="s">
        <v>293</v>
      </c>
      <c r="B139" s="47">
        <v>-4405.4799999999996</v>
      </c>
      <c r="C139" s="519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519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519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519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5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5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5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C10" sqref="C10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f>-234626-22396</f>
        <v>-257022</v>
      </c>
      <c r="C6" s="80"/>
      <c r="D6" s="80">
        <f t="shared" ref="D6:D14" si="0">+C6-B6</f>
        <v>257022</v>
      </c>
    </row>
    <row r="7" spans="1:4" x14ac:dyDescent="0.2">
      <c r="A7" s="32">
        <v>3531</v>
      </c>
      <c r="B7" s="312">
        <f>-155277-33323</f>
        <v>-188600</v>
      </c>
      <c r="C7" s="80">
        <f>-59034-11819</f>
        <v>-70853</v>
      </c>
      <c r="D7" s="80">
        <f t="shared" si="0"/>
        <v>117747</v>
      </c>
    </row>
    <row r="8" spans="1:4" x14ac:dyDescent="0.2">
      <c r="A8" s="32">
        <v>60667</v>
      </c>
      <c r="B8" s="312">
        <v>-108557</v>
      </c>
      <c r="C8" s="80">
        <f>-358965-42000</f>
        <v>-400965</v>
      </c>
      <c r="D8" s="80">
        <f t="shared" si="0"/>
        <v>-292408</v>
      </c>
    </row>
    <row r="9" spans="1:4" x14ac:dyDescent="0.2">
      <c r="A9" s="32">
        <v>60749</v>
      </c>
      <c r="B9" s="312">
        <f>24003</f>
        <v>24003</v>
      </c>
      <c r="C9" s="80">
        <f>-57079-26771</f>
        <v>-83850</v>
      </c>
      <c r="D9" s="80">
        <f t="shared" si="0"/>
        <v>-107853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/>
      <c r="C11" s="80"/>
      <c r="D11" s="80">
        <f t="shared" si="0"/>
        <v>0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-25492</v>
      </c>
    </row>
    <row r="19" spans="1:5" x14ac:dyDescent="0.2">
      <c r="A19" s="32" t="s">
        <v>81</v>
      </c>
      <c r="B19" s="69"/>
      <c r="C19" s="69"/>
      <c r="D19" s="73">
        <f>+summary!H4</f>
        <v>2.29</v>
      </c>
    </row>
    <row r="20" spans="1:5" x14ac:dyDescent="0.2">
      <c r="B20" s="69"/>
      <c r="C20" s="69"/>
      <c r="D20" s="75">
        <f>+D19*D18</f>
        <v>-58376.68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494">
        <v>58523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37261</v>
      </c>
      <c r="B24" s="69"/>
      <c r="C24" s="69"/>
      <c r="D24" s="335">
        <f>+D22+D20</f>
        <v>146.31999999999971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495">
        <v>26010</v>
      </c>
    </row>
    <row r="33" spans="1:4" x14ac:dyDescent="0.2">
      <c r="A33" s="49">
        <f>+A24</f>
        <v>37261</v>
      </c>
      <c r="D33" s="355">
        <f>+D18</f>
        <v>-25492</v>
      </c>
    </row>
    <row r="34" spans="1:4" x14ac:dyDescent="0.2">
      <c r="D34" s="14">
        <f>+D33+D32</f>
        <v>518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6" workbookViewId="0">
      <selection activeCell="A24" sqref="A2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8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v>-24194</v>
      </c>
      <c r="C5" s="90">
        <v>-8880</v>
      </c>
      <c r="D5" s="90">
        <f t="shared" ref="D5:D13" si="0">+C5-B5</f>
        <v>15314</v>
      </c>
      <c r="E5" s="69"/>
      <c r="F5" s="201"/>
    </row>
    <row r="6" spans="1:13" x14ac:dyDescent="0.25">
      <c r="A6" s="87">
        <v>9238</v>
      </c>
      <c r="B6" s="90">
        <v>-1929</v>
      </c>
      <c r="C6" s="90">
        <v>-3000</v>
      </c>
      <c r="D6" s="90">
        <f t="shared" si="0"/>
        <v>-1071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v>-552424</v>
      </c>
      <c r="C7" s="90">
        <v>-587216</v>
      </c>
      <c r="D7" s="90">
        <f t="shared" si="0"/>
        <v>-34792</v>
      </c>
      <c r="E7" s="275"/>
      <c r="F7" s="201"/>
    </row>
    <row r="8" spans="1:13" x14ac:dyDescent="0.25">
      <c r="A8" s="87">
        <v>58710</v>
      </c>
      <c r="B8" s="90">
        <v>-73737</v>
      </c>
      <c r="C8" s="90">
        <v>-62955</v>
      </c>
      <c r="D8" s="90">
        <f t="shared" si="0"/>
        <v>10782</v>
      </c>
      <c r="E8" s="275"/>
      <c r="F8" s="201"/>
    </row>
    <row r="9" spans="1:13" x14ac:dyDescent="0.25">
      <c r="A9" s="87">
        <v>60921</v>
      </c>
      <c r="B9" s="90">
        <v>-243694</v>
      </c>
      <c r="C9" s="90">
        <v>-217024</v>
      </c>
      <c r="D9" s="90">
        <f t="shared" si="0"/>
        <v>26670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5">
      <c r="A11" s="87">
        <v>500084</v>
      </c>
      <c r="B11" s="90">
        <v>-11720</v>
      </c>
      <c r="C11" s="90">
        <v>-15000</v>
      </c>
      <c r="D11" s="90">
        <f t="shared" si="0"/>
        <v>-3280</v>
      </c>
      <c r="E11" s="276"/>
      <c r="F11" s="475"/>
    </row>
    <row r="12" spans="1:13" x14ac:dyDescent="0.25">
      <c r="A12" s="320">
        <v>500085</v>
      </c>
      <c r="B12" s="90">
        <v>-1</v>
      </c>
      <c r="C12" s="90"/>
      <c r="D12" s="90">
        <f t="shared" si="0"/>
        <v>1</v>
      </c>
      <c r="E12" s="275"/>
      <c r="F12" s="475"/>
    </row>
    <row r="13" spans="1:13" x14ac:dyDescent="0.25">
      <c r="A13" s="87">
        <v>500097</v>
      </c>
      <c r="B13" s="90">
        <v>-23515</v>
      </c>
      <c r="C13" s="90">
        <v>-20000</v>
      </c>
      <c r="D13" s="90">
        <f t="shared" si="0"/>
        <v>3515</v>
      </c>
      <c r="E13" s="275"/>
      <c r="F13" s="475"/>
    </row>
    <row r="14" spans="1:13" x14ac:dyDescent="0.25">
      <c r="A14" s="87"/>
      <c r="B14" s="90"/>
      <c r="C14" s="90"/>
      <c r="D14" s="90"/>
      <c r="E14" s="275"/>
      <c r="F14" s="475"/>
    </row>
    <row r="15" spans="1:13" x14ac:dyDescent="0.25">
      <c r="A15" s="87"/>
      <c r="B15" s="90"/>
      <c r="C15" s="90"/>
      <c r="D15" s="90"/>
      <c r="E15" s="275"/>
      <c r="F15" s="475"/>
    </row>
    <row r="16" spans="1:13" x14ac:dyDescent="0.25">
      <c r="A16" s="87"/>
      <c r="B16" s="88"/>
      <c r="C16" s="88"/>
      <c r="D16" s="94"/>
      <c r="E16" s="275"/>
      <c r="F16" s="475"/>
    </row>
    <row r="17" spans="1:7" x14ac:dyDescent="0.25">
      <c r="A17" s="87"/>
      <c r="B17" s="88"/>
      <c r="C17" s="88"/>
      <c r="D17" s="88">
        <f>SUM(D5:D16)</f>
        <v>17139</v>
      </c>
      <c r="E17" s="275"/>
      <c r="F17" s="475"/>
    </row>
    <row r="18" spans="1:7" x14ac:dyDescent="0.25">
      <c r="A18" s="87" t="s">
        <v>81</v>
      </c>
      <c r="B18" s="88"/>
      <c r="C18" s="88"/>
      <c r="D18" s="95">
        <f>+summary!H4</f>
        <v>2.29</v>
      </c>
      <c r="E18" s="277"/>
      <c r="F18" s="475"/>
    </row>
    <row r="19" spans="1:7" x14ac:dyDescent="0.25">
      <c r="A19" s="87"/>
      <c r="B19" s="88"/>
      <c r="C19" s="88"/>
      <c r="D19" s="96">
        <f>+D18*D17</f>
        <v>39248.31</v>
      </c>
      <c r="E19" s="207"/>
      <c r="F19" s="47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37256</v>
      </c>
      <c r="B21" s="88"/>
      <c r="C21" s="88"/>
      <c r="D21" s="511">
        <v>713715.32</v>
      </c>
      <c r="E21" s="207"/>
      <c r="F21" s="476"/>
    </row>
    <row r="22" spans="1:7" x14ac:dyDescent="0.25">
      <c r="A22" s="87"/>
      <c r="B22" s="88"/>
      <c r="C22" s="88"/>
      <c r="D22" s="311"/>
      <c r="E22" s="207"/>
      <c r="F22" s="476"/>
    </row>
    <row r="23" spans="1:7" ht="13.8" thickBot="1" x14ac:dyDescent="0.3">
      <c r="A23" s="99">
        <v>37261</v>
      </c>
      <c r="B23" s="88"/>
      <c r="C23" s="88"/>
      <c r="D23" s="321">
        <f>+D21+D19</f>
        <v>752963.62999999989</v>
      </c>
      <c r="E23" s="207"/>
      <c r="F23" s="476"/>
    </row>
    <row r="24" spans="1:7" ht="13.8" thickTop="1" x14ac:dyDescent="0.25">
      <c r="E24" s="278"/>
    </row>
    <row r="25" spans="1:7" x14ac:dyDescent="0.25">
      <c r="E25" s="536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37256</v>
      </c>
      <c r="B28" s="32"/>
      <c r="C28" s="32"/>
      <c r="D28" s="504">
        <v>283678</v>
      </c>
    </row>
    <row r="29" spans="1:7" x14ac:dyDescent="0.25">
      <c r="A29" s="49">
        <f>+A23</f>
        <v>37261</v>
      </c>
      <c r="B29" s="32"/>
      <c r="C29" s="32"/>
      <c r="D29" s="355">
        <f>+D17</f>
        <v>17139</v>
      </c>
    </row>
    <row r="30" spans="1:7" x14ac:dyDescent="0.25">
      <c r="A30" s="32"/>
      <c r="B30" s="32"/>
      <c r="C30" s="32"/>
      <c r="D30" s="14">
        <f>+D29+D28</f>
        <v>300817</v>
      </c>
      <c r="E30" s="348"/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4"/>
      <c r="E36" s="69"/>
      <c r="F36" s="201"/>
      <c r="G36" s="32"/>
    </row>
    <row r="37" spans="1:7" x14ac:dyDescent="0.25">
      <c r="B37" s="69"/>
      <c r="C37" s="69"/>
      <c r="D37" s="294"/>
      <c r="E37" s="69"/>
      <c r="F37" s="201"/>
      <c r="G37" s="32"/>
    </row>
    <row r="38" spans="1:7" x14ac:dyDescent="0.25">
      <c r="B38" s="69"/>
      <c r="C38" s="69"/>
      <c r="D38" s="294"/>
      <c r="E38" s="69"/>
      <c r="F38" s="201"/>
      <c r="G38" s="32"/>
    </row>
    <row r="39" spans="1:7" x14ac:dyDescent="0.25">
      <c r="B39" s="69"/>
      <c r="C39" s="69"/>
      <c r="D39" s="294"/>
      <c r="E39" s="69"/>
      <c r="F39" s="201"/>
      <c r="G39" s="32"/>
    </row>
    <row r="40" spans="1:7" x14ac:dyDescent="0.25">
      <c r="B40" s="69"/>
      <c r="C40" s="69"/>
      <c r="D40" s="294"/>
      <c r="E40" s="69"/>
      <c r="F40" s="201"/>
      <c r="G40" s="32"/>
    </row>
    <row r="41" spans="1:7" x14ac:dyDescent="0.25">
      <c r="B41" s="69"/>
      <c r="C41" s="69"/>
      <c r="D41" s="294"/>
      <c r="E41" s="69"/>
      <c r="F41" s="201"/>
      <c r="G41" s="32"/>
    </row>
    <row r="42" spans="1:7" x14ac:dyDescent="0.25">
      <c r="B42" s="69"/>
      <c r="C42" s="69"/>
      <c r="D42" s="294"/>
      <c r="E42" s="69"/>
      <c r="F42" s="201"/>
      <c r="G42" s="32"/>
    </row>
    <row r="43" spans="1:7" x14ac:dyDescent="0.25">
      <c r="B43" s="69"/>
      <c r="C43" s="69"/>
      <c r="D43" s="294"/>
      <c r="E43" s="69"/>
      <c r="F43" s="201"/>
      <c r="G43" s="32"/>
    </row>
    <row r="44" spans="1:7" x14ac:dyDescent="0.25">
      <c r="B44" s="69"/>
      <c r="C44" s="69"/>
      <c r="D44" s="295"/>
      <c r="E44" s="275"/>
      <c r="F44" s="475"/>
      <c r="G44" s="204"/>
    </row>
    <row r="45" spans="1:7" x14ac:dyDescent="0.25">
      <c r="B45" s="69"/>
      <c r="C45" s="69"/>
      <c r="D45" s="295"/>
      <c r="E45" s="275"/>
      <c r="F45" s="475"/>
      <c r="G45" s="204"/>
    </row>
    <row r="46" spans="1:7" x14ac:dyDescent="0.25">
      <c r="A46" s="32"/>
      <c r="B46" s="69"/>
      <c r="C46" s="69"/>
      <c r="D46" s="275"/>
      <c r="E46" s="275"/>
      <c r="F46" s="475"/>
      <c r="G46" s="204"/>
    </row>
    <row r="47" spans="1:7" x14ac:dyDescent="0.25">
      <c r="A47" s="32"/>
      <c r="B47" s="69"/>
      <c r="C47" s="69"/>
      <c r="D47" s="277"/>
      <c r="E47" s="277"/>
      <c r="F47" s="475"/>
      <c r="G47" s="204"/>
    </row>
    <row r="48" spans="1:7" x14ac:dyDescent="0.25">
      <c r="B48" s="69"/>
      <c r="C48" s="69"/>
      <c r="D48" s="275"/>
      <c r="E48" s="275"/>
      <c r="F48" s="475"/>
      <c r="G48" s="204"/>
    </row>
    <row r="49" spans="1:7" x14ac:dyDescent="0.25">
      <c r="B49" s="69"/>
      <c r="C49" s="69"/>
      <c r="D49" s="275"/>
      <c r="E49" s="275"/>
      <c r="F49" s="475"/>
      <c r="G49" s="204"/>
    </row>
    <row r="50" spans="1:7" x14ac:dyDescent="0.25">
      <c r="C50" s="292"/>
      <c r="D50" s="292"/>
      <c r="E50" s="292"/>
      <c r="F50" s="477"/>
      <c r="G50" s="293"/>
    </row>
    <row r="51" spans="1:7" x14ac:dyDescent="0.25">
      <c r="A51" s="32"/>
      <c r="C51" s="292"/>
      <c r="D51" s="292"/>
      <c r="E51" s="292"/>
      <c r="F51" s="477"/>
    </row>
    <row r="52" spans="1:7" x14ac:dyDescent="0.25">
      <c r="A52" s="32"/>
      <c r="C52" s="292"/>
      <c r="D52" s="292"/>
      <c r="E52" s="292"/>
      <c r="F52" s="477"/>
    </row>
    <row r="53" spans="1:7" x14ac:dyDescent="0.25">
      <c r="A53" s="32"/>
      <c r="C53" s="292"/>
      <c r="D53" s="292"/>
      <c r="E53" s="292"/>
      <c r="F53" s="477"/>
    </row>
    <row r="54" spans="1:7" x14ac:dyDescent="0.25">
      <c r="A54" s="32"/>
      <c r="C54" s="292"/>
      <c r="D54" s="292"/>
      <c r="E54" s="292"/>
      <c r="F54" s="477"/>
    </row>
    <row r="55" spans="1:7" x14ac:dyDescent="0.25">
      <c r="A55" s="32"/>
      <c r="C55" s="292"/>
      <c r="D55" s="292"/>
      <c r="E55" s="278"/>
      <c r="F55" s="430"/>
    </row>
    <row r="56" spans="1:7" x14ac:dyDescent="0.25">
      <c r="C56" s="292"/>
      <c r="D56" s="292"/>
      <c r="E56" s="278"/>
      <c r="F56" s="430"/>
    </row>
    <row r="57" spans="1:7" x14ac:dyDescent="0.25">
      <c r="C57" s="292"/>
      <c r="D57" s="292"/>
      <c r="E57" s="278"/>
      <c r="F57" s="430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76"/>
    </row>
    <row r="101" spans="1:6" x14ac:dyDescent="0.25">
      <c r="A101" s="32"/>
      <c r="E101" s="63"/>
      <c r="F101" s="476"/>
    </row>
    <row r="102" spans="1:6" ht="13.8" thickBot="1" x14ac:dyDescent="0.3">
      <c r="A102" s="32"/>
      <c r="D102" s="68"/>
      <c r="E102" s="68"/>
      <c r="F102" s="47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76"/>
    </row>
    <row r="127" spans="1:6" x14ac:dyDescent="0.25">
      <c r="A127" s="32"/>
      <c r="D127" s="75"/>
      <c r="E127" s="75"/>
      <c r="F127" s="476"/>
    </row>
    <row r="128" spans="1:6" ht="13.8" thickBot="1" x14ac:dyDescent="0.3">
      <c r="A128" s="32"/>
      <c r="D128" s="77"/>
      <c r="E128" s="77"/>
      <c r="F128" s="47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76"/>
    </row>
    <row r="152" spans="1:6" x14ac:dyDescent="0.25">
      <c r="A152" s="32"/>
      <c r="D152" s="75"/>
      <c r="E152" s="75"/>
      <c r="F152" s="476"/>
    </row>
    <row r="153" spans="1:6" ht="13.8" thickBot="1" x14ac:dyDescent="0.3">
      <c r="A153" s="32"/>
      <c r="D153" s="77"/>
      <c r="E153" s="77"/>
      <c r="F153" s="47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76"/>
    </row>
    <row r="177" spans="1:6" x14ac:dyDescent="0.25">
      <c r="A177" s="32"/>
      <c r="D177" s="75"/>
      <c r="E177" s="75"/>
      <c r="F177" s="476"/>
    </row>
    <row r="178" spans="1:6" ht="13.8" thickBot="1" x14ac:dyDescent="0.3">
      <c r="A178" s="32"/>
      <c r="D178" s="77"/>
      <c r="E178" s="77"/>
      <c r="F178" s="47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76"/>
    </row>
    <row r="201" spans="1:6" x14ac:dyDescent="0.25">
      <c r="A201" s="32"/>
      <c r="D201" s="75"/>
      <c r="E201" s="75"/>
      <c r="F201" s="476"/>
    </row>
    <row r="202" spans="1:6" ht="13.8" thickBot="1" x14ac:dyDescent="0.3">
      <c r="A202" s="32"/>
      <c r="D202" s="83"/>
      <c r="E202" s="77"/>
      <c r="F202" s="47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76"/>
    </row>
    <row r="227" spans="1:6" x14ac:dyDescent="0.25">
      <c r="A227" s="32"/>
      <c r="D227" s="75"/>
      <c r="E227" s="75"/>
      <c r="F227" s="476"/>
    </row>
    <row r="228" spans="1:6" ht="13.8" thickBot="1" x14ac:dyDescent="0.3">
      <c r="A228" s="32"/>
      <c r="D228" s="83"/>
      <c r="E228" s="77"/>
      <c r="F228" s="47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76"/>
    </row>
    <row r="251" spans="1:6" x14ac:dyDescent="0.25">
      <c r="A251" s="32"/>
      <c r="D251" s="75"/>
      <c r="E251" s="75"/>
      <c r="F251" s="476"/>
    </row>
    <row r="252" spans="1:6" ht="13.8" thickBot="1" x14ac:dyDescent="0.3">
      <c r="A252" s="32"/>
      <c r="D252" s="86"/>
      <c r="E252" s="77"/>
      <c r="F252" s="47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76"/>
    </row>
    <row r="275" spans="1:6" x14ac:dyDescent="0.25">
      <c r="A275" s="87"/>
      <c r="B275" s="88"/>
      <c r="C275" s="88"/>
      <c r="D275" s="96"/>
      <c r="E275" s="75"/>
      <c r="F275" s="476"/>
    </row>
    <row r="276" spans="1:6" ht="13.8" thickBot="1" x14ac:dyDescent="0.3">
      <c r="A276" s="87"/>
      <c r="B276" s="88"/>
      <c r="C276" s="88"/>
      <c r="D276" s="98"/>
      <c r="E276" s="77"/>
      <c r="F276" s="47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76"/>
    </row>
    <row r="300" spans="1:6" x14ac:dyDescent="0.25">
      <c r="A300" s="87"/>
      <c r="B300" s="88"/>
      <c r="C300" s="88"/>
      <c r="D300" s="96"/>
      <c r="E300" s="75"/>
      <c r="F300" s="476"/>
    </row>
    <row r="301" spans="1:6" ht="13.8" thickBot="1" x14ac:dyDescent="0.3">
      <c r="A301" s="87"/>
      <c r="B301" s="88"/>
      <c r="C301" s="88"/>
      <c r="D301" s="98"/>
      <c r="E301" s="77"/>
      <c r="F301" s="47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76"/>
    </row>
    <row r="327" spans="1:6" x14ac:dyDescent="0.25">
      <c r="A327" s="87"/>
      <c r="B327" s="88"/>
      <c r="C327" s="88"/>
      <c r="D327" s="96"/>
      <c r="E327" s="75"/>
      <c r="F327" s="476"/>
    </row>
    <row r="328" spans="1:6" ht="13.8" thickBot="1" x14ac:dyDescent="0.3">
      <c r="A328" s="87"/>
      <c r="B328" s="88"/>
      <c r="C328" s="88"/>
      <c r="D328" s="98"/>
      <c r="E328" s="77"/>
      <c r="F328" s="47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31" sqref="C31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5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5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5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236</v>
      </c>
      <c r="P6" t="s">
        <v>237</v>
      </c>
    </row>
    <row r="7" spans="1:24" x14ac:dyDescent="0.25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5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/>
      <c r="C9" s="90"/>
      <c r="D9" s="90"/>
      <c r="E9" s="90"/>
      <c r="F9" s="90">
        <f t="shared" si="0"/>
        <v>0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5">
      <c r="A10">
        <v>8</v>
      </c>
      <c r="B10" s="90"/>
      <c r="C10" s="90"/>
      <c r="D10" s="90"/>
      <c r="E10" s="90"/>
      <c r="F10" s="90">
        <f t="shared" si="0"/>
        <v>0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5">
      <c r="A11">
        <v>9</v>
      </c>
      <c r="B11" s="90"/>
      <c r="C11" s="90"/>
      <c r="D11" s="90"/>
      <c r="E11" s="90"/>
      <c r="F11" s="90">
        <f t="shared" si="0"/>
        <v>0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5">
      <c r="A12">
        <v>10</v>
      </c>
      <c r="B12" s="90"/>
      <c r="C12" s="90"/>
      <c r="D12" s="90"/>
      <c r="E12" s="90"/>
      <c r="F12" s="90">
        <f t="shared" si="0"/>
        <v>0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5">
      <c r="A13">
        <v>11</v>
      </c>
      <c r="B13" s="90"/>
      <c r="C13" s="90"/>
      <c r="D13" s="90"/>
      <c r="E13" s="90"/>
      <c r="F13" s="90">
        <f t="shared" si="0"/>
        <v>0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5">
      <c r="A14">
        <v>12</v>
      </c>
      <c r="B14" s="88"/>
      <c r="C14" s="90"/>
      <c r="D14" s="88"/>
      <c r="E14" s="88"/>
      <c r="F14" s="90">
        <f t="shared" si="0"/>
        <v>0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5">
      <c r="A15">
        <v>13</v>
      </c>
      <c r="B15" s="88"/>
      <c r="C15" s="88"/>
      <c r="D15" s="88"/>
      <c r="E15" s="88"/>
      <c r="F15" s="90">
        <f t="shared" si="0"/>
        <v>0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5">
      <c r="A16">
        <v>14</v>
      </c>
      <c r="B16" s="88"/>
      <c r="C16" s="88"/>
      <c r="D16" s="88"/>
      <c r="E16" s="88"/>
      <c r="F16" s="90">
        <f t="shared" si="0"/>
        <v>0</v>
      </c>
      <c r="I16" s="455" t="s">
        <v>238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238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5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5">
      <c r="A18">
        <v>16</v>
      </c>
      <c r="B18" s="88"/>
      <c r="C18" s="88"/>
      <c r="D18" s="330"/>
      <c r="E18" s="330"/>
      <c r="F18" s="90">
        <f t="shared" si="0"/>
        <v>0</v>
      </c>
      <c r="I18" s="455" t="s">
        <v>239</v>
      </c>
      <c r="J18" s="330"/>
      <c r="K18" s="330"/>
      <c r="L18" s="330">
        <v>19880</v>
      </c>
      <c r="M18" s="454"/>
      <c r="N18" s="454"/>
      <c r="O18" s="454"/>
      <c r="P18" s="455" t="s">
        <v>239</v>
      </c>
      <c r="Q18" s="330"/>
      <c r="R18" s="330"/>
      <c r="S18" s="330">
        <v>37185</v>
      </c>
      <c r="T18" s="454"/>
      <c r="U18" s="454"/>
    </row>
    <row r="19" spans="1:21" x14ac:dyDescent="0.25">
      <c r="A19">
        <v>17</v>
      </c>
      <c r="B19" s="88"/>
      <c r="C19" s="88"/>
      <c r="D19" s="330"/>
      <c r="E19" s="330"/>
      <c r="F19" s="90">
        <f t="shared" si="0"/>
        <v>0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5">
      <c r="A20">
        <v>18</v>
      </c>
      <c r="B20" s="330"/>
      <c r="C20" s="330"/>
      <c r="D20" s="330"/>
      <c r="E20" s="330"/>
      <c r="F20" s="90">
        <f t="shared" si="0"/>
        <v>0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5">
      <c r="A21">
        <v>19</v>
      </c>
      <c r="B21" s="330"/>
      <c r="C21" s="330"/>
      <c r="D21" s="330"/>
      <c r="E21" s="330"/>
      <c r="F21" s="90">
        <f t="shared" si="0"/>
        <v>0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5">
      <c r="A22">
        <v>20</v>
      </c>
      <c r="B22" s="436"/>
      <c r="C22" s="330"/>
      <c r="D22" s="330"/>
      <c r="E22" s="330"/>
      <c r="F22" s="90">
        <f t="shared" si="0"/>
        <v>0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5">
      <c r="A23">
        <v>21</v>
      </c>
      <c r="B23" s="330"/>
      <c r="C23" s="330"/>
      <c r="D23" s="330"/>
      <c r="E23" s="330"/>
      <c r="F23" s="90">
        <f t="shared" si="0"/>
        <v>0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5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5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5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5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5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5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5">
      <c r="A30">
        <v>28</v>
      </c>
      <c r="B30" s="436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5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5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5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5">
      <c r="B34" s="287">
        <f>SUM(B3:B33)</f>
        <v>253689</v>
      </c>
      <c r="C34" s="287">
        <f>SUM(C3:C33)</f>
        <v>258052</v>
      </c>
      <c r="D34" s="14">
        <f>SUM(D3:D33)</f>
        <v>-21381</v>
      </c>
      <c r="E34" s="14">
        <f>SUM(E3:E33)</f>
        <v>-20000</v>
      </c>
      <c r="F34" s="14">
        <f>SUM(F3:F33)</f>
        <v>5744</v>
      </c>
      <c r="M34" s="259"/>
      <c r="N34" s="259"/>
      <c r="O34" s="259"/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4"/>
      <c r="M36" s="259"/>
      <c r="N36" s="259"/>
      <c r="O36" s="259"/>
      <c r="T36" s="259"/>
      <c r="U36" s="259"/>
    </row>
    <row r="37" spans="1:21" x14ac:dyDescent="0.25">
      <c r="A37" s="256">
        <v>37256</v>
      </c>
      <c r="B37" s="14"/>
      <c r="C37" s="14"/>
      <c r="D37" s="14"/>
      <c r="E37" s="14"/>
      <c r="F37" s="496">
        <v>116110</v>
      </c>
      <c r="M37" s="259"/>
      <c r="N37" s="259"/>
      <c r="O37" s="259"/>
      <c r="T37" s="259"/>
      <c r="U37" s="259"/>
    </row>
    <row r="38" spans="1:21" x14ac:dyDescent="0.25">
      <c r="A38" s="256">
        <v>37261</v>
      </c>
      <c r="B38" s="14"/>
      <c r="C38" s="14"/>
      <c r="D38" s="14"/>
      <c r="E38" s="14"/>
      <c r="F38" s="150">
        <f>+F37+F34</f>
        <v>121854</v>
      </c>
      <c r="M38" s="259"/>
      <c r="N38" s="259"/>
      <c r="O38" s="259"/>
    </row>
    <row r="39" spans="1:21" x14ac:dyDescent="0.25">
      <c r="F39" s="293"/>
      <c r="M39" s="259"/>
      <c r="N39" s="259"/>
      <c r="O39" s="259"/>
    </row>
    <row r="40" spans="1:21" x14ac:dyDescent="0.25">
      <c r="F40" s="293"/>
      <c r="I40" s="348"/>
      <c r="M40" s="259"/>
      <c r="N40" s="259"/>
      <c r="O40" s="259"/>
    </row>
    <row r="41" spans="1:21" x14ac:dyDescent="0.25">
      <c r="F41" s="293"/>
      <c r="I41" s="348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5">
      <c r="A43" s="49">
        <f>+A37</f>
        <v>37256</v>
      </c>
      <c r="B43" s="32"/>
      <c r="C43" s="32"/>
      <c r="D43" s="503">
        <v>296376</v>
      </c>
      <c r="F43" s="293"/>
      <c r="G43" s="31"/>
      <c r="I43" s="348"/>
      <c r="M43" s="259"/>
      <c r="N43" s="259"/>
      <c r="O43" s="259"/>
    </row>
    <row r="44" spans="1:21" x14ac:dyDescent="0.25">
      <c r="A44" s="49">
        <f>+A38</f>
        <v>37261</v>
      </c>
      <c r="B44" s="32"/>
      <c r="C44" s="32"/>
      <c r="D44" s="382">
        <f>+F34*'by type_area'!J4</f>
        <v>13153.76</v>
      </c>
      <c r="F44" s="293"/>
      <c r="I44" s="348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309529.76</v>
      </c>
      <c r="F45" s="293"/>
      <c r="I45" s="533"/>
      <c r="M45" s="259"/>
      <c r="N45" s="259"/>
      <c r="O45" s="259"/>
    </row>
    <row r="46" spans="1:21" x14ac:dyDescent="0.25">
      <c r="F46" s="293"/>
      <c r="I46" s="348"/>
      <c r="M46" s="259"/>
      <c r="N46" s="259"/>
      <c r="O46" s="259"/>
    </row>
    <row r="47" spans="1:21" x14ac:dyDescent="0.25">
      <c r="F47" s="293"/>
      <c r="M47" s="259"/>
      <c r="N47" s="259"/>
      <c r="O47" s="259"/>
    </row>
    <row r="48" spans="1:21" x14ac:dyDescent="0.25">
      <c r="F48" s="293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B32" sqref="B32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5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5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5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5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29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-74182</v>
      </c>
      <c r="C35" s="11">
        <f>SUM(C4:C34)</f>
        <v>-70266</v>
      </c>
      <c r="D35" s="11">
        <f>SUM(D4:D34)</f>
        <v>3916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37256</v>
      </c>
      <c r="D38" s="509">
        <v>186823</v>
      </c>
    </row>
    <row r="39" spans="1:4" x14ac:dyDescent="0.25">
      <c r="A39" s="2"/>
      <c r="D39" s="24"/>
    </row>
    <row r="40" spans="1:4" x14ac:dyDescent="0.25">
      <c r="A40" s="57">
        <v>37261</v>
      </c>
      <c r="D40" s="51">
        <f>+D38+D35</f>
        <v>190739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37256</v>
      </c>
      <c r="B45" s="32"/>
      <c r="C45" s="32"/>
      <c r="D45" s="507">
        <v>199813</v>
      </c>
    </row>
    <row r="46" spans="1:4" x14ac:dyDescent="0.25">
      <c r="A46" s="49">
        <f>+A40</f>
        <v>37261</v>
      </c>
      <c r="B46" s="32"/>
      <c r="C46" s="32"/>
      <c r="D46" s="382">
        <f>+D35*'by type_area'!J4</f>
        <v>8967.64</v>
      </c>
    </row>
    <row r="47" spans="1:4" x14ac:dyDescent="0.25">
      <c r="A47" s="32"/>
      <c r="B47" s="32"/>
      <c r="C47" s="32"/>
      <c r="D47" s="200">
        <f>+D46+D45</f>
        <v>208780.64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32" sqref="C3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243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53335</v>
      </c>
      <c r="C35" s="11">
        <f t="shared" ref="C35:I35" si="1">SUM(C4:C34)</f>
        <v>56500</v>
      </c>
      <c r="D35" s="11">
        <f t="shared" si="1"/>
        <v>40061</v>
      </c>
      <c r="E35" s="11">
        <f t="shared" si="1"/>
        <v>43000</v>
      </c>
      <c r="F35" s="11">
        <f t="shared" si="1"/>
        <v>16982</v>
      </c>
      <c r="G35" s="11">
        <f t="shared" si="1"/>
        <v>39000</v>
      </c>
      <c r="H35" s="11">
        <f t="shared" si="1"/>
        <v>0</v>
      </c>
      <c r="I35" s="11">
        <f t="shared" si="1"/>
        <v>0</v>
      </c>
      <c r="J35" s="11">
        <f>SUM(J4:J34)</f>
        <v>28122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2.29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64399.38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37256</v>
      </c>
      <c r="C39" s="25"/>
      <c r="E39" s="25"/>
      <c r="G39" s="25"/>
      <c r="I39" s="25"/>
      <c r="J39" s="503">
        <v>4885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2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37261</v>
      </c>
      <c r="J41" s="322">
        <f>+J39+J37</f>
        <v>69284.38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37256</v>
      </c>
      <c r="B46" s="32"/>
      <c r="C46" s="32"/>
      <c r="D46" s="504">
        <v>-125383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37261</v>
      </c>
      <c r="B47" s="32"/>
      <c r="C47" s="32"/>
      <c r="D47" s="355">
        <f>+J35</f>
        <v>28122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-97261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B41" sqref="B41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-9140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-22101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-3824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-38277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-37396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-5579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2.29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E40" s="14"/>
      <c r="F40" s="512">
        <v>385015.89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37256</v>
      </c>
      <c r="E41" s="14"/>
      <c r="F41" s="104">
        <f>+F40+F39</f>
        <v>385015.89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-9522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-9522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B8" sqref="B8:E38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53">
        <f>+summary!H4</f>
        <v>2.29</v>
      </c>
    </row>
    <row r="41" spans="1:6" x14ac:dyDescent="0.25">
      <c r="F41" s="138">
        <f>+F40*F39</f>
        <v>0</v>
      </c>
    </row>
    <row r="42" spans="1:6" x14ac:dyDescent="0.25">
      <c r="A42" s="57">
        <v>37256</v>
      </c>
      <c r="C42" s="15"/>
      <c r="F42" s="514">
        <v>34262</v>
      </c>
    </row>
    <row r="43" spans="1:6" x14ac:dyDescent="0.25">
      <c r="A43" s="57">
        <v>37256</v>
      </c>
      <c r="C43" s="48"/>
      <c r="F43" s="138">
        <f>+F42+F41</f>
        <v>34262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37256</v>
      </c>
      <c r="B48" s="32"/>
      <c r="C48" s="32"/>
      <c r="D48" s="504">
        <v>748</v>
      </c>
    </row>
    <row r="49" spans="1:4" x14ac:dyDescent="0.25">
      <c r="A49" s="49">
        <f>+A43</f>
        <v>37256</v>
      </c>
      <c r="B49" s="32"/>
      <c r="C49" s="32"/>
      <c r="D49" s="355">
        <f>+F39</f>
        <v>0</v>
      </c>
    </row>
    <row r="50" spans="1:4" x14ac:dyDescent="0.25">
      <c r="A50" s="32"/>
      <c r="B50" s="32"/>
      <c r="C50" s="32"/>
      <c r="D50" s="14">
        <f>+D49+D48</f>
        <v>748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58"/>
    </row>
    <row r="41" spans="1:4" x14ac:dyDescent="0.25">
      <c r="A41" s="57">
        <v>37256</v>
      </c>
      <c r="C41" s="15"/>
      <c r="D41" s="465">
        <v>16328</v>
      </c>
    </row>
    <row r="42" spans="1:4" x14ac:dyDescent="0.25">
      <c r="A42" s="57">
        <v>37261</v>
      </c>
      <c r="C42" s="48"/>
      <c r="D42" s="24">
        <f>+D41+D39</f>
        <v>16328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37256</v>
      </c>
      <c r="B47" s="32"/>
      <c r="C47" s="32"/>
      <c r="D47" s="469">
        <v>383278</v>
      </c>
    </row>
    <row r="48" spans="1:4" x14ac:dyDescent="0.25">
      <c r="A48" s="49">
        <f>+A42</f>
        <v>37261</v>
      </c>
      <c r="B48" s="32"/>
      <c r="C48" s="32"/>
      <c r="D48" s="382">
        <f>+D39*summary!H4</f>
        <v>0</v>
      </c>
    </row>
    <row r="49" spans="1:4" x14ac:dyDescent="0.25">
      <c r="A49" s="32"/>
      <c r="B49" s="32"/>
      <c r="C49" s="32"/>
      <c r="D49" s="200">
        <f>+D48+D47</f>
        <v>383278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workbookViewId="0">
      <selection activeCell="C11" sqref="C11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20" t="s">
        <v>57</v>
      </c>
      <c r="L6" s="189"/>
      <c r="M6" s="2"/>
      <c r="N6" s="34"/>
    </row>
    <row r="7" spans="1:14" x14ac:dyDescent="0.25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21" t="s">
        <v>19</v>
      </c>
      <c r="I7" s="421" t="s">
        <v>20</v>
      </c>
      <c r="J7" s="422" t="s">
        <v>49</v>
      </c>
      <c r="K7" s="420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185</v>
      </c>
      <c r="H19" s="119">
        <f>+B37</f>
        <v>-436732</v>
      </c>
      <c r="I19" s="119">
        <f>+C37</f>
        <v>-411703</v>
      </c>
      <c r="J19" s="119">
        <f>+I19-H19</f>
        <v>25029</v>
      </c>
      <c r="K19" s="420">
        <f>+D38</f>
        <v>2.29</v>
      </c>
      <c r="L19" s="425">
        <f>+K19*J19</f>
        <v>57316.41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186</v>
      </c>
      <c r="H24" s="24"/>
      <c r="I24" s="24"/>
      <c r="J24" s="24">
        <f>+J19+J17</f>
        <v>155521</v>
      </c>
      <c r="K24" s="416"/>
      <c r="L24" s="110">
        <f>+L19+L17</f>
        <v>139001.50999999983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187</v>
      </c>
      <c r="H26" s="24"/>
      <c r="I26" s="24"/>
      <c r="J26" s="110"/>
      <c r="K26" s="416"/>
      <c r="L26" s="24">
        <f>+L24/K19</f>
        <v>60699.349344978094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6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6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-436732</v>
      </c>
      <c r="C37" s="11">
        <f>SUM(C6:C36)</f>
        <v>-411703</v>
      </c>
      <c r="D37" s="25">
        <f>SUM(D6:D36)</f>
        <v>25029</v>
      </c>
    </row>
    <row r="38" spans="1:4" x14ac:dyDescent="0.25">
      <c r="A38" s="26"/>
      <c r="C38" s="14"/>
      <c r="D38" s="329">
        <f>+summary!H4</f>
        <v>2.29</v>
      </c>
    </row>
    <row r="39" spans="1:4" x14ac:dyDescent="0.25">
      <c r="D39" s="138">
        <f>+D38*D37</f>
        <v>57316.41</v>
      </c>
    </row>
    <row r="40" spans="1:4" x14ac:dyDescent="0.25">
      <c r="A40" s="57">
        <v>37256</v>
      </c>
      <c r="C40" s="15"/>
      <c r="D40" s="514">
        <v>181805</v>
      </c>
    </row>
    <row r="41" spans="1:4" x14ac:dyDescent="0.25">
      <c r="A41" s="57">
        <v>37261</v>
      </c>
      <c r="C41" s="48"/>
      <c r="D41" s="138">
        <f>+D40+D39</f>
        <v>239121.41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04">
        <v>174403</v>
      </c>
    </row>
    <row r="46" spans="1:4" x14ac:dyDescent="0.25">
      <c r="A46" s="49">
        <f>+A41</f>
        <v>37261</v>
      </c>
      <c r="B46" s="32"/>
      <c r="C46" s="32"/>
      <c r="D46" s="355">
        <f>+D37</f>
        <v>25029</v>
      </c>
    </row>
    <row r="47" spans="1:4" x14ac:dyDescent="0.25">
      <c r="A47" s="32"/>
      <c r="B47" s="32"/>
      <c r="C47" s="32"/>
      <c r="D47" s="14">
        <f>+D46+D45</f>
        <v>199432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A42" sqref="A42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5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5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5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5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5">
      <c r="A11" s="10">
        <v>6</v>
      </c>
      <c r="B11" s="129"/>
      <c r="C11" s="11"/>
      <c r="D11" s="25">
        <f t="shared" si="0"/>
        <v>0</v>
      </c>
    </row>
    <row r="12" spans="1:5" x14ac:dyDescent="0.25">
      <c r="A12" s="10">
        <v>7</v>
      </c>
      <c r="B12" s="129"/>
      <c r="C12" s="11"/>
      <c r="D12" s="25">
        <f t="shared" si="0"/>
        <v>0</v>
      </c>
    </row>
    <row r="13" spans="1:5" x14ac:dyDescent="0.25">
      <c r="A13" s="10">
        <v>8</v>
      </c>
      <c r="B13" s="129"/>
      <c r="C13" s="11"/>
      <c r="D13" s="25">
        <f t="shared" si="0"/>
        <v>0</v>
      </c>
    </row>
    <row r="14" spans="1:5" x14ac:dyDescent="0.25">
      <c r="A14" s="10">
        <v>9</v>
      </c>
      <c r="B14" s="129"/>
      <c r="C14" s="11"/>
      <c r="D14" s="25">
        <f t="shared" si="0"/>
        <v>0</v>
      </c>
    </row>
    <row r="15" spans="1:5" x14ac:dyDescent="0.25">
      <c r="A15" s="10">
        <v>10</v>
      </c>
      <c r="B15" s="129"/>
      <c r="C15" s="11"/>
      <c r="D15" s="25">
        <f t="shared" si="0"/>
        <v>0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148939</v>
      </c>
      <c r="C37" s="11">
        <f>SUM(C6:C36)</f>
        <v>152064</v>
      </c>
      <c r="D37" s="25">
        <f>SUM(D6:D36)</f>
        <v>3125</v>
      </c>
    </row>
    <row r="38" spans="1:4" x14ac:dyDescent="0.25">
      <c r="A38" s="26"/>
      <c r="B38" s="31"/>
      <c r="C38" s="14"/>
      <c r="D38" s="329">
        <f>+summary!H5</f>
        <v>2.33</v>
      </c>
    </row>
    <row r="39" spans="1:4" x14ac:dyDescent="0.25">
      <c r="D39" s="138">
        <f>+D38*D37</f>
        <v>7281.25</v>
      </c>
    </row>
    <row r="40" spans="1:4" x14ac:dyDescent="0.25">
      <c r="A40" s="57">
        <v>37256</v>
      </c>
      <c r="C40" s="15"/>
      <c r="D40" s="514">
        <v>85004</v>
      </c>
    </row>
    <row r="41" spans="1:4" x14ac:dyDescent="0.25">
      <c r="A41" s="57">
        <v>37261</v>
      </c>
      <c r="C41" s="48"/>
      <c r="D41" s="138">
        <f>+D40+D39</f>
        <v>92285.25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04">
        <v>54582</v>
      </c>
    </row>
    <row r="46" spans="1:4" x14ac:dyDescent="0.25">
      <c r="A46" s="49">
        <f>+A41</f>
        <v>37261</v>
      </c>
      <c r="B46" s="32"/>
      <c r="C46" s="32"/>
      <c r="D46" s="355">
        <f>+D37</f>
        <v>3125</v>
      </c>
    </row>
    <row r="47" spans="1:4" x14ac:dyDescent="0.25">
      <c r="A47" s="32"/>
      <c r="B47" s="32"/>
      <c r="C47" s="32"/>
      <c r="D47" s="14">
        <f>+D46+D45</f>
        <v>57707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G9" sqref="G9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15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4" t="s">
        <v>39</v>
      </c>
      <c r="N4" s="4" t="s">
        <v>19</v>
      </c>
      <c r="O4" s="4" t="s">
        <v>20</v>
      </c>
      <c r="P4" s="41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252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1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4">
        <v>37229</v>
      </c>
      <c r="N18" s="24"/>
      <c r="O18" s="14"/>
      <c r="P18" s="14">
        <f>+O18-N18</f>
        <v>0</v>
      </c>
      <c r="Q18" s="366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1305341</v>
      </c>
      <c r="C35" s="11">
        <f t="shared" ref="C35:I35" si="3">SUM(C4:C34)</f>
        <v>1329072</v>
      </c>
      <c r="D35" s="11">
        <f t="shared" si="3"/>
        <v>182947</v>
      </c>
      <c r="E35" s="11">
        <f t="shared" si="3"/>
        <v>201094</v>
      </c>
      <c r="F35" s="11">
        <f t="shared" si="3"/>
        <v>204818</v>
      </c>
      <c r="G35" s="11">
        <f t="shared" si="3"/>
        <v>232227</v>
      </c>
      <c r="H35" s="11">
        <f t="shared" si="3"/>
        <v>605094</v>
      </c>
      <c r="I35" s="11">
        <f t="shared" si="3"/>
        <v>568447</v>
      </c>
      <c r="J35" s="11">
        <f>SUM(J4:J34)</f>
        <v>32640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5">
      <c r="A38" s="56">
        <v>37256</v>
      </c>
      <c r="C38" s="25"/>
      <c r="E38" s="25"/>
      <c r="G38" s="25"/>
      <c r="I38" s="25"/>
      <c r="J38" s="502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5">
      <c r="A40" s="33">
        <v>37261</v>
      </c>
      <c r="J40" s="51">
        <f>+J38+J35</f>
        <v>32640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37256</v>
      </c>
      <c r="B46" s="32"/>
      <c r="C46" s="32"/>
      <c r="D46" s="49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37261</v>
      </c>
      <c r="B47" s="32"/>
      <c r="C47" s="32"/>
      <c r="D47" s="382">
        <f>+J35*'by type_area'!J3</f>
        <v>72787.199999999997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72787.199999999997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5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5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17"/>
      <c r="S295" s="1"/>
    </row>
    <row r="296" spans="9:21" x14ac:dyDescent="0.25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17"/>
      <c r="S337" s="1"/>
    </row>
    <row r="338" spans="11:21" x14ac:dyDescent="0.25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17"/>
      <c r="S379" s="1"/>
    </row>
    <row r="380" spans="11:21" x14ac:dyDescent="0.25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17"/>
      <c r="S423" s="1"/>
    </row>
    <row r="424" spans="11:21" x14ac:dyDescent="0.25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C32" sqref="C32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5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5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140627</v>
      </c>
      <c r="C37" s="11">
        <f>SUM(C6:C36)</f>
        <v>135296</v>
      </c>
      <c r="D37" s="25">
        <f>SUM(D6:D36)</f>
        <v>-5331</v>
      </c>
    </row>
    <row r="38" spans="1:4" x14ac:dyDescent="0.25">
      <c r="A38" s="26"/>
      <c r="C38" s="14"/>
      <c r="D38" s="329">
        <f>+summary!H5</f>
        <v>2.33</v>
      </c>
    </row>
    <row r="39" spans="1:4" x14ac:dyDescent="0.25">
      <c r="D39" s="138">
        <f>+D38*D37</f>
        <v>-12421.23</v>
      </c>
    </row>
    <row r="40" spans="1:4" x14ac:dyDescent="0.25">
      <c r="A40" s="57">
        <v>37256</v>
      </c>
      <c r="C40" s="15"/>
      <c r="D40" s="513">
        <v>45576</v>
      </c>
    </row>
    <row r="41" spans="1:4" x14ac:dyDescent="0.25">
      <c r="A41" s="57">
        <v>37259</v>
      </c>
      <c r="C41" s="48"/>
      <c r="D41" s="138">
        <f>+D40+D39</f>
        <v>33154.770000000004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4">
        <v>21398</v>
      </c>
    </row>
    <row r="47" spans="1:4" x14ac:dyDescent="0.25">
      <c r="A47" s="49">
        <f>+A41</f>
        <v>37259</v>
      </c>
      <c r="B47" s="32"/>
      <c r="C47" s="32"/>
      <c r="D47" s="355">
        <f>+D37</f>
        <v>-5331</v>
      </c>
    </row>
    <row r="48" spans="1:4" x14ac:dyDescent="0.25">
      <c r="A48" s="32"/>
      <c r="B48" s="32"/>
      <c r="C48" s="32"/>
      <c r="D48" s="14">
        <f>+D47+D46</f>
        <v>16067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B29" sqref="B29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31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/>
      <c r="C6" s="11"/>
      <c r="D6" s="25">
        <f>+C6-B6</f>
        <v>0</v>
      </c>
    </row>
    <row r="7" spans="1:13" x14ac:dyDescent="0.25">
      <c r="A7" s="10">
        <v>2</v>
      </c>
      <c r="B7" s="11"/>
      <c r="C7" s="11"/>
      <c r="D7" s="25">
        <f t="shared" ref="D7:D36" si="0">+C7-B7</f>
        <v>0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/>
      <c r="C10" s="11"/>
      <c r="D10" s="25">
        <f t="shared" si="0"/>
        <v>0</v>
      </c>
    </row>
    <row r="11" spans="1:13" x14ac:dyDescent="0.25">
      <c r="A11" s="10">
        <v>6</v>
      </c>
      <c r="B11" s="11"/>
      <c r="C11" s="11"/>
      <c r="D11" s="25">
        <f t="shared" si="0"/>
        <v>0</v>
      </c>
    </row>
    <row r="12" spans="1:13" x14ac:dyDescent="0.25">
      <c r="A12" s="10">
        <v>7</v>
      </c>
      <c r="B12" s="11"/>
      <c r="C12" s="11"/>
      <c r="D12" s="25">
        <f t="shared" si="0"/>
        <v>0</v>
      </c>
    </row>
    <row r="13" spans="1:13" x14ac:dyDescent="0.25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20" t="s">
        <v>174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39</v>
      </c>
      <c r="I14" s="421" t="s">
        <v>19</v>
      </c>
      <c r="J14" s="421" t="s">
        <v>20</v>
      </c>
      <c r="K14" s="422" t="s">
        <v>49</v>
      </c>
      <c r="L14" s="420" t="s">
        <v>15</v>
      </c>
      <c r="M14" s="189" t="s">
        <v>27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9">
        <f>+summary!H4</f>
        <v>2.29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14">
        <v>-355805</v>
      </c>
    </row>
    <row r="41" spans="1:4" x14ac:dyDescent="0.25">
      <c r="A41" s="57">
        <v>37256</v>
      </c>
      <c r="C41" s="48"/>
      <c r="D41" s="138">
        <f>+D40+D39</f>
        <v>-355805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37256</v>
      </c>
      <c r="B48" s="32"/>
      <c r="C48" s="32"/>
      <c r="D48" s="504">
        <v>-44621</v>
      </c>
    </row>
    <row r="49" spans="1:4" x14ac:dyDescent="0.25">
      <c r="A49" s="49">
        <f>+A41</f>
        <v>37256</v>
      </c>
      <c r="B49" s="32"/>
      <c r="C49" s="32"/>
      <c r="D49" s="355">
        <f>+D37</f>
        <v>0</v>
      </c>
    </row>
    <row r="50" spans="1:4" x14ac:dyDescent="0.25">
      <c r="A50" s="32"/>
      <c r="B50" s="32"/>
      <c r="C50" s="32"/>
      <c r="D50" s="14">
        <f>+D49+D48</f>
        <v>-44621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B34" sqref="B34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31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-214</v>
      </c>
      <c r="C37" s="11">
        <f>SUM(C6:C36)</f>
        <v>0</v>
      </c>
      <c r="D37" s="25">
        <f>SUM(D6:D36)</f>
        <v>214</v>
      </c>
    </row>
    <row r="38" spans="1:4" x14ac:dyDescent="0.25">
      <c r="A38" s="26"/>
      <c r="C38" s="14"/>
      <c r="D38" s="329">
        <f>+summary!H4</f>
        <v>2.29</v>
      </c>
    </row>
    <row r="39" spans="1:4" x14ac:dyDescent="0.25">
      <c r="D39" s="138">
        <f>+D38*D37</f>
        <v>490.06</v>
      </c>
    </row>
    <row r="40" spans="1:4" x14ac:dyDescent="0.25">
      <c r="A40" s="57">
        <v>37256</v>
      </c>
      <c r="C40" s="15"/>
      <c r="D40" s="514">
        <v>67745</v>
      </c>
    </row>
    <row r="41" spans="1:4" x14ac:dyDescent="0.25">
      <c r="A41" s="57">
        <v>37261</v>
      </c>
      <c r="C41" s="48"/>
      <c r="D41" s="138">
        <f>+D40+D39</f>
        <v>68235.06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4">
        <v>36152</v>
      </c>
    </row>
    <row r="47" spans="1:4" x14ac:dyDescent="0.25">
      <c r="A47" s="49">
        <f>+A41</f>
        <v>37261</v>
      </c>
      <c r="B47" s="32"/>
      <c r="C47" s="32"/>
      <c r="D47" s="355">
        <f>+D37</f>
        <v>214</v>
      </c>
    </row>
    <row r="48" spans="1:4" x14ac:dyDescent="0.25">
      <c r="A48" s="32"/>
      <c r="B48" s="32"/>
      <c r="C48" s="32"/>
      <c r="D48" s="14">
        <f>+D47+D46</f>
        <v>36366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A19" sqref="A1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6"/>
      <c r="C5" s="90">
        <v>-378</v>
      </c>
      <c r="D5" s="90">
        <f>+C5-B5</f>
        <v>-378</v>
      </c>
      <c r="E5" s="275"/>
      <c r="F5" s="273"/>
    </row>
    <row r="6" spans="1:13" x14ac:dyDescent="0.25">
      <c r="A6" s="87">
        <v>500046</v>
      </c>
      <c r="B6" s="90">
        <v>-945</v>
      </c>
      <c r="C6" s="90"/>
      <c r="D6" s="90">
        <f t="shared" ref="D6:D11" si="0">+C6-B6</f>
        <v>945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-3031</v>
      </c>
      <c r="C8" s="90">
        <v>-5136</v>
      </c>
      <c r="D8" s="90">
        <f t="shared" si="0"/>
        <v>-2105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-1538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+summary!H4</f>
        <v>2.29</v>
      </c>
      <c r="E13" s="277"/>
      <c r="F13" s="273"/>
    </row>
    <row r="14" spans="1:13" x14ac:dyDescent="0.25">
      <c r="A14" s="87"/>
      <c r="B14" s="88"/>
      <c r="C14" s="88"/>
      <c r="D14" s="96">
        <f>+D13*D12</f>
        <v>-3522.02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37256</v>
      </c>
      <c r="B16" s="88"/>
      <c r="C16" s="88"/>
      <c r="D16" s="511">
        <v>-538712.04</v>
      </c>
      <c r="E16" s="207"/>
      <c r="F16" s="66"/>
    </row>
    <row r="17" spans="1:7" x14ac:dyDescent="0.25">
      <c r="A17" s="87"/>
      <c r="B17" s="88"/>
      <c r="C17" s="88"/>
      <c r="D17" s="311"/>
      <c r="E17" s="207"/>
      <c r="F17" s="66"/>
    </row>
    <row r="18" spans="1:7" ht="13.8" thickBot="1" x14ac:dyDescent="0.3">
      <c r="A18" s="99">
        <v>37259</v>
      </c>
      <c r="B18" s="88"/>
      <c r="C18" s="88"/>
      <c r="D18" s="321">
        <f>+D16+D14</f>
        <v>-542234.06000000006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37256</v>
      </c>
      <c r="B22" s="32"/>
      <c r="C22" s="32"/>
      <c r="D22" s="504">
        <v>-37276</v>
      </c>
    </row>
    <row r="23" spans="1:7" x14ac:dyDescent="0.25">
      <c r="A23" s="49">
        <f>+A18</f>
        <v>37259</v>
      </c>
      <c r="B23" s="32"/>
      <c r="C23" s="32"/>
      <c r="D23" s="355">
        <f>+D12</f>
        <v>-1538</v>
      </c>
    </row>
    <row r="24" spans="1:7" x14ac:dyDescent="0.25">
      <c r="A24" s="32"/>
      <c r="B24" s="32"/>
      <c r="C24" s="32"/>
      <c r="D24" s="14">
        <f>+D23+D22</f>
        <v>-38814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C12" sqref="C12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-175</v>
      </c>
      <c r="C6" s="11"/>
      <c r="D6" s="25">
        <f>+C6-B6</f>
        <v>175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5">
      <c r="A11" s="10">
        <v>6</v>
      </c>
      <c r="B11" s="11">
        <v>-31500</v>
      </c>
      <c r="C11" s="11">
        <v>-16528</v>
      </c>
      <c r="D11" s="25">
        <f t="shared" si="0"/>
        <v>14972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-31675</v>
      </c>
      <c r="C37" s="11">
        <f>SUM(C6:C36)</f>
        <v>-35056</v>
      </c>
      <c r="D37" s="25">
        <f>SUM(D6:D36)</f>
        <v>-3381</v>
      </c>
    </row>
    <row r="38" spans="1:4" x14ac:dyDescent="0.25">
      <c r="A38" s="26"/>
      <c r="C38" s="14"/>
      <c r="D38" s="342"/>
    </row>
    <row r="39" spans="1:4" x14ac:dyDescent="0.25">
      <c r="D39" s="138"/>
    </row>
    <row r="40" spans="1:4" x14ac:dyDescent="0.25">
      <c r="A40" s="57">
        <v>37256</v>
      </c>
      <c r="C40" s="15"/>
      <c r="D40" s="502">
        <v>-8253</v>
      </c>
    </row>
    <row r="41" spans="1:4" x14ac:dyDescent="0.25">
      <c r="A41" s="57">
        <v>37262</v>
      </c>
      <c r="C41" s="48"/>
      <c r="D41" s="25">
        <f>+D40+D37</f>
        <v>-11634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37256</v>
      </c>
      <c r="B45" s="32"/>
      <c r="C45" s="32"/>
      <c r="D45" s="497">
        <v>163235</v>
      </c>
    </row>
    <row r="46" spans="1:4" x14ac:dyDescent="0.25">
      <c r="A46" s="49">
        <f>+A41</f>
        <v>37262</v>
      </c>
      <c r="B46" s="32"/>
      <c r="C46" s="32"/>
      <c r="D46" s="382">
        <f>+D37*'by type_area'!J4</f>
        <v>-7742.49</v>
      </c>
    </row>
    <row r="47" spans="1:4" x14ac:dyDescent="0.25">
      <c r="A47" s="32"/>
      <c r="B47" s="32"/>
      <c r="C47" s="32"/>
      <c r="D47" s="200">
        <f>+D46+D45</f>
        <v>155492.51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241</v>
      </c>
      <c r="C3" s="87"/>
      <c r="D3" s="87"/>
    </row>
    <row r="4" spans="1:4" x14ac:dyDescent="0.25">
      <c r="A4" s="3"/>
      <c r="B4" s="331" t="s">
        <v>240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9">
        <f>+summary!H5</f>
        <v>2.33</v>
      </c>
    </row>
    <row r="39" spans="1:4" x14ac:dyDescent="0.25">
      <c r="D39" s="138">
        <f>+D38*D37</f>
        <v>0</v>
      </c>
    </row>
    <row r="40" spans="1:4" x14ac:dyDescent="0.25">
      <c r="A40" s="57">
        <v>37225</v>
      </c>
      <c r="C40" s="15"/>
      <c r="D40" s="514">
        <v>-195699.5</v>
      </c>
    </row>
    <row r="41" spans="1:4" x14ac:dyDescent="0.25">
      <c r="A41" s="57">
        <v>37225</v>
      </c>
      <c r="C41" s="48"/>
      <c r="D41" s="138">
        <f>+D40+D39</f>
        <v>-195699.5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04">
        <v>-47898</v>
      </c>
    </row>
    <row r="47" spans="1:4" x14ac:dyDescent="0.25">
      <c r="A47" s="49">
        <f>+A41</f>
        <v>37225</v>
      </c>
      <c r="B47" s="32"/>
      <c r="C47" s="32"/>
      <c r="D47" s="467">
        <f>+D37</f>
        <v>0</v>
      </c>
    </row>
    <row r="48" spans="1:4" x14ac:dyDescent="0.25">
      <c r="A48" s="32"/>
      <c r="B48" s="32"/>
      <c r="C48" s="32"/>
      <c r="D48" s="14">
        <f>+D47+D46</f>
        <v>-47898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2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8" t="s">
        <v>242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201</v>
      </c>
      <c r="C4" s="4"/>
      <c r="D4" s="38" t="s">
        <v>202</v>
      </c>
      <c r="E4" s="4"/>
      <c r="F4" s="38" t="s">
        <v>203</v>
      </c>
      <c r="G4" s="4"/>
      <c r="H4" s="38" t="s">
        <v>204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-196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382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-583</v>
      </c>
      <c r="C37" s="11">
        <f t="shared" ref="C37:I37" si="1">SUM(C6:C36)</f>
        <v>-510</v>
      </c>
      <c r="D37" s="11">
        <f t="shared" si="1"/>
        <v>0</v>
      </c>
      <c r="E37" s="11">
        <f t="shared" si="1"/>
        <v>0</v>
      </c>
      <c r="F37" s="11">
        <f t="shared" si="1"/>
        <v>-4585</v>
      </c>
      <c r="G37" s="11">
        <f t="shared" si="1"/>
        <v>-3150</v>
      </c>
      <c r="H37" s="11">
        <f t="shared" si="1"/>
        <v>0</v>
      </c>
      <c r="I37" s="11">
        <f t="shared" si="1"/>
        <v>0</v>
      </c>
      <c r="J37" s="11">
        <f>SUM(J6:J36)</f>
        <v>1508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+summary!H4</f>
        <v>2.29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3453.32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37256</v>
      </c>
      <c r="C41" s="25"/>
      <c r="E41" s="25"/>
      <c r="G41" s="25"/>
      <c r="I41" s="25"/>
      <c r="J41" s="503">
        <v>-35583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22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37259</v>
      </c>
      <c r="J43" s="322">
        <f>+J41+J39</f>
        <v>-32129.68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37256</v>
      </c>
      <c r="B48" s="32"/>
      <c r="C48" s="32"/>
      <c r="D48" s="504">
        <v>-3453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37259</v>
      </c>
      <c r="B49" s="32"/>
      <c r="C49" s="32"/>
      <c r="D49" s="355">
        <f>+J37</f>
        <v>1508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-1945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F33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306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308</v>
      </c>
      <c r="C4" s="4"/>
      <c r="D4" s="38" t="s">
        <v>309</v>
      </c>
      <c r="E4" s="4"/>
      <c r="F4" s="38" t="s">
        <v>310</v>
      </c>
      <c r="G4" s="4"/>
      <c r="H4" s="38" t="s">
        <v>311</v>
      </c>
      <c r="I4" s="4"/>
      <c r="J4" s="38" t="s">
        <v>312</v>
      </c>
      <c r="K4" s="4"/>
      <c r="L4" s="38" t="s">
        <v>313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528"/>
      <c r="C6" s="11"/>
      <c r="D6" s="528"/>
      <c r="E6" s="11"/>
      <c r="F6" s="528"/>
      <c r="G6" s="11"/>
      <c r="H6" s="528"/>
      <c r="I6" s="11"/>
      <c r="J6" s="528"/>
      <c r="K6" s="11"/>
      <c r="L6" s="11">
        <v>-675</v>
      </c>
      <c r="M6" s="11">
        <v>-581</v>
      </c>
      <c r="N6" s="11">
        <f>+M6+K6+I6+G6+E6+C6-L6-J6-H6-F6-D6-B6</f>
        <v>94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528"/>
      <c r="C7" s="11"/>
      <c r="D7" s="528"/>
      <c r="E7" s="11"/>
      <c r="F7" s="528"/>
      <c r="G7" s="11"/>
      <c r="H7" s="528"/>
      <c r="I7" s="11"/>
      <c r="J7" s="528"/>
      <c r="K7" s="11"/>
      <c r="L7" s="11">
        <v>-926</v>
      </c>
      <c r="M7" s="11">
        <v>-581</v>
      </c>
      <c r="N7" s="11">
        <f t="shared" ref="N7:N36" si="0">+M7+K7+I7+G7+E7+C7-L7-J7-H7-F7-D7-B7</f>
        <v>345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528"/>
      <c r="C8" s="11"/>
      <c r="D8" s="528"/>
      <c r="E8" s="11"/>
      <c r="F8" s="528"/>
      <c r="G8" s="11"/>
      <c r="H8" s="528"/>
      <c r="I8" s="11"/>
      <c r="J8" s="528"/>
      <c r="K8" s="11"/>
      <c r="L8" s="11">
        <v>-905</v>
      </c>
      <c r="M8" s="11">
        <v>-581</v>
      </c>
      <c r="N8" s="11">
        <f t="shared" si="0"/>
        <v>324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528"/>
      <c r="C9" s="11"/>
      <c r="D9" s="528"/>
      <c r="E9" s="11"/>
      <c r="F9" s="528"/>
      <c r="G9" s="11"/>
      <c r="H9" s="528"/>
      <c r="I9" s="11"/>
      <c r="J9" s="528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528"/>
      <c r="C10" s="11"/>
      <c r="D10" s="528"/>
      <c r="E10" s="11"/>
      <c r="F10" s="528"/>
      <c r="G10" s="11"/>
      <c r="H10" s="528"/>
      <c r="I10" s="11"/>
      <c r="J10" s="528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528"/>
      <c r="C11" s="11"/>
      <c r="D11" s="528"/>
      <c r="E11" s="11"/>
      <c r="F11" s="528"/>
      <c r="G11" s="11"/>
      <c r="H11" s="528"/>
      <c r="I11" s="11"/>
      <c r="J11" s="528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528"/>
      <c r="C12" s="11"/>
      <c r="D12" s="528"/>
      <c r="E12" s="11"/>
      <c r="F12" s="528"/>
      <c r="G12" s="11"/>
      <c r="H12" s="528"/>
      <c r="I12" s="11"/>
      <c r="J12" s="52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528"/>
      <c r="C13" s="11"/>
      <c r="D13" s="528"/>
      <c r="E13" s="11"/>
      <c r="F13" s="528"/>
      <c r="G13" s="11"/>
      <c r="H13" s="528"/>
      <c r="I13" s="11"/>
      <c r="J13" s="52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528"/>
      <c r="C14" s="11"/>
      <c r="D14" s="528"/>
      <c r="E14" s="11"/>
      <c r="F14" s="528"/>
      <c r="G14" s="11"/>
      <c r="H14" s="528"/>
      <c r="I14" s="11"/>
      <c r="J14" s="52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528"/>
      <c r="C15" s="11"/>
      <c r="D15" s="528"/>
      <c r="E15" s="11"/>
      <c r="F15" s="528"/>
      <c r="G15" s="11"/>
      <c r="H15" s="528"/>
      <c r="I15" s="11"/>
      <c r="J15" s="52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528"/>
      <c r="C16" s="11"/>
      <c r="D16" s="528"/>
      <c r="E16" s="11"/>
      <c r="F16" s="528"/>
      <c r="G16" s="11"/>
      <c r="H16" s="528"/>
      <c r="I16" s="11"/>
      <c r="J16" s="52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528"/>
      <c r="C17" s="11"/>
      <c r="D17" s="528"/>
      <c r="E17" s="11"/>
      <c r="F17" s="528"/>
      <c r="G17" s="11"/>
      <c r="H17" s="528"/>
      <c r="I17" s="11"/>
      <c r="J17" s="52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528"/>
      <c r="C18" s="11"/>
      <c r="D18" s="528"/>
      <c r="E18" s="11"/>
      <c r="F18" s="528"/>
      <c r="G18" s="11"/>
      <c r="H18" s="528"/>
      <c r="I18" s="11"/>
      <c r="J18" s="52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528"/>
      <c r="C19" s="11"/>
      <c r="D19" s="528"/>
      <c r="E19" s="11"/>
      <c r="F19" s="528"/>
      <c r="G19" s="11"/>
      <c r="H19" s="528"/>
      <c r="I19" s="11"/>
      <c r="J19" s="52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528"/>
      <c r="C20" s="11"/>
      <c r="D20" s="528"/>
      <c r="E20" s="11"/>
      <c r="F20" s="528"/>
      <c r="G20" s="11"/>
      <c r="H20" s="528"/>
      <c r="I20" s="11"/>
      <c r="J20" s="52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528"/>
      <c r="C21" s="11"/>
      <c r="D21" s="528"/>
      <c r="E21" s="11"/>
      <c r="F21" s="528"/>
      <c r="G21" s="11"/>
      <c r="H21" s="528"/>
      <c r="I21" s="11"/>
      <c r="J21" s="52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528"/>
      <c r="C22" s="11"/>
      <c r="D22" s="528"/>
      <c r="E22" s="11"/>
      <c r="F22" s="528"/>
      <c r="G22" s="11"/>
      <c r="H22" s="528"/>
      <c r="I22" s="11"/>
      <c r="J22" s="52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528"/>
      <c r="C23" s="11"/>
      <c r="D23" s="528"/>
      <c r="E23" s="11"/>
      <c r="F23" s="528"/>
      <c r="G23" s="11"/>
      <c r="H23" s="528"/>
      <c r="I23" s="11"/>
      <c r="J23" s="52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528"/>
      <c r="C24" s="11"/>
      <c r="D24" s="528"/>
      <c r="E24" s="11"/>
      <c r="F24" s="528"/>
      <c r="G24" s="11"/>
      <c r="H24" s="528"/>
      <c r="I24" s="11"/>
      <c r="J24" s="52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528"/>
      <c r="C25" s="11"/>
      <c r="D25" s="528"/>
      <c r="E25" s="11"/>
      <c r="F25" s="528"/>
      <c r="G25" s="11"/>
      <c r="H25" s="528"/>
      <c r="I25" s="11"/>
      <c r="J25" s="52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528"/>
      <c r="C26" s="11"/>
      <c r="D26" s="528"/>
      <c r="E26" s="11"/>
      <c r="F26" s="528"/>
      <c r="G26" s="11"/>
      <c r="H26" s="528"/>
      <c r="I26" s="11"/>
      <c r="J26" s="52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528"/>
      <c r="C27" s="11"/>
      <c r="D27" s="528"/>
      <c r="E27" s="11"/>
      <c r="F27" s="528"/>
      <c r="G27" s="11"/>
      <c r="H27" s="528"/>
      <c r="I27" s="11"/>
      <c r="J27" s="52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528"/>
      <c r="C28" s="11"/>
      <c r="D28" s="528"/>
      <c r="E28" s="11"/>
      <c r="F28" s="528"/>
      <c r="G28" s="11"/>
      <c r="H28" s="528"/>
      <c r="I28" s="11"/>
      <c r="J28" s="52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528"/>
      <c r="C29" s="11"/>
      <c r="D29" s="528"/>
      <c r="E29" s="11"/>
      <c r="F29" s="528"/>
      <c r="G29" s="11"/>
      <c r="H29" s="528"/>
      <c r="I29" s="11"/>
      <c r="J29" s="52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528"/>
      <c r="C30" s="11"/>
      <c r="D30" s="528"/>
      <c r="E30" s="11"/>
      <c r="F30" s="528"/>
      <c r="G30" s="11"/>
      <c r="H30" s="528"/>
      <c r="I30" s="11"/>
      <c r="J30" s="52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-2506</v>
      </c>
      <c r="M37" s="11">
        <f>SUM(M6:M36)</f>
        <v>-1743</v>
      </c>
      <c r="N37" s="11">
        <f t="shared" si="1"/>
        <v>763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+summary!H4</f>
        <v>2.29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1747.27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37256</v>
      </c>
      <c r="C41" s="25"/>
      <c r="E41" s="25"/>
      <c r="G41" s="25"/>
      <c r="I41" s="25"/>
      <c r="K41" s="25"/>
      <c r="M41" s="25"/>
      <c r="N41" s="503">
        <v>32494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22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37259</v>
      </c>
      <c r="N43" s="322">
        <f>+N41+N39</f>
        <v>34241.269999999997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37256</v>
      </c>
      <c r="B48" s="32"/>
      <c r="C48" s="32"/>
      <c r="D48" s="504">
        <v>12039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37259</v>
      </c>
      <c r="B49" s="32"/>
      <c r="C49" s="32"/>
      <c r="D49" s="355">
        <f>+N37</f>
        <v>763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12802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206</v>
      </c>
      <c r="C3" s="87"/>
      <c r="D3" s="87"/>
    </row>
    <row r="4" spans="1:4" x14ac:dyDescent="0.25">
      <c r="A4" s="3"/>
      <c r="B4" s="331" t="s">
        <v>207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5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5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5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5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1047</v>
      </c>
      <c r="C37" s="11">
        <f>SUM(C6:C36)</f>
        <v>750</v>
      </c>
      <c r="D37" s="25">
        <f>SUM(D6:D36)</f>
        <v>-297</v>
      </c>
    </row>
    <row r="38" spans="1:4" x14ac:dyDescent="0.25">
      <c r="A38" s="26"/>
      <c r="C38" s="14"/>
      <c r="D38" s="329">
        <f>+summary!H5</f>
        <v>2.33</v>
      </c>
    </row>
    <row r="39" spans="1:4" x14ac:dyDescent="0.25">
      <c r="D39" s="138">
        <f>+D38*D37</f>
        <v>-692.01</v>
      </c>
    </row>
    <row r="40" spans="1:4" x14ac:dyDescent="0.25">
      <c r="A40" s="57">
        <v>37256</v>
      </c>
      <c r="C40" s="15"/>
      <c r="D40" s="514">
        <v>180032</v>
      </c>
    </row>
    <row r="41" spans="1:4" x14ac:dyDescent="0.25">
      <c r="A41" s="57">
        <v>37261</v>
      </c>
      <c r="C41" s="48"/>
      <c r="D41" s="138">
        <f>+D40+D39</f>
        <v>179339.99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4">
        <v>78993</v>
      </c>
    </row>
    <row r="47" spans="1:4" x14ac:dyDescent="0.25">
      <c r="A47" s="49">
        <f>+A41</f>
        <v>37261</v>
      </c>
      <c r="B47" s="32"/>
      <c r="C47" s="32"/>
      <c r="D47" s="355">
        <f>+D37</f>
        <v>-297</v>
      </c>
    </row>
    <row r="48" spans="1:4" x14ac:dyDescent="0.25">
      <c r="A48" s="32"/>
      <c r="B48" s="32"/>
      <c r="C48" s="32"/>
      <c r="D48" s="14">
        <f>+D47+D46</f>
        <v>78696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D40" sqref="D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209</v>
      </c>
      <c r="C3" s="87"/>
      <c r="D3" s="87"/>
    </row>
    <row r="4" spans="1:4" x14ac:dyDescent="0.25">
      <c r="A4" s="3"/>
      <c r="B4" s="331" t="s">
        <v>210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5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5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5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5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487</v>
      </c>
      <c r="C37" s="11">
        <f>SUM(C6:C36)</f>
        <v>2205</v>
      </c>
      <c r="D37" s="25">
        <f>SUM(D6:D36)</f>
        <v>1718</v>
      </c>
    </row>
    <row r="38" spans="1:4" x14ac:dyDescent="0.25">
      <c r="A38" s="26"/>
      <c r="C38" s="14"/>
      <c r="D38" s="329">
        <f>+summary!H5</f>
        <v>2.33</v>
      </c>
    </row>
    <row r="39" spans="1:4" x14ac:dyDescent="0.25">
      <c r="D39" s="138">
        <f>+D38*D37</f>
        <v>4002.94</v>
      </c>
    </row>
    <row r="40" spans="1:4" x14ac:dyDescent="0.25">
      <c r="A40" s="57">
        <v>37256</v>
      </c>
      <c r="C40" s="15"/>
      <c r="D40" s="514">
        <v>161290</v>
      </c>
    </row>
    <row r="41" spans="1:4" x14ac:dyDescent="0.25">
      <c r="A41" s="57">
        <v>37261</v>
      </c>
      <c r="C41" s="48"/>
      <c r="D41" s="138">
        <f>+D40+D39</f>
        <v>165292.94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4">
        <v>33970</v>
      </c>
    </row>
    <row r="47" spans="1:4" x14ac:dyDescent="0.25">
      <c r="A47" s="49">
        <f>+A41</f>
        <v>37261</v>
      </c>
      <c r="B47" s="32"/>
      <c r="C47" s="32"/>
      <c r="D47" s="355">
        <f>+D37</f>
        <v>1718</v>
      </c>
    </row>
    <row r="48" spans="1:4" x14ac:dyDescent="0.25">
      <c r="A48" s="32"/>
      <c r="B48" s="32"/>
      <c r="C48" s="32"/>
      <c r="D48" s="14">
        <f>+D47+D46</f>
        <v>35688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E33" sqref="E33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5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5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5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5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5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5">
      <c r="A36" s="41"/>
      <c r="B36" s="11">
        <f>SUM(B5:B35)</f>
        <v>-59339</v>
      </c>
      <c r="C36" s="44">
        <f>SUM(C5:C35)</f>
        <v>-59869</v>
      </c>
      <c r="D36" s="43">
        <f>SUM(D5:D35)</f>
        <v>-262091</v>
      </c>
      <c r="E36" s="43">
        <f>SUM(E5:E35)</f>
        <v>-258560</v>
      </c>
      <c r="F36" s="11">
        <f>SUM(F5:F35)</f>
        <v>3001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5">
      <c r="A39" s="32"/>
      <c r="B39" s="32"/>
      <c r="C39" s="15"/>
      <c r="D39" s="15"/>
      <c r="E39" s="15"/>
      <c r="F39" s="510">
        <f>+summary!H5</f>
        <v>2.33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5">
      <c r="A40" s="32"/>
      <c r="B40" s="32"/>
      <c r="C40" s="48"/>
      <c r="D40" s="47"/>
      <c r="E40" s="48"/>
      <c r="F40" s="46">
        <f>+F39*F36</f>
        <v>6992.33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5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5">
      <c r="A42" s="57">
        <v>37256</v>
      </c>
      <c r="B42" s="32"/>
      <c r="C42" s="470"/>
      <c r="D42" s="111"/>
      <c r="E42" s="470"/>
      <c r="F42" s="509">
        <v>9686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5">
      <c r="A43" s="57">
        <v>37261</v>
      </c>
      <c r="B43" s="32"/>
      <c r="C43" s="106"/>
      <c r="D43" s="106"/>
      <c r="E43" s="106"/>
      <c r="F43" s="24">
        <f>+F40+F42</f>
        <v>16678.330000000002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5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5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5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5">
      <c r="A47" s="32" t="s">
        <v>322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5">
      <c r="A48" s="49">
        <f>+A42</f>
        <v>37256</v>
      </c>
      <c r="B48" s="32"/>
      <c r="C48" s="32"/>
      <c r="D48" s="539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5">
      <c r="A49" s="49">
        <f>+A43</f>
        <v>37261</v>
      </c>
      <c r="B49" s="32"/>
      <c r="C49" s="32"/>
      <c r="D49" s="76">
        <f>+F36</f>
        <v>3001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5">
      <c r="A50" s="32"/>
      <c r="B50" s="32"/>
      <c r="C50" s="32"/>
      <c r="D50" s="75">
        <f>+D49+D48</f>
        <v>22944.240000000002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5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5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5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5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5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5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5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5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5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5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5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5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5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5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5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5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5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5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5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5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5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5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5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5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5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5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5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5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5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5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5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5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5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5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5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5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5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5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5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5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5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5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5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5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5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5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5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5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5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5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5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5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5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5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5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5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5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5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5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5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5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5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5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5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5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5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5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5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5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5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5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5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5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5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5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5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5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5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5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5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5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5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5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5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5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5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5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5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5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5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5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5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5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5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5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5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5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5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5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5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5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5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5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5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5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5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5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5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5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5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5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5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5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5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5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5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5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5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5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5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5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5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5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5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5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5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5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5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5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5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5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5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5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5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5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5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5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5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5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5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5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5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5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5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5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5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5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5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5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5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5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5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5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5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5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5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5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5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5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5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5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5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5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5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5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5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5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5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5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5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5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5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5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5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212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214</v>
      </c>
      <c r="C3" s="208"/>
      <c r="D3" s="453" t="s">
        <v>215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213</v>
      </c>
      <c r="C4" s="32"/>
      <c r="D4" s="231" t="s">
        <v>216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-2108</v>
      </c>
      <c r="C8" s="24">
        <v>-1613</v>
      </c>
      <c r="D8" s="24">
        <v>-2614</v>
      </c>
      <c r="E8" s="24">
        <v>-2000</v>
      </c>
      <c r="F8" s="24">
        <f t="shared" si="0"/>
        <v>1109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-6757</v>
      </c>
      <c r="C37" s="24">
        <f>SUM(C6:C36)</f>
        <v>-4839</v>
      </c>
      <c r="D37" s="24">
        <f>SUM(D6:D36)</f>
        <v>-6063</v>
      </c>
      <c r="E37" s="24">
        <f>SUM(E6:E36)</f>
        <v>-6000</v>
      </c>
      <c r="F37" s="24">
        <f>SUM(F6:F36)</f>
        <v>1981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2.29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4536.49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C40" s="322"/>
      <c r="D40" s="262"/>
      <c r="E40" s="262"/>
      <c r="F40" s="512">
        <v>-133109.25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37259</v>
      </c>
      <c r="C41" s="322"/>
      <c r="D41" s="262"/>
      <c r="E41" s="262"/>
      <c r="F41" s="104">
        <f>+F40+F39</f>
        <v>-128572.76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-40794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37259</v>
      </c>
      <c r="B47" s="32"/>
      <c r="C47" s="32"/>
      <c r="D47" s="355">
        <f>+F37</f>
        <v>1981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-38813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220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221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222</v>
      </c>
      <c r="C3" s="208"/>
      <c r="D3" s="453" t="s">
        <v>224</v>
      </c>
      <c r="E3" s="207"/>
      <c r="F3" s="453" t="s">
        <v>226</v>
      </c>
      <c r="G3" s="207"/>
      <c r="H3" s="453" t="s">
        <v>228</v>
      </c>
      <c r="I3" s="207"/>
      <c r="J3" s="453" t="s">
        <v>230</v>
      </c>
      <c r="K3" s="207"/>
      <c r="L3" s="453" t="s">
        <v>232</v>
      </c>
      <c r="M3" s="207"/>
      <c r="N3" s="453" t="s">
        <v>234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223</v>
      </c>
      <c r="C4" s="32"/>
      <c r="D4" s="231" t="s">
        <v>225</v>
      </c>
      <c r="E4" s="24"/>
      <c r="F4" s="231" t="s">
        <v>227</v>
      </c>
      <c r="G4" s="24"/>
      <c r="H4" s="231" t="s">
        <v>229</v>
      </c>
      <c r="I4" s="24"/>
      <c r="J4" s="231" t="s">
        <v>231</v>
      </c>
      <c r="K4" s="24"/>
      <c r="L4" s="231" t="s">
        <v>233</v>
      </c>
      <c r="M4" s="24"/>
      <c r="N4" s="231" t="s">
        <v>235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-2223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63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-2302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146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-2221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61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-6746</v>
      </c>
      <c r="C37" s="24">
        <f t="shared" si="1"/>
        <v>-6405</v>
      </c>
      <c r="D37" s="24">
        <f t="shared" si="1"/>
        <v>-4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270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+summary!H4</f>
        <v>2.29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618.29999999999995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37256</v>
      </c>
      <c r="E40" s="14"/>
      <c r="O40" s="450"/>
      <c r="P40" s="512">
        <v>114286.65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37259</v>
      </c>
      <c r="E41" s="14"/>
      <c r="O41" s="450"/>
      <c r="P41" s="104">
        <f>+P40+P39</f>
        <v>114904.95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04">
        <v>48091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37259</v>
      </c>
      <c r="B47" s="32"/>
      <c r="C47" s="32"/>
      <c r="D47" s="355">
        <f>+P37</f>
        <v>270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48361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2" sqref="C3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301</v>
      </c>
      <c r="C3" s="87"/>
      <c r="D3" s="87"/>
    </row>
    <row r="4" spans="1:4" x14ac:dyDescent="0.25">
      <c r="A4" s="3"/>
      <c r="B4" s="331" t="s">
        <v>300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5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5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-40966</v>
      </c>
      <c r="C37" s="11">
        <f>SUM(C6:C36)</f>
        <v>-42000</v>
      </c>
      <c r="D37" s="25">
        <f>SUM(D6:D36)</f>
        <v>-1034</v>
      </c>
    </row>
    <row r="38" spans="1:4" x14ac:dyDescent="0.25">
      <c r="A38" s="26"/>
      <c r="C38" s="14"/>
      <c r="D38" s="329">
        <f>+summary!H4</f>
        <v>2.29</v>
      </c>
    </row>
    <row r="39" spans="1:4" x14ac:dyDescent="0.25">
      <c r="D39" s="138">
        <f>+D38*D37</f>
        <v>-2367.86</v>
      </c>
    </row>
    <row r="40" spans="1:4" x14ac:dyDescent="0.25">
      <c r="A40" s="57">
        <v>37256</v>
      </c>
      <c r="C40" s="15"/>
      <c r="D40" s="514">
        <v>-17240</v>
      </c>
    </row>
    <row r="41" spans="1:4" x14ac:dyDescent="0.25">
      <c r="A41" s="57">
        <v>36894</v>
      </c>
      <c r="C41" s="48"/>
      <c r="D41" s="138">
        <f>+D40+D39</f>
        <v>-19607.86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4">
        <v>5329</v>
      </c>
    </row>
    <row r="47" spans="1:4" x14ac:dyDescent="0.25">
      <c r="A47" s="49">
        <f>+A41</f>
        <v>36894</v>
      </c>
      <c r="B47" s="32"/>
      <c r="C47" s="32"/>
      <c r="D47" s="355">
        <f>+D37</f>
        <v>-1034</v>
      </c>
    </row>
    <row r="48" spans="1:4" x14ac:dyDescent="0.25">
      <c r="A48" s="32"/>
      <c r="B48" s="32"/>
      <c r="C48" s="32"/>
      <c r="D48" s="14">
        <f>+D47+D46</f>
        <v>4295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10" sqref="C10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5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5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5">
      <c r="A10" s="10">
        <v>4</v>
      </c>
      <c r="B10" s="11"/>
      <c r="C10" s="11"/>
      <c r="D10" s="25">
        <f t="shared" si="0"/>
        <v>0</v>
      </c>
    </row>
    <row r="11" spans="1:4" x14ac:dyDescent="0.25">
      <c r="A11" s="10">
        <v>5</v>
      </c>
      <c r="B11" s="129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470028</v>
      </c>
      <c r="C38" s="11">
        <f>SUM(C7:C37)</f>
        <v>472785</v>
      </c>
      <c r="D38" s="11">
        <f>SUM(D7:D37)</f>
        <v>2757</v>
      </c>
    </row>
    <row r="39" spans="1:8" x14ac:dyDescent="0.25">
      <c r="A39" s="26"/>
      <c r="C39" s="14"/>
      <c r="D39" s="106">
        <f>+summary!H3</f>
        <v>2.23</v>
      </c>
    </row>
    <row r="40" spans="1:8" x14ac:dyDescent="0.25">
      <c r="D40" s="138">
        <f>+D39*D38</f>
        <v>6148.11</v>
      </c>
      <c r="H40">
        <v>20</v>
      </c>
    </row>
    <row r="41" spans="1:8" x14ac:dyDescent="0.25">
      <c r="A41" s="57">
        <v>37256</v>
      </c>
      <c r="C41" s="15"/>
      <c r="D41" s="535">
        <v>47283</v>
      </c>
      <c r="H41">
        <v>530</v>
      </c>
    </row>
    <row r="42" spans="1:8" x14ac:dyDescent="0.25">
      <c r="A42" s="57">
        <v>37259</v>
      </c>
      <c r="D42" s="322">
        <f>+D41+D40</f>
        <v>53431.11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37256</v>
      </c>
      <c r="B47" s="32"/>
      <c r="C47" s="32"/>
      <c r="D47" s="504">
        <v>20412</v>
      </c>
    </row>
    <row r="48" spans="1:8" x14ac:dyDescent="0.25">
      <c r="A48" s="49">
        <f>+A42</f>
        <v>37259</v>
      </c>
      <c r="B48" s="32"/>
      <c r="C48" s="32"/>
      <c r="D48" s="355">
        <f>+D38</f>
        <v>2757</v>
      </c>
    </row>
    <row r="49" spans="1:4" x14ac:dyDescent="0.25">
      <c r="A49" s="32"/>
      <c r="B49" s="32"/>
      <c r="C49" s="32"/>
      <c r="D49" s="14">
        <f>+D48+D47</f>
        <v>23169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A41" sqref="A41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5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5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5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5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5">
      <c r="A9" s="10">
        <v>6</v>
      </c>
      <c r="B9" s="129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-970031</v>
      </c>
      <c r="C35" s="11">
        <f>SUM(C4:C34)</f>
        <v>-985946</v>
      </c>
      <c r="D35" s="11">
        <f>SUM(D4:D34)</f>
        <v>-15915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37256</v>
      </c>
      <c r="D38" s="526">
        <v>59071</v>
      </c>
    </row>
    <row r="39" spans="1:30" x14ac:dyDescent="0.25">
      <c r="A39" s="12"/>
      <c r="D39" s="51"/>
    </row>
    <row r="40" spans="1:30" x14ac:dyDescent="0.25">
      <c r="A40" s="245">
        <v>37261</v>
      </c>
      <c r="D40" s="51">
        <f>+D38+D35</f>
        <v>43156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82"/>
      <c r="K44"/>
    </row>
    <row r="45" spans="1:30" x14ac:dyDescent="0.25">
      <c r="A45" s="49">
        <f>+A38</f>
        <v>37256</v>
      </c>
      <c r="B45" s="32"/>
      <c r="C45" s="32"/>
      <c r="D45" s="497">
        <v>12453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37261</v>
      </c>
      <c r="B46" s="32"/>
      <c r="C46" s="32"/>
      <c r="D46" s="382">
        <f>+D35*'by type_area'!J4</f>
        <v>-36445.35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-23992.35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2" sqref="C32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5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5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5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5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5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5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-2509615</v>
      </c>
      <c r="C35" s="11">
        <f>SUM(C4:C34)</f>
        <v>-2491992</v>
      </c>
      <c r="D35" s="11">
        <f>SUM(D4:D34)</f>
        <v>0</v>
      </c>
      <c r="E35" s="11">
        <f>SUM(E4:E34)</f>
        <v>0</v>
      </c>
      <c r="F35" s="11">
        <f>SUM(F4:F34)</f>
        <v>17623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37256</v>
      </c>
      <c r="D38" s="246"/>
      <c r="E38" s="246"/>
      <c r="F38" s="496">
        <v>104420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37261</v>
      </c>
      <c r="D40" s="246"/>
      <c r="E40" s="246"/>
      <c r="F40" s="51">
        <f>+F38+F35</f>
        <v>122043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6" x14ac:dyDescent="0.3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5">
      <c r="A44" s="32" t="s">
        <v>150</v>
      </c>
      <c r="B44" s="32"/>
      <c r="C44" s="32"/>
      <c r="D44" s="482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5">
      <c r="A45" s="49">
        <f>+A38</f>
        <v>37256</v>
      </c>
      <c r="B45" s="32"/>
      <c r="C45" s="32"/>
      <c r="D45" s="497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5">
      <c r="A46" s="49">
        <f>+A40</f>
        <v>37261</v>
      </c>
      <c r="B46" s="32"/>
      <c r="C46" s="32"/>
      <c r="D46" s="483">
        <f>+F35*'by type_area'!J4</f>
        <v>40356.67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5">
      <c r="A47" s="32"/>
      <c r="B47" s="32"/>
      <c r="C47" s="32"/>
      <c r="D47" s="481">
        <f>+D46+D45</f>
        <v>372273.67</v>
      </c>
      <c r="E47" s="246"/>
      <c r="F47" s="484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5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5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5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5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5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5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5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5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5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5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5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5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5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5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5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5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5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5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5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5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5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5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5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B24" sqref="B24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4"/>
      <c r="L2" s="38"/>
      <c r="M2" s="4"/>
    </row>
    <row r="3" spans="1:17" x14ac:dyDescent="0.2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/>
      <c r="C4" s="11"/>
      <c r="D4" s="11"/>
      <c r="E4" s="11"/>
      <c r="F4" s="11"/>
      <c r="G4" s="11"/>
      <c r="H4" s="11">
        <f>+G4+E4+C4-F4-D4-B4</f>
        <v>0</v>
      </c>
      <c r="I4" s="11"/>
      <c r="J4" s="102"/>
      <c r="K4" s="419"/>
      <c r="L4" s="419"/>
      <c r="M4" s="419"/>
      <c r="N4" s="419"/>
      <c r="O4" s="285"/>
      <c r="P4" s="285"/>
    </row>
    <row r="5" spans="1:17" ht="13.2" x14ac:dyDescent="0.25">
      <c r="A5" s="41">
        <v>2</v>
      </c>
      <c r="B5" s="11"/>
      <c r="C5" s="11"/>
      <c r="D5" s="129"/>
      <c r="E5" s="11"/>
      <c r="F5" s="11"/>
      <c r="G5" s="11"/>
      <c r="H5" s="11">
        <f t="shared" ref="H5:H34" si="0">+G5+E5+C5-F5-D5-B5</f>
        <v>0</v>
      </c>
      <c r="I5" s="11"/>
      <c r="J5" s="102"/>
      <c r="K5" s="118"/>
      <c r="L5" s="34"/>
      <c r="M5" s="34"/>
      <c r="N5" s="189"/>
      <c r="O5" s="420" t="s">
        <v>174</v>
      </c>
      <c r="P5" s="189"/>
      <c r="Q5" s="2"/>
    </row>
    <row r="6" spans="1:17" ht="13.2" x14ac:dyDescent="0.25">
      <c r="A6" s="41">
        <v>3</v>
      </c>
      <c r="B6" s="11"/>
      <c r="C6" s="11"/>
      <c r="D6" s="11"/>
      <c r="E6" s="11"/>
      <c r="F6" s="11"/>
      <c r="G6" s="11"/>
      <c r="H6" s="11">
        <f t="shared" si="0"/>
        <v>0</v>
      </c>
      <c r="I6" s="11"/>
      <c r="J6" s="102"/>
      <c r="K6" s="118" t="s">
        <v>39</v>
      </c>
      <c r="L6" s="421" t="s">
        <v>19</v>
      </c>
      <c r="M6" s="421" t="s">
        <v>20</v>
      </c>
      <c r="N6" s="422" t="s">
        <v>49</v>
      </c>
      <c r="O6" s="420" t="s">
        <v>15</v>
      </c>
      <c r="P6" s="189" t="s">
        <v>27</v>
      </c>
      <c r="Q6" s="2"/>
    </row>
    <row r="7" spans="1:17" ht="13.2" x14ac:dyDescent="0.25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5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8" thickTop="1" x14ac:dyDescent="0.25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0</v>
      </c>
      <c r="C35" s="44">
        <f t="shared" si="3"/>
        <v>0</v>
      </c>
      <c r="D35" s="11">
        <f t="shared" si="3"/>
        <v>0</v>
      </c>
      <c r="E35" s="44">
        <f t="shared" si="3"/>
        <v>0</v>
      </c>
      <c r="F35" s="11">
        <f t="shared" si="3"/>
        <v>0</v>
      </c>
      <c r="G35" s="11">
        <f t="shared" si="3"/>
        <v>0</v>
      </c>
      <c r="H35" s="11">
        <f t="shared" si="3"/>
        <v>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2.29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0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5">
        <v>37256</v>
      </c>
      <c r="F38" s="482"/>
      <c r="G38" s="265"/>
      <c r="H38" s="514">
        <v>-68258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37256</v>
      </c>
      <c r="F39" s="482"/>
      <c r="G39" s="482"/>
      <c r="H39" s="322">
        <f>+H38+H37</f>
        <v>-68258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6"/>
      <c r="F40" s="263"/>
      <c r="G40" s="486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6"/>
      <c r="F41" s="263"/>
      <c r="G41" s="486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37256</v>
      </c>
      <c r="E47" s="467">
        <f>+H35</f>
        <v>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-5084</v>
      </c>
      <c r="F48" s="129"/>
      <c r="G48" s="129"/>
      <c r="H48" s="129"/>
      <c r="I48" s="262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487"/>
      <c r="F49" s="129"/>
      <c r="G49" s="129"/>
      <c r="H49" s="129"/>
      <c r="I49" s="488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3" sqref="E33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-1488524</v>
      </c>
      <c r="E36" s="11">
        <f t="shared" si="15"/>
        <v>-1495082</v>
      </c>
      <c r="F36" s="11">
        <f t="shared" si="15"/>
        <v>0</v>
      </c>
      <c r="G36" s="11">
        <f t="shared" si="15"/>
        <v>0</v>
      </c>
      <c r="H36" s="11">
        <f t="shared" si="15"/>
        <v>-6558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-6558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37256</v>
      </c>
      <c r="B38" s="2" t="s">
        <v>45</v>
      </c>
      <c r="C38" s="498">
        <v>64166</v>
      </c>
      <c r="D38" s="323"/>
      <c r="E38" s="501">
        <v>-29789</v>
      </c>
      <c r="F38" s="24"/>
      <c r="G38" s="24"/>
      <c r="H38" s="236">
        <f>+C38+E38+G38</f>
        <v>34377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37261</v>
      </c>
      <c r="B39" s="2" t="s">
        <v>45</v>
      </c>
      <c r="C39" s="131">
        <f>+C38+C37</f>
        <v>64166</v>
      </c>
      <c r="D39" s="252"/>
      <c r="E39" s="131">
        <f>+E38+E37</f>
        <v>-36347</v>
      </c>
      <c r="F39" s="252"/>
      <c r="G39" s="131"/>
      <c r="H39" s="131">
        <f>+H38+H36</f>
        <v>27819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37256</v>
      </c>
      <c r="B44" s="32"/>
      <c r="C44" s="499">
        <v>-1583193</v>
      </c>
      <c r="D44" s="205"/>
      <c r="E44" s="500">
        <v>925707</v>
      </c>
      <c r="F44" s="47">
        <f>+E44+C44</f>
        <v>-657486</v>
      </c>
      <c r="G44" s="247">
        <f>+G42-G43</f>
        <v>15616</v>
      </c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37261</v>
      </c>
      <c r="B45" s="32"/>
      <c r="C45" s="47">
        <f>+C37*summary!H4</f>
        <v>0</v>
      </c>
      <c r="D45" s="205"/>
      <c r="E45" s="384">
        <f>+E37*summary!H3</f>
        <v>-14624.34</v>
      </c>
      <c r="F45" s="47">
        <f>+E45+C45</f>
        <v>-14624.34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-1583193</v>
      </c>
      <c r="D46" s="205"/>
      <c r="E46" s="384">
        <v>925707</v>
      </c>
      <c r="F46" s="47">
        <f>+E46+C46</f>
        <v>-657486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4" sqref="E34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30">
        <f>+A45</f>
        <v>37261</v>
      </c>
      <c r="I23" s="11">
        <f>+B39</f>
        <v>737418</v>
      </c>
      <c r="J23" s="11">
        <f>+C39</f>
        <v>729504</v>
      </c>
      <c r="K23" s="11">
        <f>+D39</f>
        <v>63326</v>
      </c>
      <c r="L23" s="11">
        <f>+E39</f>
        <v>65165</v>
      </c>
      <c r="M23" s="42">
        <f>+J23-I23+L23-K23</f>
        <v>-6075</v>
      </c>
      <c r="N23" s="102">
        <f>+summary!H3</f>
        <v>2.23</v>
      </c>
      <c r="O23" s="532">
        <f>+N23*M23</f>
        <v>-13547.25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31">
        <f>SUM(M9:M23)</f>
        <v>83725</v>
      </c>
      <c r="N24" s="102"/>
      <c r="O24" s="102">
        <f>SUM(O9:O23)</f>
        <v>554569.09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2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737418</v>
      </c>
      <c r="C39" s="150">
        <f>SUM(C8:C38)</f>
        <v>729504</v>
      </c>
      <c r="D39" s="150">
        <f>SUM(D8:D38)</f>
        <v>63326</v>
      </c>
      <c r="E39" s="150">
        <f>SUM(E8:E38)</f>
        <v>65165</v>
      </c>
      <c r="F39" s="11">
        <f t="shared" si="5"/>
        <v>-6075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51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37256</v>
      </c>
      <c r="B44" s="32"/>
      <c r="C44" s="470"/>
      <c r="D44" s="111"/>
      <c r="E44" s="470"/>
      <c r="F44" s="509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37261</v>
      </c>
      <c r="B45" s="32"/>
      <c r="C45" s="106"/>
      <c r="D45" s="106"/>
      <c r="E45" s="106"/>
      <c r="F45" s="24">
        <f>+F44+F39</f>
        <v>24171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315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37256</v>
      </c>
      <c r="B50" s="32"/>
      <c r="C50" s="32"/>
      <c r="D50" s="509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37261</v>
      </c>
      <c r="B51" s="32"/>
      <c r="C51" s="32"/>
      <c r="D51" s="355">
        <f>+F39*summary!H3</f>
        <v>-13547.25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421070.75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8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2002-01-07T18:29:16Z</cp:lastPrinted>
  <dcterms:created xsi:type="dcterms:W3CDTF">2000-03-28T16:52:23Z</dcterms:created>
  <dcterms:modified xsi:type="dcterms:W3CDTF">2023-09-10T12:00:41Z</dcterms:modified>
</cp:coreProperties>
</file>