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B13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P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<sst xmlns="http://schemas.openxmlformats.org/spreadsheetml/2006/main" count="1013" uniqueCount="315">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</sst>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9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2.08</v>
          </cell>
          <cell r="K39">
            <v>2.09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7" sqref="D37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2.09</v>
      </c>
      <c r="H3" s="401">
        <f ca="1">NOW()</f>
        <v>37307.846196180559</v>
      </c>
    </row>
    <row r="4" spans="1:32" ht="12.9" customHeight="1" x14ac:dyDescent="0.25">
      <c r="A4" s="34" t="s">
        <v>144</v>
      </c>
      <c r="C4" s="34" t="s">
        <v>5</v>
      </c>
      <c r="D4" s="7"/>
      <c r="F4" s="384" t="s">
        <v>30</v>
      </c>
      <c r="G4" s="386">
        <f>+summary!G4</f>
        <v>2.08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2.08</v>
      </c>
      <c r="H5" s="32"/>
    </row>
    <row r="6" spans="1:32" ht="6.9" customHeight="1" x14ac:dyDescent="0.25"/>
    <row r="7" spans="1:32" ht="12.9" customHeight="1" x14ac:dyDescent="0.25">
      <c r="A7" s="399" t="s">
        <v>162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154</v>
      </c>
    </row>
    <row r="12" spans="1:32" ht="13.5" customHeight="1" outlineLevel="1" x14ac:dyDescent="0.25">
      <c r="A12" s="499" t="s">
        <v>127</v>
      </c>
      <c r="B12" s="606">
        <f>+Calpine!D41</f>
        <v>50582.880000000005</v>
      </c>
      <c r="C12" s="368">
        <f>+B12/$G$4</f>
        <v>24318.692307692309</v>
      </c>
      <c r="D12" s="14">
        <f>+Calpine!D47</f>
        <v>111418</v>
      </c>
      <c r="E12" s="70">
        <f>+C12-D12</f>
        <v>-87099.307692307688</v>
      </c>
      <c r="F12" s="363">
        <f>+Calpine!A41</f>
        <v>37305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606">
        <f>+'Citizens-Griffith'!D41</f>
        <v>96384.12000000001</v>
      </c>
      <c r="C13" s="367">
        <f>+B13/$G$4</f>
        <v>46338.519230769234</v>
      </c>
      <c r="D13" s="14">
        <f>+'Citizens-Griffith'!D48</f>
        <v>49921</v>
      </c>
      <c r="E13" s="70">
        <f>+C13-D13</f>
        <v>-3582.4807692307659</v>
      </c>
      <c r="F13" s="363">
        <f>+'Citizens-Griffith'!A41</f>
        <v>37306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277</v>
      </c>
      <c r="B14" s="612">
        <f>+SWGasTrans!D41</f>
        <v>-27828.129999999997</v>
      </c>
      <c r="C14" s="367">
        <f>+B14/G4</f>
        <v>-13378.908653846152</v>
      </c>
      <c r="D14" s="14">
        <f>+SWGasTrans!$D$48</f>
        <v>-324</v>
      </c>
      <c r="E14" s="70">
        <f>+C14-D14</f>
        <v>-13054.908653846152</v>
      </c>
      <c r="F14" s="363">
        <f>+SWGasTrans!A41</f>
        <v>37305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-269782.59999999998</v>
      </c>
      <c r="C15" s="367">
        <f>+B15/$G$4</f>
        <v>-129703.17307692306</v>
      </c>
      <c r="D15" s="14">
        <f>+'NS Steel'!D50</f>
        <v>-3264</v>
      </c>
      <c r="E15" s="70">
        <f>+C15-D15</f>
        <v>-126439.17307692306</v>
      </c>
      <c r="F15" s="364">
        <f>+'NS Steel'!A41</f>
        <v>37305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9" t="s">
        <v>135</v>
      </c>
      <c r="B16" s="348">
        <f>+Citizens!D18</f>
        <v>-563447.35000000009</v>
      </c>
      <c r="C16" s="369">
        <f>+B16/$G$4</f>
        <v>-270888.14903846156</v>
      </c>
      <c r="D16" s="349">
        <f>+Citizens!D24</f>
        <v>-49205</v>
      </c>
      <c r="E16" s="72">
        <f>+C16-D16</f>
        <v>-221683.14903846156</v>
      </c>
      <c r="F16" s="363">
        <f>+Citizens!A18</f>
        <v>37304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7">
        <f>SUBTOTAL(9,B12:B16)</f>
        <v>-714091.08000000007</v>
      </c>
      <c r="C17" s="392">
        <f>SUBTOTAL(9,C12:C16)</f>
        <v>-343313.01923076925</v>
      </c>
      <c r="D17" s="393">
        <f>SUBTOTAL(9,D12:D16)</f>
        <v>108546</v>
      </c>
      <c r="E17" s="394">
        <f>SUBTOTAL(9,E12:E16)</f>
        <v>-451859.01923076925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611">
        <f>+transcol!$D$43</f>
        <v>-374.28000000000247</v>
      </c>
      <c r="C20" s="367">
        <f>+B20/$G$4</f>
        <v>-179.94230769230887</v>
      </c>
      <c r="D20" s="14">
        <f>+transcol!D50</f>
        <v>-56126</v>
      </c>
      <c r="E20" s="70">
        <f>+C20-D20</f>
        <v>55946.057692307688</v>
      </c>
      <c r="F20" s="364">
        <f>+transcol!A43</f>
        <v>37305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9" t="s">
        <v>289</v>
      </c>
      <c r="B21" s="611">
        <f>+C21*G3</f>
        <v>-18950.03</v>
      </c>
      <c r="C21" s="367">
        <f>+williams!J40</f>
        <v>-9067</v>
      </c>
      <c r="D21" s="14">
        <f>+C21</f>
        <v>-9067</v>
      </c>
      <c r="E21" s="70">
        <f>+C21-D21</f>
        <v>0</v>
      </c>
      <c r="F21" s="364">
        <f>+williams!A40</f>
        <v>37306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5">
      <c r="A22" s="499" t="s">
        <v>95</v>
      </c>
      <c r="B22" s="613">
        <f>+burlington!D42</f>
        <v>-56909.22</v>
      </c>
      <c r="C22" s="371">
        <f>+B22/$G$3</f>
        <v>-27229.291866028711</v>
      </c>
      <c r="D22" s="349">
        <f>+burlington!D49</f>
        <v>-27371</v>
      </c>
      <c r="E22" s="72">
        <f>+C22-D22</f>
        <v>141.7081339712895</v>
      </c>
      <c r="F22" s="363">
        <f>+burlington!A42</f>
        <v>37305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7">
        <f>SUBTOTAL(9,B20:B22)</f>
        <v>-76233.53</v>
      </c>
      <c r="C23" s="388">
        <f>SUBTOTAL(9,C20:C22)</f>
        <v>-36476.234173721023</v>
      </c>
      <c r="D23" s="393">
        <f>SUBTOTAL(9,D20:D22)</f>
        <v>-92564</v>
      </c>
      <c r="E23" s="394">
        <f>SUBTOTAL(9,E20:E22)</f>
        <v>56087.765826278977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499" t="s">
        <v>87</v>
      </c>
      <c r="B26" s="478">
        <f>+NNG!$D$24</f>
        <v>35753.51</v>
      </c>
      <c r="C26" s="367">
        <f>+B26/$G$4</f>
        <v>17189.1875</v>
      </c>
      <c r="D26" s="14">
        <f>+NNG!D34</f>
        <v>16489</v>
      </c>
      <c r="E26" s="70">
        <f t="shared" ref="E26:E48" si="0">+C26-D26</f>
        <v>700.1875</v>
      </c>
      <c r="F26" s="363">
        <f>+NNG!A24</f>
        <v>37305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606">
        <f>+Conoco!$F$41</f>
        <v>464068.77</v>
      </c>
      <c r="C27" s="367">
        <f>+B27/$G$4</f>
        <v>223109.98557692309</v>
      </c>
      <c r="D27" s="14">
        <f>+Conoco!D48</f>
        <v>19718</v>
      </c>
      <c r="E27" s="70">
        <f t="shared" si="0"/>
        <v>203391.98557692309</v>
      </c>
      <c r="F27" s="363">
        <f>+Conoco!A41</f>
        <v>37306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606">
        <f>+'Amoco Abo'!$F$43</f>
        <v>167603.75</v>
      </c>
      <c r="C28" s="367">
        <f>+B28/$G$4</f>
        <v>80578.725961538454</v>
      </c>
      <c r="D28" s="14">
        <f>+'Amoco Abo'!D49</f>
        <v>-360970</v>
      </c>
      <c r="E28" s="70">
        <f t="shared" si="0"/>
        <v>441548.72596153844</v>
      </c>
      <c r="F28" s="364">
        <f>+'Amoco Abo'!A43</f>
        <v>37305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606">
        <f>+KN_Westar!F41</f>
        <v>328563.40000000002</v>
      </c>
      <c r="C29" s="367">
        <f>+B29/$G$4</f>
        <v>157963.17307692309</v>
      </c>
      <c r="D29" s="14">
        <f>+KN_Westar!D48</f>
        <v>-37442</v>
      </c>
      <c r="E29" s="70">
        <f t="shared" si="0"/>
        <v>195405.17307692309</v>
      </c>
      <c r="F29" s="364">
        <f>+KN_Westar!A41</f>
        <v>37305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9" t="s">
        <v>247</v>
      </c>
      <c r="B30" s="606">
        <f>+summary!$B$43</f>
        <v>-128990.14999999956</v>
      </c>
      <c r="C30" s="368">
        <f>+B30/$G$5</f>
        <v>-62014.495192307477</v>
      </c>
      <c r="D30" s="14">
        <f>+DEFS!$I$36+DEFS!$J$36+DEFS!$K$45+DEFS!$K$46+DEFS!$K$47+DEFS!$K$48+Duke!I53+Duke!I54+Duke!F40+Duke!G40+Duke!H40</f>
        <v>267065</v>
      </c>
      <c r="E30" s="70">
        <f t="shared" si="0"/>
        <v>-329079.49519230745</v>
      </c>
      <c r="F30" s="364">
        <f>+DEFS!A40</f>
        <v>37304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606">
        <f>+mewborne!$J$43</f>
        <v>326518.32</v>
      </c>
      <c r="C31" s="367">
        <f>+B31/$G$4</f>
        <v>156979.96153846153</v>
      </c>
      <c r="D31" s="14">
        <f>+mewborne!D49</f>
        <v>128323</v>
      </c>
      <c r="E31" s="70">
        <f t="shared" si="0"/>
        <v>28656.961538461532</v>
      </c>
      <c r="F31" s="364">
        <f>+mewborne!A43</f>
        <v>37305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8">
        <f>+PGETX!$H$39</f>
        <v>16254.68</v>
      </c>
      <c r="C32" s="367">
        <f>+B32/$G$4</f>
        <v>7814.75</v>
      </c>
      <c r="D32" s="14">
        <f>+PGETX!E48</f>
        <v>35547</v>
      </c>
      <c r="E32" s="70">
        <f t="shared" si="0"/>
        <v>-27732.25</v>
      </c>
      <c r="F32" s="364">
        <f>+PGETX!E39</f>
        <v>37305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606">
        <f>+PNM!$D$23</f>
        <v>879575.44</v>
      </c>
      <c r="C33" s="367">
        <f>+B33/$G$4</f>
        <v>422872.80769230763</v>
      </c>
      <c r="D33" s="14">
        <f>+PNM!D30</f>
        <v>361486</v>
      </c>
      <c r="E33" s="70">
        <f t="shared" si="0"/>
        <v>61386.80769230763</v>
      </c>
      <c r="F33" s="364">
        <f>+PNM!A23</f>
        <v>37306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612">
        <f>+EOG!J41</f>
        <v>-11989.39</v>
      </c>
      <c r="C34" s="367">
        <f>+B34/$G$4</f>
        <v>-5764.1298076923076</v>
      </c>
      <c r="D34" s="14">
        <f>+EOG!D48</f>
        <v>-133483</v>
      </c>
      <c r="E34" s="70">
        <f t="shared" si="0"/>
        <v>127718.87019230769</v>
      </c>
      <c r="F34" s="363">
        <f>+EOG!A41</f>
        <v>37305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345">
        <f>+Oasis!D40</f>
        <v>19746.59</v>
      </c>
      <c r="C35" s="367">
        <f>+B35/G5</f>
        <v>9493.5528846153848</v>
      </c>
      <c r="D35" s="14">
        <f>+Oasis!D47</f>
        <v>7396</v>
      </c>
      <c r="E35" s="70">
        <f>+C35-D35</f>
        <v>2097.5528846153848</v>
      </c>
      <c r="F35" s="363">
        <f>+Oasis!A40</f>
        <v>37305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478">
        <f>+SidR!D41</f>
        <v>12824.599999999999</v>
      </c>
      <c r="C36" s="367">
        <f>+B36/$G$5</f>
        <v>6165.6730769230762</v>
      </c>
      <c r="D36" s="14">
        <f>+SidR!D48</f>
        <v>5981</v>
      </c>
      <c r="E36" s="70">
        <f t="shared" si="0"/>
        <v>184.67307692307622</v>
      </c>
      <c r="F36" s="364">
        <f>+SidR!A41</f>
        <v>37305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9" t="s">
        <v>257</v>
      </c>
      <c r="B37" s="612">
        <f>+MiVida_Rich!D41</f>
        <v>-192285.66</v>
      </c>
      <c r="C37" s="367">
        <f>+B37/$G$5</f>
        <v>-92445.028846153844</v>
      </c>
      <c r="D37" s="14">
        <f>+MiVida_Rich!D48</f>
        <v>-45949</v>
      </c>
      <c r="E37" s="70">
        <f>+C37-D37</f>
        <v>-46496.028846153844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606">
        <f>+Dominion!D41</f>
        <v>172974.90000000002</v>
      </c>
      <c r="C38" s="367">
        <f>+B38/$G$5</f>
        <v>83161.009615384624</v>
      </c>
      <c r="D38" s="14">
        <f>+Dominion!D48</f>
        <v>75612</v>
      </c>
      <c r="E38" s="70">
        <f t="shared" si="0"/>
        <v>7549.0096153846243</v>
      </c>
      <c r="F38" s="364">
        <f>+Dominion!A41</f>
        <v>37306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612">
        <f>+WTGmktg!J43</f>
        <v>-24888.649999999994</v>
      </c>
      <c r="C39" s="367">
        <f>+B39/$G$4</f>
        <v>-11965.697115384612</v>
      </c>
      <c r="D39" s="14">
        <f>+WTGmktg!D50</f>
        <v>1687</v>
      </c>
      <c r="E39" s="70">
        <f t="shared" si="0"/>
        <v>-13652.697115384612</v>
      </c>
      <c r="F39" s="364">
        <f>+WTGmktg!A43</f>
        <v>37305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280</v>
      </c>
      <c r="B40" s="345">
        <f>+'WTG inc'!N43</f>
        <v>22368.01</v>
      </c>
      <c r="C40" s="367">
        <f>+B40/G4</f>
        <v>10753.850961538461</v>
      </c>
      <c r="D40" s="14">
        <f>+'WTG inc'!D50</f>
        <v>7200</v>
      </c>
      <c r="E40" s="70">
        <f>+C40-D40</f>
        <v>3553.850961538461</v>
      </c>
      <c r="F40" s="364">
        <f>+'WTG inc'!A43</f>
        <v>37305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612">
        <f>+Devon!D41</f>
        <v>-8941.92</v>
      </c>
      <c r="C41" s="367">
        <f>+B41/$G$5</f>
        <v>-4299</v>
      </c>
      <c r="D41" s="14">
        <f>+Devon!D48</f>
        <v>-4299</v>
      </c>
      <c r="E41" s="70">
        <f t="shared" si="0"/>
        <v>0</v>
      </c>
      <c r="F41" s="364">
        <f>+Devon!A41</f>
        <v>37305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5">
        <f>+crosstex!F41</f>
        <v>-134414.39000000001</v>
      </c>
      <c r="C42" s="367">
        <f>+B42/$G$4</f>
        <v>-64622.30288461539</v>
      </c>
      <c r="D42" s="14">
        <f>+crosstex!D48</f>
        <v>-41437</v>
      </c>
      <c r="E42" s="70">
        <f t="shared" si="0"/>
        <v>-23185.30288461539</v>
      </c>
      <c r="F42" s="364">
        <f>+crosstex!A41</f>
        <v>37304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606">
        <f>+Amarillo!P41</f>
        <v>102694.48</v>
      </c>
      <c r="C43" s="367">
        <f>+B43/$G$4</f>
        <v>49372.346153846149</v>
      </c>
      <c r="D43" s="14">
        <f>+Amarillo!D48</f>
        <v>43256</v>
      </c>
      <c r="E43" s="70">
        <f t="shared" si="0"/>
        <v>6116.3461538461488</v>
      </c>
      <c r="F43" s="364">
        <f>+Amarillo!A41</f>
        <v>37304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295</v>
      </c>
      <c r="B44" s="606">
        <f>+Stratland!$D$41</f>
        <v>48490.31</v>
      </c>
      <c r="C44" s="368">
        <f>+B44/$G$4</f>
        <v>23312.649038461535</v>
      </c>
      <c r="D44" s="14">
        <f>+Stratland!D48</f>
        <v>17403</v>
      </c>
      <c r="E44" s="70">
        <f>+C44-D44</f>
        <v>5909.6490384615354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306</v>
      </c>
      <c r="B45" s="606">
        <f>+Plains!$N$43</f>
        <v>63241.56</v>
      </c>
      <c r="C45" s="609">
        <f>+B45/$G$4</f>
        <v>30404.596153846152</v>
      </c>
      <c r="D45" s="14">
        <f>+Plains!D50</f>
        <v>22284</v>
      </c>
      <c r="E45" s="70">
        <f>+C45-D45</f>
        <v>8120.5961538461524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606">
        <f>+Continental!F43</f>
        <v>46769.48</v>
      </c>
      <c r="C46" s="368">
        <f>+B46/$G$4</f>
        <v>22485.326923076926</v>
      </c>
      <c r="D46" s="14">
        <f>+Continental!D50</f>
        <v>6494</v>
      </c>
      <c r="E46" s="70">
        <f t="shared" si="0"/>
        <v>15991.326923076926</v>
      </c>
      <c r="F46" s="364">
        <f>+Continental!A43</f>
        <v>37305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606">
        <f>+EPFS!D41</f>
        <v>143000.64000000001</v>
      </c>
      <c r="C47" s="368">
        <f>+B47/$G$5</f>
        <v>68750.307692307702</v>
      </c>
      <c r="D47" s="14">
        <f>+EPFS!D47</f>
        <v>82465</v>
      </c>
      <c r="E47" s="70">
        <f t="shared" si="0"/>
        <v>-13714.692307692298</v>
      </c>
      <c r="F47" s="363">
        <f>+EPFS!A41</f>
        <v>37306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9" t="s">
        <v>79</v>
      </c>
      <c r="B48" s="608">
        <f>+Agave!$D$24</f>
        <v>108157.26000000001</v>
      </c>
      <c r="C48" s="369">
        <f>+B48/$G$4</f>
        <v>51998.682692307695</v>
      </c>
      <c r="D48" s="349">
        <f>+Agave!D31</f>
        <v>64181</v>
      </c>
      <c r="E48" s="72">
        <f t="shared" si="0"/>
        <v>-12182.317307692305</v>
      </c>
      <c r="F48" s="363">
        <f>+Agave!A24</f>
        <v>37306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7">
        <f>SUBTOTAL(9,B26:B48)</f>
        <v>2457095.540000001</v>
      </c>
      <c r="C49" s="392">
        <f>SUBTOTAL(9,C26:C48)</f>
        <v>1181295.932692308</v>
      </c>
      <c r="D49" s="393">
        <f>SUBTOTAL(9,D26:D48)</f>
        <v>539007</v>
      </c>
      <c r="E49" s="394">
        <f>SUBTOTAL(9,E26:E48)</f>
        <v>642288.93269230786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7">
        <f>SUBTOTAL(9,B12:B48)</f>
        <v>1666770.9300000013</v>
      </c>
      <c r="C51" s="392">
        <f>SUBTOTAL(9,C12:C48)</f>
        <v>801506.67928781768</v>
      </c>
      <c r="D51" s="393">
        <f>SUBTOTAL(9,D12:D48)</f>
        <v>554989</v>
      </c>
      <c r="E51" s="394">
        <f>SUBTOTAL(9,E12:E48)</f>
        <v>246517.6792878175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+G3</f>
        <v>2.09</v>
      </c>
      <c r="H57" s="401">
        <f ca="1">NOW()</f>
        <v>37307.846196180559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4" t="s">
        <v>30</v>
      </c>
      <c r="G58" s="386">
        <f>+G4</f>
        <v>2.08</v>
      </c>
      <c r="H58" s="32"/>
    </row>
    <row r="59" spans="1:19" ht="13.5" customHeight="1" outlineLevel="1" x14ac:dyDescent="0.25">
      <c r="D59" s="7"/>
      <c r="F59" s="383" t="s">
        <v>117</v>
      </c>
      <c r="G59" s="386">
        <f>+G5</f>
        <v>2.08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163</v>
      </c>
      <c r="B61" s="400"/>
      <c r="E61" s="12" t="s">
        <v>196</v>
      </c>
    </row>
    <row r="62" spans="1:19" ht="13.5" customHeight="1" outlineLevel="2" x14ac:dyDescent="0.25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0">
        <f>+Mojave!D40</f>
        <v>173432</v>
      </c>
      <c r="C66" s="606">
        <f>+B66*$G$4</f>
        <v>360738.56</v>
      </c>
      <c r="D66" s="47">
        <f>+Mojave!D47</f>
        <v>171959.84</v>
      </c>
      <c r="E66" s="47">
        <f>+C66-D66</f>
        <v>188778.72</v>
      </c>
      <c r="F66" s="364">
        <f>+Mojave!A40</f>
        <v>37306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79815</v>
      </c>
      <c r="C67" s="606">
        <f>+B67*$G$4</f>
        <v>166015.20000000001</v>
      </c>
      <c r="D67" s="47">
        <f>+SoCal!D47</f>
        <v>280738.24</v>
      </c>
      <c r="E67" s="47">
        <f>+C67-D67</f>
        <v>-114723.03999999998</v>
      </c>
      <c r="F67" s="364">
        <f>+SoCal!A40</f>
        <v>37306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7">
        <f>+'El Paso'!C39</f>
        <v>64269</v>
      </c>
      <c r="C68" s="606">
        <f>+B68*$G$4</f>
        <v>133679.52000000002</v>
      </c>
      <c r="D68" s="47">
        <f>+'El Paso'!C46</f>
        <v>-1582961.01</v>
      </c>
      <c r="E68" s="47">
        <f>+C68-D68</f>
        <v>1716640.53</v>
      </c>
      <c r="F68" s="364">
        <f>+'El Paso'!A39</f>
        <v>37306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42027</v>
      </c>
      <c r="C69" s="608">
        <f>+B69*$G$4</f>
        <v>87416.16</v>
      </c>
      <c r="D69" s="348">
        <f>+'PG&amp;E'!D47</f>
        <v>-115994.6</v>
      </c>
      <c r="E69" s="348">
        <f>+C69-D69</f>
        <v>203410.76</v>
      </c>
      <c r="F69" s="364">
        <f>+'PG&amp;E'!A40</f>
        <v>37306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2">
        <f>SUBTOTAL(9,B66:B69)</f>
        <v>359543</v>
      </c>
      <c r="C70" s="387">
        <f>SUBTOTAL(9,C66:C69)</f>
        <v>747849.44000000006</v>
      </c>
      <c r="D70" s="387">
        <f>SUBTOTAL(9,D66:D69)</f>
        <v>-1246257.5300000003</v>
      </c>
      <c r="E70" s="387">
        <f>SUBTOTAL(9,E66:E69)</f>
        <v>1994106.97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62053</v>
      </c>
      <c r="C73" s="607">
        <f>+B73*G57</f>
        <v>129690.76999999999</v>
      </c>
      <c r="D73" s="200">
        <f>+'Red C'!D52</f>
        <v>476094.29</v>
      </c>
      <c r="E73" s="47">
        <f>+C73-D73</f>
        <v>-346403.52</v>
      </c>
      <c r="F73" s="363">
        <f>+'Red C'!A45</f>
        <v>37306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288</v>
      </c>
      <c r="B74" s="367">
        <f>+Amoco!D40</f>
        <v>-4151</v>
      </c>
      <c r="C74" s="612">
        <f>+B74*$G$3</f>
        <v>-8675.59</v>
      </c>
      <c r="D74" s="47">
        <f>+Amoco!D47</f>
        <v>326541.73</v>
      </c>
      <c r="E74" s="47">
        <f>+C74-D74</f>
        <v>-335217.32</v>
      </c>
      <c r="F74" s="364">
        <f>+Amoco!A40</f>
        <v>37305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7">
        <f>+'El Paso'!E39</f>
        <v>-40926</v>
      </c>
      <c r="C75" s="606">
        <f>+B75*$G$3</f>
        <v>-85535.34</v>
      </c>
      <c r="D75" s="47">
        <f>+'El Paso'!F46</f>
        <v>-657254.01</v>
      </c>
      <c r="E75" s="47">
        <f>+C75-D75</f>
        <v>571718.67000000004</v>
      </c>
      <c r="F75" s="364">
        <f>+'El Paso'!A39</f>
        <v>37306</v>
      </c>
      <c r="G75" s="419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-10490</v>
      </c>
      <c r="C76" s="613">
        <f>+B76*$G$3</f>
        <v>-21924.1</v>
      </c>
      <c r="D76" s="348">
        <f>+NW!E49</f>
        <v>-482340.89</v>
      </c>
      <c r="E76" s="348">
        <f>+C76-D76</f>
        <v>460416.79000000004</v>
      </c>
      <c r="F76" s="363">
        <f>+NW!B41</f>
        <v>37305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2">
        <f>SUBTOTAL(9,B73:B76)</f>
        <v>6486</v>
      </c>
      <c r="C77" s="387">
        <f>SUBTOTAL(9,C73:C76)</f>
        <v>13555.739999999998</v>
      </c>
      <c r="D77" s="387">
        <f>SUBTOTAL(9,D73:D76)</f>
        <v>-336958.88</v>
      </c>
      <c r="E77" s="387">
        <f>SUBTOTAL(9,E73:E76)</f>
        <v>350514.62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158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89593</v>
      </c>
      <c r="C80" s="606">
        <f>+B80*$G$5</f>
        <v>186353.44</v>
      </c>
      <c r="D80" s="47">
        <f>+NGPL!D45</f>
        <v>240351.71</v>
      </c>
      <c r="E80" s="47">
        <f>+C80-D80</f>
        <v>-53998.26999999999</v>
      </c>
      <c r="F80" s="364">
        <f>+NGPL!A38</f>
        <v>37306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23751</v>
      </c>
      <c r="C81" s="607">
        <f>+B81*$G$4</f>
        <v>49402.080000000002</v>
      </c>
      <c r="D81" s="47">
        <f>+PEPL!D47</f>
        <v>195283.72</v>
      </c>
      <c r="E81" s="47">
        <f>+C81-D81</f>
        <v>-145881.64000000001</v>
      </c>
      <c r="F81" s="364">
        <f>+PEPL!A41</f>
        <v>37305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607">
        <f>+B82*$G$4</f>
        <v>36580.959999999999</v>
      </c>
      <c r="D82" s="200">
        <f>+CIG!D49</f>
        <v>385897</v>
      </c>
      <c r="E82" s="70">
        <f>+C82-D82</f>
        <v>-349316.04</v>
      </c>
      <c r="F82" s="364">
        <f>+CIG!A42</f>
        <v>37305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1">
        <f>+Lonestar!F43</f>
        <v>42065</v>
      </c>
      <c r="C83" s="608">
        <f>+B83*G59</f>
        <v>87495.2</v>
      </c>
      <c r="D83" s="348">
        <f>+Lonestar!D50</f>
        <v>79313.960000000006</v>
      </c>
      <c r="E83" s="348">
        <f>+C83-D83</f>
        <v>8181.2399999999907</v>
      </c>
      <c r="F83" s="363">
        <f>+Lonestar!A43</f>
        <v>37305</v>
      </c>
      <c r="G83" s="32" t="s">
        <v>300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8">
        <f>SUBTOTAL(9,B80:B83)</f>
        <v>172996</v>
      </c>
      <c r="C84" s="387">
        <f>SUBTOTAL(9,C80:C83)</f>
        <v>359831.68000000005</v>
      </c>
      <c r="D84" s="387">
        <f>SUBTOTAL(9,D80:D83)</f>
        <v>900846.3899999999</v>
      </c>
      <c r="E84" s="387">
        <f>SUBTOTAL(9,E80:E83)</f>
        <v>-541014.71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8">
        <f>SUBTOTAL(9,B66:B83)</f>
        <v>539025</v>
      </c>
      <c r="C86" s="387">
        <f>SUBTOTAL(9,C66:C83)</f>
        <v>1121236.8600000001</v>
      </c>
      <c r="D86" s="387">
        <f>SUBTOTAL(9,D66:D83)</f>
        <v>-682370.02000000025</v>
      </c>
      <c r="E86" s="387">
        <f>SUBTOTAL(9,E66:E83)</f>
        <v>1803606.8799999997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5">
        <f>+C86+B51</f>
        <v>2788007.7900000014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1340531.6792878178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C43" sqref="C43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2817406</v>
      </c>
      <c r="C37" s="410">
        <f>SUM(C6:C36)</f>
        <v>2818303</v>
      </c>
      <c r="D37" s="410">
        <f>SUM(D6:D36)</f>
        <v>897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37305</v>
      </c>
      <c r="B40" s="285"/>
      <c r="C40" s="435"/>
      <c r="D40" s="307">
        <f>+D39+D37</f>
        <v>-4151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87">
        <v>324667</v>
      </c>
    </row>
    <row r="46" spans="1:16" x14ac:dyDescent="0.25">
      <c r="A46" s="49">
        <f>+A40</f>
        <v>37305</v>
      </c>
      <c r="B46" s="32"/>
      <c r="C46" s="32"/>
      <c r="D46" s="374">
        <f>+D37*'by type_area'!G3</f>
        <v>1874.7299999999998</v>
      </c>
    </row>
    <row r="47" spans="1:16" x14ac:dyDescent="0.25">
      <c r="A47" s="32"/>
      <c r="B47" s="32"/>
      <c r="C47" s="32"/>
      <c r="D47" s="200">
        <f>+D46+D45</f>
        <v>326541.73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45" sqref="C45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-185982</v>
      </c>
      <c r="C36" s="24">
        <f>SUM(C5:C35)</f>
        <v>-186140</v>
      </c>
      <c r="D36" s="24">
        <f t="shared" si="0"/>
        <v>-158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-328.64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37305</v>
      </c>
      <c r="B40"/>
      <c r="C40" s="48"/>
      <c r="D40" s="138">
        <f>+D39+D38</f>
        <v>19746.59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485">
        <v>7554</v>
      </c>
    </row>
    <row r="46" spans="1:65" x14ac:dyDescent="0.25">
      <c r="A46" s="49">
        <f>+A40</f>
        <v>37305</v>
      </c>
      <c r="B46" s="32"/>
      <c r="C46" s="32"/>
      <c r="D46" s="349">
        <f>+D36</f>
        <v>-158</v>
      </c>
    </row>
    <row r="47" spans="1:65" x14ac:dyDescent="0.25">
      <c r="A47" s="32"/>
      <c r="B47" s="32"/>
      <c r="C47" s="32"/>
      <c r="D47" s="14">
        <f>+D46+D45</f>
        <v>7396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1" sqref="C11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f>585778+30937</f>
        <v>616715</v>
      </c>
      <c r="C5" s="90">
        <v>635781</v>
      </c>
      <c r="D5" s="90">
        <f>+C5-B5</f>
        <v>19066</v>
      </c>
      <c r="E5" s="275"/>
      <c r="F5" s="273"/>
    </row>
    <row r="6" spans="1:13" x14ac:dyDescent="0.25">
      <c r="A6" s="87">
        <v>78311</v>
      </c>
      <c r="B6" s="90">
        <f>212279+10600</f>
        <v>222879</v>
      </c>
      <c r="C6" s="90">
        <v>219800</v>
      </c>
      <c r="D6" s="90">
        <f t="shared" ref="D6:D17" si="0">+C6-B6</f>
        <v>-3079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f>577690+31991</f>
        <v>609681</v>
      </c>
      <c r="C7" s="90">
        <v>715088</v>
      </c>
      <c r="D7" s="90">
        <f t="shared" si="0"/>
        <v>105407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f>668836+36966</f>
        <v>705802</v>
      </c>
      <c r="C8" s="90">
        <v>634379</v>
      </c>
      <c r="D8" s="90">
        <f t="shared" si="0"/>
        <v>-71423</v>
      </c>
      <c r="E8" s="455"/>
      <c r="F8" s="273"/>
    </row>
    <row r="9" spans="1:13" x14ac:dyDescent="0.25">
      <c r="A9" s="87">
        <v>500293</v>
      </c>
      <c r="B9" s="90">
        <f>313636+15726</f>
        <v>329362</v>
      </c>
      <c r="C9" s="90">
        <v>385310</v>
      </c>
      <c r="D9" s="90">
        <f t="shared" si="0"/>
        <v>55948</v>
      </c>
      <c r="E9" s="275"/>
      <c r="F9" s="273"/>
    </row>
    <row r="10" spans="1:13" x14ac:dyDescent="0.25">
      <c r="A10" s="87">
        <v>500302</v>
      </c>
      <c r="B10" s="90"/>
      <c r="C10" s="90">
        <v>5757</v>
      </c>
      <c r="D10" s="90">
        <f t="shared" si="0"/>
        <v>5757</v>
      </c>
      <c r="E10" s="275"/>
      <c r="F10" s="273"/>
    </row>
    <row r="11" spans="1:13" x14ac:dyDescent="0.25">
      <c r="A11" s="87">
        <v>500303</v>
      </c>
      <c r="B11" s="90"/>
      <c r="C11" s="90">
        <v>17263</v>
      </c>
      <c r="D11" s="90">
        <f t="shared" si="0"/>
        <v>17263</v>
      </c>
      <c r="E11" s="275"/>
      <c r="F11" s="273"/>
    </row>
    <row r="12" spans="1:13" x14ac:dyDescent="0.25">
      <c r="A12" s="91">
        <v>500305</v>
      </c>
      <c r="B12" s="90">
        <f>844029+46179+47595</f>
        <v>937803</v>
      </c>
      <c r="C12" s="90">
        <v>1001188</v>
      </c>
      <c r="D12" s="90">
        <f t="shared" si="0"/>
        <v>63385</v>
      </c>
      <c r="E12" s="276"/>
      <c r="F12" s="465"/>
      <c r="G12" s="90"/>
    </row>
    <row r="13" spans="1:13" x14ac:dyDescent="0.25">
      <c r="A13" s="87">
        <v>500307</v>
      </c>
      <c r="B13" s="90">
        <f>59494+3199</f>
        <v>62693</v>
      </c>
      <c r="C13" s="90">
        <v>38470</v>
      </c>
      <c r="D13" s="90">
        <f t="shared" si="0"/>
        <v>-24223</v>
      </c>
      <c r="E13" s="275"/>
      <c r="F13" s="273"/>
    </row>
    <row r="14" spans="1:13" x14ac:dyDescent="0.25">
      <c r="A14" s="87">
        <v>500313</v>
      </c>
      <c r="B14" s="90"/>
      <c r="C14" s="90">
        <v>1826</v>
      </c>
      <c r="D14" s="90">
        <f t="shared" si="0"/>
        <v>1826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f>128849+9000</f>
        <v>137849</v>
      </c>
      <c r="C16" s="90"/>
      <c r="D16" s="90">
        <f t="shared" si="0"/>
        <v>-137849</v>
      </c>
      <c r="E16" s="275"/>
      <c r="F16" s="273"/>
    </row>
    <row r="17" spans="1:7" x14ac:dyDescent="0.25">
      <c r="A17" s="87">
        <v>500657</v>
      </c>
      <c r="B17" s="88">
        <f>66484+4913</f>
        <v>71397</v>
      </c>
      <c r="C17" s="88">
        <v>32848</v>
      </c>
      <c r="D17" s="94">
        <f t="shared" si="0"/>
        <v>-38549</v>
      </c>
      <c r="E17" s="275"/>
      <c r="F17" s="273"/>
      <c r="G17" s="557"/>
    </row>
    <row r="18" spans="1:7" x14ac:dyDescent="0.25">
      <c r="A18" s="87"/>
      <c r="B18" s="88"/>
      <c r="C18" s="88"/>
      <c r="D18" s="88">
        <f>SUM(D5:D17)</f>
        <v>-6471</v>
      </c>
      <c r="E18" s="275"/>
      <c r="F18" s="465"/>
    </row>
    <row r="19" spans="1:7" x14ac:dyDescent="0.25">
      <c r="A19" s="87" t="s">
        <v>81</v>
      </c>
      <c r="B19" s="88"/>
      <c r="C19" s="88"/>
      <c r="D19" s="95">
        <f>+summary!G5</f>
        <v>2.08</v>
      </c>
      <c r="E19" s="277"/>
      <c r="F19" s="465"/>
    </row>
    <row r="20" spans="1:7" x14ac:dyDescent="0.25">
      <c r="A20" s="87"/>
      <c r="B20" s="88"/>
      <c r="C20" s="88"/>
      <c r="D20" s="96">
        <f>+D19*D18</f>
        <v>-13459.68</v>
      </c>
      <c r="E20" s="207"/>
      <c r="F20" s="465"/>
    </row>
    <row r="21" spans="1:7" x14ac:dyDescent="0.25">
      <c r="A21" s="87"/>
      <c r="B21" s="88"/>
      <c r="C21" s="88"/>
      <c r="D21" s="96"/>
      <c r="E21" s="207"/>
      <c r="F21" s="201"/>
    </row>
    <row r="22" spans="1:7" x14ac:dyDescent="0.25">
      <c r="A22" s="99">
        <v>37287</v>
      </c>
      <c r="B22" s="88"/>
      <c r="C22" s="88"/>
      <c r="D22" s="582">
        <v>121616.94</v>
      </c>
      <c r="E22" s="207"/>
      <c r="F22" s="466"/>
    </row>
    <row r="23" spans="1:7" x14ac:dyDescent="0.25">
      <c r="A23" s="87"/>
      <c r="B23" s="88"/>
      <c r="C23" s="88"/>
      <c r="D23" s="308"/>
      <c r="E23" s="207"/>
      <c r="F23" s="466"/>
    </row>
    <row r="24" spans="1:7" ht="13.8" thickBot="1" x14ac:dyDescent="0.3">
      <c r="A24" s="99">
        <v>37306</v>
      </c>
      <c r="B24" s="88"/>
      <c r="C24" s="88"/>
      <c r="D24" s="318">
        <f>+D22+D20</f>
        <v>108157.26000000001</v>
      </c>
      <c r="E24" s="207"/>
      <c r="F24" s="466"/>
    </row>
    <row r="25" spans="1:7" ht="13.8" thickTop="1" x14ac:dyDescent="0.25">
      <c r="E25" s="278"/>
    </row>
    <row r="28" spans="1:7" x14ac:dyDescent="0.25">
      <c r="A28" s="32" t="s">
        <v>148</v>
      </c>
      <c r="B28" s="32"/>
      <c r="C28" s="32"/>
      <c r="D28" s="32"/>
      <c r="E28" s="344"/>
    </row>
    <row r="29" spans="1:7" x14ac:dyDescent="0.25">
      <c r="A29" s="49">
        <f>+A22</f>
        <v>37287</v>
      </c>
      <c r="B29" s="32"/>
      <c r="C29" s="32"/>
      <c r="D29" s="567">
        <v>70652</v>
      </c>
    </row>
    <row r="30" spans="1:7" x14ac:dyDescent="0.25">
      <c r="A30" s="49">
        <f>+A24</f>
        <v>37306</v>
      </c>
      <c r="B30" s="32"/>
      <c r="C30" s="32"/>
      <c r="D30" s="349">
        <f>+D18</f>
        <v>-6471</v>
      </c>
    </row>
    <row r="31" spans="1:7" x14ac:dyDescent="0.25">
      <c r="A31" s="32"/>
      <c r="B31" s="32"/>
      <c r="C31" s="32"/>
      <c r="D31" s="14">
        <f>+D30+D29</f>
        <v>64181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0" workbookViewId="0">
      <selection activeCell="C43" sqref="C43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38814</v>
      </c>
      <c r="C22" s="11">
        <v>39089</v>
      </c>
      <c r="D22" s="11">
        <v>29393</v>
      </c>
      <c r="E22" s="11">
        <v>31023</v>
      </c>
      <c r="F22" s="25">
        <f t="shared" si="2"/>
        <v>1905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837411</v>
      </c>
      <c r="C35" s="11">
        <f>SUM(C4:C34)</f>
        <v>843135</v>
      </c>
      <c r="D35" s="11">
        <f>SUM(D4:D34)</f>
        <v>414087</v>
      </c>
      <c r="E35" s="11">
        <f>SUM(E4:E34)</f>
        <v>414397</v>
      </c>
      <c r="F35" s="11">
        <f>+E35-D35+C35-B35</f>
        <v>6034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2.08</v>
      </c>
    </row>
    <row r="38" spans="1:7" x14ac:dyDescent="0.2">
      <c r="C38" s="48"/>
      <c r="D38" s="47"/>
      <c r="E38" s="48"/>
      <c r="F38" s="46">
        <f>+F37*F35</f>
        <v>12550.720000000001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37306</v>
      </c>
      <c r="C41" s="106"/>
      <c r="D41" s="106"/>
      <c r="E41" s="106"/>
      <c r="F41" s="106">
        <f>+F38+F40</f>
        <v>464068.77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37306</v>
      </c>
      <c r="D47" s="349">
        <f>+F35</f>
        <v>6034</v>
      </c>
      <c r="E47" s="11"/>
      <c r="F47" s="11"/>
      <c r="G47" s="25"/>
    </row>
    <row r="48" spans="1:7" x14ac:dyDescent="0.2">
      <c r="D48" s="14">
        <f>+D47+D46</f>
        <v>19718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33" workbookViewId="0">
      <selection activeCell="E46" sqref="E4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3270529</v>
      </c>
      <c r="C36" s="11">
        <f>SUM(C5:C35)</f>
        <v>3366063</v>
      </c>
      <c r="D36" s="11">
        <f>SUM(D5:D35)</f>
        <v>0</v>
      </c>
      <c r="E36" s="11">
        <f>SUM(E5:E35)</f>
        <v>-70833</v>
      </c>
      <c r="F36" s="11">
        <f>SUM(F5:F35)</f>
        <v>24701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37305</v>
      </c>
      <c r="F41" s="332">
        <f>+F39+F36</f>
        <v>-10490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37305</v>
      </c>
      <c r="C48" s="32"/>
      <c r="D48" s="32"/>
      <c r="E48" s="374">
        <f>+F36*'by type_area'!G3</f>
        <v>51625.09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-482340.89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C49" sqref="C49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5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5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5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5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5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5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5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5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5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5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5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5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5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5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5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1697485</v>
      </c>
      <c r="C39" s="11">
        <f>SUM(C8:C38)</f>
        <v>1683519</v>
      </c>
      <c r="D39" s="11">
        <f>SUM(D8:D38)</f>
        <v>-13966</v>
      </c>
      <c r="E39" s="10"/>
      <c r="F39" s="11"/>
      <c r="G39" s="11"/>
      <c r="H39" s="11"/>
    </row>
    <row r="40" spans="1:8" x14ac:dyDescent="0.25">
      <c r="A40" s="26"/>
      <c r="D40" s="75">
        <f>+summary!G4</f>
        <v>2.08</v>
      </c>
      <c r="E40" s="26"/>
      <c r="H40" s="75"/>
    </row>
    <row r="41" spans="1:8" x14ac:dyDescent="0.25">
      <c r="D41" s="195">
        <f>+D40*D39</f>
        <v>-29049.280000000002</v>
      </c>
      <c r="F41" s="247"/>
      <c r="H41" s="195"/>
    </row>
    <row r="42" spans="1:8" x14ac:dyDescent="0.25">
      <c r="A42" s="57">
        <v>37287</v>
      </c>
      <c r="D42" s="596">
        <v>28675</v>
      </c>
      <c r="E42" s="57"/>
      <c r="H42" s="195"/>
    </row>
    <row r="43" spans="1:8" x14ac:dyDescent="0.25">
      <c r="A43" s="57">
        <v>37305</v>
      </c>
      <c r="D43" s="196">
        <f>+D42+D41</f>
        <v>-374.28000000000247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91">
        <v>-42160</v>
      </c>
    </row>
    <row r="49" spans="1:4" x14ac:dyDescent="0.25">
      <c r="A49" s="49">
        <f>+A43</f>
        <v>37305</v>
      </c>
      <c r="B49" s="32"/>
      <c r="C49" s="32"/>
      <c r="D49" s="349">
        <f>+D39</f>
        <v>-13966</v>
      </c>
    </row>
    <row r="50" spans="1:4" x14ac:dyDescent="0.25">
      <c r="A50" s="32"/>
      <c r="B50" s="32"/>
      <c r="C50" s="32"/>
      <c r="D50" s="14">
        <f>+D49+D48</f>
        <v>-56126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23" workbookViewId="0">
      <selection activeCell="B68" sqref="B68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249</v>
      </c>
      <c r="J6" s="15"/>
    </row>
    <row r="7" spans="1:14" x14ac:dyDescent="0.25">
      <c r="A7" s="57">
        <v>37304</v>
      </c>
      <c r="I7" s="3" t="s">
        <v>255</v>
      </c>
      <c r="J7" s="15"/>
    </row>
    <row r="8" spans="1:14" x14ac:dyDescent="0.25">
      <c r="A8" s="248">
        <v>50895</v>
      </c>
      <c r="B8" s="339">
        <f>3531-3455</f>
        <v>76</v>
      </c>
      <c r="J8" s="15"/>
    </row>
    <row r="9" spans="1:14" x14ac:dyDescent="0.25">
      <c r="A9" s="248">
        <v>60874</v>
      </c>
      <c r="B9" s="339">
        <v>1681</v>
      </c>
      <c r="J9" s="15"/>
    </row>
    <row r="10" spans="1:14" x14ac:dyDescent="0.25">
      <c r="A10" s="248">
        <v>78169</v>
      </c>
      <c r="B10" s="339">
        <f>274057-243484-15678-20163</f>
        <v>-5268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8408-6400</f>
        <v>2008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2017-1827</f>
        <v>190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2270-8422</f>
        <v>-6152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910718-928535</f>
        <v>-17817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-25283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2.08</v>
      </c>
      <c r="C19" s="199">
        <f>+B19*B18</f>
        <v>-52588.639999999999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1476887.9600000002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2.08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5">
      <c r="E39" s="49">
        <f>+A7</f>
        <v>37304</v>
      </c>
      <c r="F39" s="349">
        <f>+B18</f>
        <v>-25283</v>
      </c>
      <c r="G39" s="349">
        <f>+B31</f>
        <v>0</v>
      </c>
      <c r="H39" s="349">
        <f>+B46</f>
        <v>2635</v>
      </c>
      <c r="I39" s="14"/>
    </row>
    <row r="40" spans="1:9" x14ac:dyDescent="0.25">
      <c r="A40" s="49">
        <v>37287</v>
      </c>
      <c r="C40" s="602">
        <v>855876.1</v>
      </c>
      <c r="F40" s="14">
        <f>+F39+F38</f>
        <v>352417</v>
      </c>
      <c r="G40" s="14">
        <f>+G39+G38</f>
        <v>117857</v>
      </c>
      <c r="H40" s="14">
        <f>+H39+H38</f>
        <v>196070</v>
      </c>
      <c r="I40" s="14">
        <f>+H40+G40+F40</f>
        <v>666344</v>
      </c>
    </row>
    <row r="41" spans="1:9" x14ac:dyDescent="0.25">
      <c r="G41" s="32"/>
      <c r="H41" s="15"/>
      <c r="I41" s="32"/>
    </row>
    <row r="42" spans="1:9" x14ac:dyDescent="0.25">
      <c r="A42" s="245">
        <v>37304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1180</v>
      </c>
      <c r="G44" s="32"/>
      <c r="H44" s="380"/>
      <c r="I44" s="14"/>
    </row>
    <row r="45" spans="1:9" x14ac:dyDescent="0.25">
      <c r="A45" s="32">
        <v>500392</v>
      </c>
      <c r="B45" s="250">
        <v>1455</v>
      </c>
      <c r="G45" s="32"/>
      <c r="H45" s="380"/>
      <c r="I45" s="14"/>
    </row>
    <row r="46" spans="1:9" x14ac:dyDescent="0.25">
      <c r="B46" s="14">
        <f>SUM(B43:B45)</f>
        <v>2635</v>
      </c>
      <c r="G46" s="32"/>
      <c r="H46" s="380"/>
      <c r="I46" s="14"/>
    </row>
    <row r="47" spans="1:9" x14ac:dyDescent="0.25">
      <c r="B47" s="199">
        <f>+summary!G5</f>
        <v>2.08</v>
      </c>
      <c r="C47" s="199">
        <f>+B47*B46</f>
        <v>5480.8</v>
      </c>
      <c r="H47" s="380"/>
      <c r="I47" s="14"/>
    </row>
    <row r="48" spans="1:9" x14ac:dyDescent="0.25">
      <c r="C48" s="321">
        <f>+C47+C40</f>
        <v>861356.9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5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2710616.0100000002</v>
      </c>
      <c r="I57" s="14">
        <f>SUM(I40:I54)</f>
        <v>721677</v>
      </c>
    </row>
    <row r="61" spans="1:9" x14ac:dyDescent="0.25">
      <c r="C61" s="15">
        <f>+DEFS!F49</f>
        <v>-2839606.16</v>
      </c>
    </row>
    <row r="62" spans="1:9" x14ac:dyDescent="0.25">
      <c r="C62" s="15">
        <f>+C61+C57</f>
        <v>-128990.14999999991</v>
      </c>
      <c r="I62" s="31">
        <f>+I57+DEFS!K49</f>
        <v>267065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1476887.9600000002</v>
      </c>
      <c r="C72" s="14">
        <f>+F40</f>
        <v>352417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861356.9</v>
      </c>
      <c r="C74" s="14">
        <f>+H40</f>
        <v>196070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-631850.02</v>
      </c>
      <c r="C78" s="14">
        <f>+DEFS!J36</f>
        <v>-157443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-128990.14999999956</v>
      </c>
      <c r="C83" s="16">
        <f>SUM(C72:C82)</f>
        <v>267065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38" workbookViewId="0">
      <selection activeCell="E39" sqref="E39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587206</v>
      </c>
      <c r="E35" s="11">
        <f>SUM(E4:E34)</f>
        <v>579686</v>
      </c>
      <c r="F35" s="11">
        <f>SUM(F4:F34)</f>
        <v>-7520</v>
      </c>
      <c r="G35" s="11"/>
      <c r="H35" s="49">
        <f>+A40</f>
        <v>37304</v>
      </c>
      <c r="I35" s="349">
        <f>+C36</f>
        <v>0</v>
      </c>
      <c r="J35" s="349">
        <f>+E36</f>
        <v>-7520</v>
      </c>
      <c r="K35" s="206"/>
      <c r="L35" s="14"/>
    </row>
    <row r="36" spans="1:13" x14ac:dyDescent="0.25">
      <c r="C36" s="25">
        <f>+C35-B35</f>
        <v>0</v>
      </c>
      <c r="E36" s="25">
        <f>+E35-D35</f>
        <v>-7520</v>
      </c>
      <c r="F36" s="25">
        <f>+E36+C36</f>
        <v>-7520</v>
      </c>
      <c r="H36" s="32"/>
      <c r="I36" s="14">
        <f>+I35+I34</f>
        <v>-183967</v>
      </c>
      <c r="J36" s="14">
        <f>+J35+J34</f>
        <v>-157443</v>
      </c>
      <c r="K36" s="14">
        <f>+J36+I36</f>
        <v>-341410</v>
      </c>
      <c r="L36" s="14"/>
    </row>
    <row r="37" spans="1:13" x14ac:dyDescent="0.25">
      <c r="C37" s="313">
        <f>+summary!G5</f>
        <v>2.08</v>
      </c>
      <c r="E37" s="104">
        <f>+C37</f>
        <v>2.08</v>
      </c>
      <c r="F37" s="138">
        <f>+F36*E37</f>
        <v>-15641.6</v>
      </c>
    </row>
    <row r="38" spans="1:13" x14ac:dyDescent="0.25">
      <c r="C38" s="138">
        <f>+C37*C36</f>
        <v>0</v>
      </c>
      <c r="E38" s="136">
        <f>+E37*E36</f>
        <v>-15641.6</v>
      </c>
      <c r="F38" s="138">
        <f>+E38+C38</f>
        <v>-15641.6</v>
      </c>
    </row>
    <row r="39" spans="1:13" x14ac:dyDescent="0.25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5">
      <c r="A40" s="57">
        <v>37304</v>
      </c>
      <c r="B40" s="2" t="s">
        <v>45</v>
      </c>
      <c r="C40" s="314">
        <f>+C39+C38</f>
        <v>-1035385.61</v>
      </c>
      <c r="D40" s="252"/>
      <c r="E40" s="314">
        <f>+E39+E38</f>
        <v>-631850.02</v>
      </c>
      <c r="F40" s="314">
        <f>+E40+C40</f>
        <v>-1667235.63</v>
      </c>
      <c r="H40" s="131"/>
    </row>
    <row r="41" spans="1:13" x14ac:dyDescent="0.25">
      <c r="C41" s="329"/>
      <c r="D41" s="246"/>
      <c r="E41" s="246"/>
      <c r="H41" s="31">
        <f>+C39+E39+F45+F46+F47+F48</f>
        <v>-2823964.5600000005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4"/>
    </row>
    <row r="44" spans="1:13" x14ac:dyDescent="0.25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5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5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5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5">
      <c r="C49" s="246"/>
      <c r="D49" s="246"/>
      <c r="F49" s="330">
        <f>SUM(F40:F48)</f>
        <v>-2839606.16</v>
      </c>
      <c r="G49" s="246"/>
      <c r="K49" s="14">
        <f>SUM(K36:K48)</f>
        <v>-454612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2710616.0100000002</v>
      </c>
      <c r="M51" s="14">
        <f>+Duke!I57</f>
        <v>721677</v>
      </c>
    </row>
    <row r="53" spans="3:13" x14ac:dyDescent="0.25">
      <c r="F53" s="104">
        <f>+F51+F49</f>
        <v>-128990.14999999991</v>
      </c>
      <c r="M53" s="16">
        <f>+M51+K49</f>
        <v>267065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-157443</v>
      </c>
      <c r="C74" s="247">
        <f>+E40</f>
        <v>-631850.02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196070</v>
      </c>
      <c r="C77" s="259">
        <f>+Duke!C48</f>
        <v>861356.9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352417</v>
      </c>
      <c r="C79" s="259">
        <f>+Duke!C20</f>
        <v>1476887.9600000002</v>
      </c>
    </row>
    <row r="81" spans="2:3" x14ac:dyDescent="0.25">
      <c r="B81" s="31">
        <f>SUM(B68:B80)</f>
        <v>267065</v>
      </c>
      <c r="C81" s="259">
        <f>SUM(C68:C80)</f>
        <v>-128990.14999999991</v>
      </c>
    </row>
    <row r="82" spans="2:3" x14ac:dyDescent="0.25">
      <c r="C82">
        <f>+C81/B81</f>
        <v>-0.48299159380675083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C49" sqref="C49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96825</v>
      </c>
      <c r="C39" s="11">
        <f t="shared" si="1"/>
        <v>105698</v>
      </c>
      <c r="D39" s="11">
        <f t="shared" si="1"/>
        <v>252</v>
      </c>
      <c r="E39" s="11">
        <f t="shared" si="1"/>
        <v>108</v>
      </c>
      <c r="F39" s="129">
        <f t="shared" si="1"/>
        <v>15686</v>
      </c>
      <c r="G39" s="11">
        <f t="shared" si="1"/>
        <v>10458</v>
      </c>
      <c r="H39" s="11">
        <f t="shared" si="1"/>
        <v>26707</v>
      </c>
      <c r="I39" s="11">
        <f t="shared" si="1"/>
        <v>16110</v>
      </c>
      <c r="J39" s="25">
        <f t="shared" si="1"/>
        <v>-7096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-14759.68</v>
      </c>
      <c r="L41"/>
      <c r="R41" s="138"/>
      <c r="X41" s="138"/>
    </row>
    <row r="42" spans="1:24" x14ac:dyDescent="0.25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37305</v>
      </c>
      <c r="C43" s="48"/>
      <c r="J43" s="138">
        <f>+J42+J41</f>
        <v>326518.32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67">
        <v>135419</v>
      </c>
      <c r="L47"/>
    </row>
    <row r="48" spans="1:24" x14ac:dyDescent="0.25">
      <c r="A48" s="49">
        <f>+A43</f>
        <v>37305</v>
      </c>
      <c r="B48" s="32"/>
      <c r="C48" s="32"/>
      <c r="D48" s="349">
        <f>+J39</f>
        <v>-7096</v>
      </c>
      <c r="L48"/>
    </row>
    <row r="49" spans="1:12" x14ac:dyDescent="0.25">
      <c r="A49" s="32"/>
      <c r="B49" s="32"/>
      <c r="C49" s="32"/>
      <c r="D49" s="14">
        <f>+D48+D47</f>
        <v>128323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46" sqref="D46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0</v>
      </c>
      <c r="C39" s="410">
        <f>SUM(C8:C38)</f>
        <v>0</v>
      </c>
      <c r="D39" s="410">
        <f>SUM(D8:D38)</f>
        <v>-7389</v>
      </c>
      <c r="E39" s="410">
        <f>SUM(E8:E38)</f>
        <v>0</v>
      </c>
      <c r="F39" s="410">
        <f>SUM(F8:F38)</f>
        <v>7389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15369.12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37305</v>
      </c>
      <c r="B43" s="285"/>
      <c r="C43" s="435"/>
      <c r="D43" s="435"/>
      <c r="E43" s="435"/>
      <c r="F43" s="416">
        <f>+F42+F41</f>
        <v>167603.75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485">
        <v>-368359</v>
      </c>
      <c r="E47" s="11"/>
    </row>
    <row r="48" spans="1:26" x14ac:dyDescent="0.25">
      <c r="A48" s="49">
        <f>+A43</f>
        <v>37305</v>
      </c>
      <c r="B48" s="32"/>
      <c r="C48" s="32"/>
      <c r="D48" s="349">
        <f>+F39</f>
        <v>7389</v>
      </c>
      <c r="E48" s="11"/>
    </row>
    <row r="49" spans="1:5" x14ac:dyDescent="0.25">
      <c r="A49" s="32"/>
      <c r="B49" s="32"/>
      <c r="C49" s="32"/>
      <c r="D49" s="14">
        <f>+D48+D47</f>
        <v>-360970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C41" sqref="C41"/>
    </sheetView>
  </sheetViews>
  <sheetFormatPr defaultColWidth="9.109375" defaultRowHeight="13.2" x14ac:dyDescent="0.25"/>
  <cols>
    <col min="1" max="1" width="25.88671875" style="285" customWidth="1"/>
    <col min="2" max="2" width="11.109375" style="543" bestFit="1" customWidth="1"/>
    <col min="3" max="3" width="9.6640625" style="544" customWidth="1"/>
    <col min="4" max="4" width="5.109375" style="545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7" bestFit="1" customWidth="1"/>
    <col min="15" max="15" width="9" style="548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6"/>
    </row>
    <row r="3" spans="1:33" ht="15" customHeight="1" x14ac:dyDescent="0.25">
      <c r="F3" s="549" t="s">
        <v>29</v>
      </c>
      <c r="G3" s="550">
        <f>+'[3]1001'!$K$39</f>
        <v>2.09</v>
      </c>
      <c r="J3" s="373">
        <f ca="1">NOW()</f>
        <v>37307.846196180559</v>
      </c>
    </row>
    <row r="4" spans="1:33" ht="15" customHeight="1" x14ac:dyDescent="0.25">
      <c r="A4" s="34" t="s">
        <v>144</v>
      </c>
      <c r="C4" s="34" t="s">
        <v>5</v>
      </c>
      <c r="F4" s="551" t="s">
        <v>30</v>
      </c>
      <c r="G4" s="552">
        <f>+'[3]1001'!$M$39</f>
        <v>2.08</v>
      </c>
    </row>
    <row r="5" spans="1:33" ht="15" customHeight="1" x14ac:dyDescent="0.25">
      <c r="B5" s="553"/>
      <c r="F5" s="549" t="s">
        <v>117</v>
      </c>
      <c r="G5" s="550">
        <f>+'[3]1001'!$H$39</f>
        <v>2.08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879575.44</v>
      </c>
      <c r="C8" s="275">
        <f>+B8/$G$4</f>
        <v>422872.80769230763</v>
      </c>
      <c r="D8" s="364">
        <f>+PNM!A23</f>
        <v>37306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345">
        <f>+Conoco!$F$41</f>
        <v>464068.77</v>
      </c>
      <c r="C9" s="275">
        <f>+B9/$G$4</f>
        <v>223109.98557692309</v>
      </c>
      <c r="D9" s="363">
        <f>+Conoco!A41</f>
        <v>37306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94</v>
      </c>
      <c r="B10" s="345">
        <f>+C10*$G$4</f>
        <v>360738.56</v>
      </c>
      <c r="C10" s="275">
        <f>+Mojave!D40</f>
        <v>173432</v>
      </c>
      <c r="D10" s="364">
        <f>+Mojave!A40</f>
        <v>37306</v>
      </c>
      <c r="E10" s="32" t="s">
        <v>84</v>
      </c>
      <c r="F10" s="32" t="s">
        <v>153</v>
      </c>
      <c r="G10" s="32" t="s">
        <v>100</v>
      </c>
      <c r="H10" s="610" t="s">
        <v>314</v>
      </c>
      <c r="I10" s="610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107</v>
      </c>
      <c r="B11" s="345">
        <f>+KN_Westar!F41</f>
        <v>328563.40000000002</v>
      </c>
      <c r="C11" s="275">
        <f>+B11/$G$4</f>
        <v>157963.17307692309</v>
      </c>
      <c r="D11" s="364">
        <f>+KN_Westar!A41</f>
        <v>37305</v>
      </c>
      <c r="E11" s="32" t="s">
        <v>85</v>
      </c>
      <c r="F11" s="32" t="s">
        <v>153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2</v>
      </c>
      <c r="B12" s="345">
        <f>+mewborne!$J$43</f>
        <v>326518.32</v>
      </c>
      <c r="C12" s="275">
        <f>+B12/$G$4</f>
        <v>156979.96153846153</v>
      </c>
      <c r="D12" s="364">
        <f>+mewborne!A43</f>
        <v>37305</v>
      </c>
      <c r="E12" s="32" t="s">
        <v>85</v>
      </c>
      <c r="F12" s="32" t="s">
        <v>299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88</v>
      </c>
      <c r="B13" s="345">
        <f>+C13*$G$5</f>
        <v>186353.44</v>
      </c>
      <c r="C13" s="275">
        <f>+NGPL!H38</f>
        <v>89593</v>
      </c>
      <c r="D13" s="364">
        <f>+NGPL!A38</f>
        <v>37306</v>
      </c>
      <c r="E13" s="204" t="s">
        <v>84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206</v>
      </c>
      <c r="B14" s="345">
        <f>+Dominion!D41</f>
        <v>172974.90000000002</v>
      </c>
      <c r="C14" s="275">
        <f>+B14/$G$5</f>
        <v>83161.009615384624</v>
      </c>
      <c r="D14" s="364">
        <f>+Dominion!A41</f>
        <v>37306</v>
      </c>
      <c r="E14" s="32" t="s">
        <v>85</v>
      </c>
      <c r="F14" s="32" t="s">
        <v>299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3</v>
      </c>
      <c r="B15" s="345">
        <f>+'Amoco Abo'!$F$43</f>
        <v>167603.75</v>
      </c>
      <c r="C15" s="275">
        <f>+B15/$G$4</f>
        <v>80578.725961538454</v>
      </c>
      <c r="D15" s="364">
        <f>+'Amoco Abo'!A43</f>
        <v>37305</v>
      </c>
      <c r="E15" s="32" t="s">
        <v>85</v>
      </c>
      <c r="F15" s="32" t="s">
        <v>152</v>
      </c>
      <c r="G15" s="32" t="s">
        <v>115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04" t="s">
        <v>32</v>
      </c>
      <c r="B16" s="345">
        <f>+C16*$G$4</f>
        <v>166015.20000000001</v>
      </c>
      <c r="C16" s="206">
        <f>+SoCal!F40</f>
        <v>79815</v>
      </c>
      <c r="D16" s="363">
        <f>+SoCal!A40</f>
        <v>37306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129</v>
      </c>
      <c r="B17" s="345">
        <f>+EPFS!D41</f>
        <v>143000.64000000001</v>
      </c>
      <c r="C17" s="206">
        <f>+B17/$G$5</f>
        <v>68750.307692307702</v>
      </c>
      <c r="D17" s="363">
        <f>+EPFS!A41</f>
        <v>37306</v>
      </c>
      <c r="E17" s="32" t="s">
        <v>85</v>
      </c>
      <c r="F17" s="32" t="s">
        <v>153</v>
      </c>
      <c r="G17" s="32" t="s">
        <v>102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23</v>
      </c>
      <c r="B18" s="345">
        <f>+C18*$G$3</f>
        <v>129690.76999999999</v>
      </c>
      <c r="C18" s="347">
        <f>+'Red C'!$F$45</f>
        <v>62053</v>
      </c>
      <c r="D18" s="363">
        <f>+'Red C'!A45</f>
        <v>37306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442" t="s">
        <v>79</v>
      </c>
      <c r="B19" s="501">
        <f>+Agave!$D$24</f>
        <v>108157.26000000001</v>
      </c>
      <c r="C19" s="462">
        <f>+B19/$G$4</f>
        <v>51998.682692307695</v>
      </c>
      <c r="D19" s="461">
        <f>+Agave!A24</f>
        <v>37306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217</v>
      </c>
      <c r="B20" s="345">
        <f>+Amarillo!P41</f>
        <v>102694.48</v>
      </c>
      <c r="C20" s="275">
        <f>+B20/$G$4</f>
        <v>49372.346153846149</v>
      </c>
      <c r="D20" s="364">
        <f>+Amarillo!A41</f>
        <v>37304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204" t="s">
        <v>139</v>
      </c>
      <c r="B21" s="345">
        <f>+'Citizens-Griffith'!D41</f>
        <v>96384.12000000001</v>
      </c>
      <c r="C21" s="275">
        <f>+B21/$G$4</f>
        <v>46338.519230769234</v>
      </c>
      <c r="D21" s="363">
        <f>+'Citizens-Griffith'!A41</f>
        <v>37306</v>
      </c>
      <c r="E21" s="204" t="s">
        <v>85</v>
      </c>
      <c r="F21" s="204" t="s">
        <v>300</v>
      </c>
      <c r="G21" s="204" t="s">
        <v>99</v>
      </c>
      <c r="H21" s="204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31</v>
      </c>
      <c r="B22" s="345">
        <f>+C22*$G$5</f>
        <v>87495.2</v>
      </c>
      <c r="C22" s="275">
        <f>+Lonestar!F43</f>
        <v>42065</v>
      </c>
      <c r="D22" s="363">
        <f>+Lonestar!A43</f>
        <v>37305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32" t="s">
        <v>114</v>
      </c>
      <c r="B23" s="345">
        <f>+C23*$G$4</f>
        <v>87416.16</v>
      </c>
      <c r="C23" s="206">
        <f>+'PG&amp;E'!D40</f>
        <v>42027</v>
      </c>
      <c r="D23" s="364">
        <f>+'PG&amp;E'!A40</f>
        <v>37306</v>
      </c>
      <c r="E23" s="32" t="s">
        <v>84</v>
      </c>
      <c r="F23" s="32" t="s">
        <v>153</v>
      </c>
      <c r="G23" s="32" t="s">
        <v>102</v>
      </c>
      <c r="H23" s="32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5">
      <c r="A24" s="204" t="s">
        <v>306</v>
      </c>
      <c r="B24" s="345">
        <f>+Plains!$N$43</f>
        <v>63241.56</v>
      </c>
      <c r="C24" s="206">
        <f>+B24/$G$4</f>
        <v>30404.596153846152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5">
      <c r="A25" s="204" t="s">
        <v>127</v>
      </c>
      <c r="B25" s="345">
        <f>+Calpine!D41</f>
        <v>50582.880000000005</v>
      </c>
      <c r="C25" s="206">
        <f>+B25/$G$4</f>
        <v>24318.692307692309</v>
      </c>
      <c r="D25" s="363">
        <f>+Calpine!A41</f>
        <v>37305</v>
      </c>
      <c r="E25" s="204" t="s">
        <v>85</v>
      </c>
      <c r="F25" s="204" t="s">
        <v>152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5">
      <c r="A26" s="204" t="s">
        <v>142</v>
      </c>
      <c r="B26" s="346">
        <f>+C26*$G$4</f>
        <v>49402.080000000002</v>
      </c>
      <c r="C26" s="347">
        <f>+PEPL!D41</f>
        <v>23751</v>
      </c>
      <c r="D26" s="363">
        <f>+PEPL!A41</f>
        <v>37305</v>
      </c>
      <c r="E26" s="204" t="s">
        <v>84</v>
      </c>
      <c r="F26" s="204" t="s">
        <v>300</v>
      </c>
      <c r="G26" s="204" t="s">
        <v>100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32" t="s">
        <v>297</v>
      </c>
      <c r="B27" s="345">
        <f>+Stratland!$D$41</f>
        <v>48490.31</v>
      </c>
      <c r="C27" s="275">
        <f>+B27/$G$4</f>
        <v>23312.649038461535</v>
      </c>
      <c r="D27" s="363">
        <f>+Stratland!A41</f>
        <v>37287</v>
      </c>
      <c r="E27" s="32" t="s">
        <v>85</v>
      </c>
      <c r="F27" s="32" t="s">
        <v>299</v>
      </c>
      <c r="G27" s="32" t="s">
        <v>102</v>
      </c>
      <c r="H27" s="32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5">
      <c r="A28" s="204" t="s">
        <v>33</v>
      </c>
      <c r="B28" s="345">
        <f>+'El Paso'!C39*summary!G4+'El Paso'!E39*summary!G3</f>
        <v>48144.180000000022</v>
      </c>
      <c r="C28" s="275">
        <f>+'El Paso'!H39</f>
        <v>23343</v>
      </c>
      <c r="D28" s="363">
        <f>+'El Paso'!A39</f>
        <v>37306</v>
      </c>
      <c r="E28" s="204" t="s">
        <v>84</v>
      </c>
      <c r="F28" s="204" t="s">
        <v>153</v>
      </c>
      <c r="G28" s="204" t="s">
        <v>100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204" t="s">
        <v>109</v>
      </c>
      <c r="B29" s="345">
        <f>+Continental!F43</f>
        <v>46769.48</v>
      </c>
      <c r="C29" s="206">
        <f>+B29/$G$4</f>
        <v>22485.326923076926</v>
      </c>
      <c r="D29" s="363">
        <f>+Continental!A43</f>
        <v>37305</v>
      </c>
      <c r="E29" s="204" t="s">
        <v>85</v>
      </c>
      <c r="F29" s="204" t="s">
        <v>153</v>
      </c>
      <c r="G29" s="204" t="s">
        <v>115</v>
      </c>
      <c r="H29" s="204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32" t="s">
        <v>110</v>
      </c>
      <c r="B30" s="345">
        <f>+C30*$G$4</f>
        <v>36580.959999999999</v>
      </c>
      <c r="C30" s="275">
        <f>+CIG!D42</f>
        <v>17587</v>
      </c>
      <c r="D30" s="364">
        <f>+CIG!A42</f>
        <v>37305</v>
      </c>
      <c r="E30" s="204" t="s">
        <v>84</v>
      </c>
      <c r="F30" s="32" t="s">
        <v>153</v>
      </c>
      <c r="G30" s="32" t="s">
        <v>113</v>
      </c>
      <c r="H30" s="610" t="s">
        <v>314</v>
      </c>
      <c r="I30" s="610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5">
      <c r="A31" s="204" t="s">
        <v>87</v>
      </c>
      <c r="B31" s="345">
        <f>+NNG!$D$24</f>
        <v>35753.51</v>
      </c>
      <c r="C31" s="275">
        <f>+B31/$G$4</f>
        <v>17189.1875</v>
      </c>
      <c r="D31" s="363">
        <f>+NNG!A24</f>
        <v>37305</v>
      </c>
      <c r="E31" s="204" t="s">
        <v>85</v>
      </c>
      <c r="F31" s="204" t="s">
        <v>299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280</v>
      </c>
      <c r="B32" s="345">
        <f>+'WTG inc'!N43</f>
        <v>22368.01</v>
      </c>
      <c r="C32" s="275">
        <f>+B32/$G$4</f>
        <v>10753.850961538461</v>
      </c>
      <c r="D32" s="364">
        <f>+'WTG inc'!A43</f>
        <v>37305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54" customFormat="1" ht="13.5" customHeight="1" x14ac:dyDescent="0.25">
      <c r="A33" s="32" t="s">
        <v>6</v>
      </c>
      <c r="B33" s="345">
        <f>+Oasis!$D$40</f>
        <v>19746.59</v>
      </c>
      <c r="C33" s="206">
        <f>+B33/$G$5</f>
        <v>9493.5528846153848</v>
      </c>
      <c r="D33" s="364">
        <f>+Oasis!A40</f>
        <v>37305</v>
      </c>
      <c r="E33" s="32" t="s">
        <v>85</v>
      </c>
      <c r="F33" s="32" t="s">
        <v>153</v>
      </c>
      <c r="G33" s="32" t="s">
        <v>102</v>
      </c>
      <c r="H33" s="32"/>
      <c r="I33" s="204"/>
      <c r="J33" s="204"/>
      <c r="K33" s="204"/>
      <c r="L33" s="204"/>
      <c r="M33" s="204"/>
      <c r="N33" s="469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3.5" customHeight="1" x14ac:dyDescent="0.25">
      <c r="A34" s="204" t="s">
        <v>146</v>
      </c>
      <c r="B34" s="345">
        <f>+PGETX!$H$39</f>
        <v>16254.68</v>
      </c>
      <c r="C34" s="275">
        <f>+B34/$G$4</f>
        <v>7814.75</v>
      </c>
      <c r="D34" s="363">
        <f>+PGETX!E39</f>
        <v>37305</v>
      </c>
      <c r="E34" s="204" t="s">
        <v>85</v>
      </c>
      <c r="F34" s="204" t="s">
        <v>153</v>
      </c>
      <c r="G34" s="204" t="s">
        <v>102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2.9" customHeight="1" x14ac:dyDescent="0.25">
      <c r="A35" s="32" t="s">
        <v>131</v>
      </c>
      <c r="B35" s="348">
        <f>+SidR!D41</f>
        <v>12824.599999999999</v>
      </c>
      <c r="C35" s="71">
        <f>+B35/$G$5</f>
        <v>6165.6730769230762</v>
      </c>
      <c r="D35" s="364">
        <f>+SidR!A41</f>
        <v>37305</v>
      </c>
      <c r="E35" s="32" t="s">
        <v>85</v>
      </c>
      <c r="F35" s="32" t="s">
        <v>151</v>
      </c>
      <c r="G35" s="32" t="s">
        <v>102</v>
      </c>
      <c r="H35" s="32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8" customHeight="1" x14ac:dyDescent="0.25">
      <c r="A36" s="32" t="s">
        <v>96</v>
      </c>
      <c r="B36" s="47">
        <f>SUM(B8:B35)</f>
        <v>4257409.25</v>
      </c>
      <c r="C36" s="69">
        <f>SUM(C8:C35)</f>
        <v>2046729.7980769235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5">
      <c r="A37" s="32"/>
      <c r="B37" s="47"/>
      <c r="C37" s="69"/>
      <c r="D37" s="203"/>
      <c r="E37" s="32"/>
      <c r="F37" s="350"/>
      <c r="G37" s="350"/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5">
      <c r="A38" s="334" t="s">
        <v>89</v>
      </c>
      <c r="B38" s="335" t="s">
        <v>16</v>
      </c>
      <c r="C38" s="336" t="s">
        <v>0</v>
      </c>
      <c r="D38" s="343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9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204" t="s">
        <v>135</v>
      </c>
      <c r="B39" s="345">
        <f>+Citizens!D18</f>
        <v>-563447.35000000009</v>
      </c>
      <c r="C39" s="206">
        <f>+B39/$G$4</f>
        <v>-270888.14903846156</v>
      </c>
      <c r="D39" s="363">
        <f>+Citizens!A18</f>
        <v>37304</v>
      </c>
      <c r="E39" s="204" t="s">
        <v>85</v>
      </c>
      <c r="F39" s="204" t="s">
        <v>300</v>
      </c>
      <c r="G39" s="204" t="s">
        <v>99</v>
      </c>
      <c r="H39" s="351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" customHeight="1" x14ac:dyDescent="0.25">
      <c r="A40" s="32" t="s">
        <v>133</v>
      </c>
      <c r="B40" s="345">
        <f>+'NS Steel'!D41</f>
        <v>-269782.59999999998</v>
      </c>
      <c r="C40" s="206">
        <f>+B40/$G$4</f>
        <v>-129703.17307692306</v>
      </c>
      <c r="D40" s="364">
        <f>+'NS Steel'!A41</f>
        <v>37305</v>
      </c>
      <c r="E40" s="32" t="s">
        <v>85</v>
      </c>
      <c r="F40" s="32" t="s">
        <v>153</v>
      </c>
      <c r="G40" s="32" t="s">
        <v>100</v>
      </c>
      <c r="H40" s="351"/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" customHeight="1" x14ac:dyDescent="0.25">
      <c r="A41" s="204" t="s">
        <v>257</v>
      </c>
      <c r="B41" s="345">
        <f>+MiVida_Rich!D41</f>
        <v>-192285.66</v>
      </c>
      <c r="C41" s="206">
        <f>+B41/$G$5</f>
        <v>-92445.028846153844</v>
      </c>
      <c r="D41" s="363">
        <f>+MiVida_Rich!A41</f>
        <v>37287</v>
      </c>
      <c r="E41" s="204" t="s">
        <v>85</v>
      </c>
      <c r="F41" s="204" t="s">
        <v>151</v>
      </c>
      <c r="G41" s="204" t="s">
        <v>102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32" t="s">
        <v>215</v>
      </c>
      <c r="B42" s="345">
        <f>+crosstex!F41</f>
        <v>-134414.39000000001</v>
      </c>
      <c r="C42" s="206">
        <f>+B42/$G$4</f>
        <v>-64622.30288461539</v>
      </c>
      <c r="D42" s="364">
        <f>+crosstex!A41</f>
        <v>37304</v>
      </c>
      <c r="E42" s="32" t="s">
        <v>85</v>
      </c>
      <c r="F42" s="32" t="s">
        <v>151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5" customFormat="1" ht="13.5" customHeight="1" x14ac:dyDescent="0.25">
      <c r="A43" s="204" t="s">
        <v>310</v>
      </c>
      <c r="B43" s="346">
        <f>+Duke!B83</f>
        <v>-128990.14999999956</v>
      </c>
      <c r="C43" s="347">
        <f>+B43/$G$5</f>
        <v>-62014.495192307477</v>
      </c>
      <c r="D43" s="363">
        <f>+DEFS!A40</f>
        <v>37304</v>
      </c>
      <c r="E43" s="204" t="s">
        <v>85</v>
      </c>
      <c r="F43" s="32" t="s">
        <v>152</v>
      </c>
      <c r="G43" s="32" t="s">
        <v>100</v>
      </c>
      <c r="H43" s="32"/>
      <c r="I43" s="249"/>
      <c r="J43" s="249"/>
      <c r="K43" s="249"/>
      <c r="L43" s="249"/>
      <c r="M43" s="32"/>
      <c r="N43" s="469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ht="13.5" customHeight="1" x14ac:dyDescent="0.25">
      <c r="A44" s="204" t="s">
        <v>95</v>
      </c>
      <c r="B44" s="345">
        <f>+burlington!D42</f>
        <v>-56909.22</v>
      </c>
      <c r="C44" s="275">
        <f>+B44/$G$3</f>
        <v>-27229.291866028711</v>
      </c>
      <c r="D44" s="363">
        <f>+burlington!A42</f>
        <v>37305</v>
      </c>
      <c r="E44" s="204" t="s">
        <v>85</v>
      </c>
      <c r="F44" s="32" t="s">
        <v>153</v>
      </c>
      <c r="G44" s="32" t="s">
        <v>113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4" customFormat="1" ht="13.5" customHeight="1" x14ac:dyDescent="0.25">
      <c r="A45" s="32" t="s">
        <v>277</v>
      </c>
      <c r="B45" s="345">
        <f>+SWGasTrans!$D$41</f>
        <v>-27828.129999999997</v>
      </c>
      <c r="C45" s="275">
        <f>+B45/$G$4</f>
        <v>-13378.908653846152</v>
      </c>
      <c r="D45" s="363">
        <f>+SWGasTrans!A41</f>
        <v>37305</v>
      </c>
      <c r="E45" s="32" t="s">
        <v>85</v>
      </c>
      <c r="F45" s="32" t="s">
        <v>152</v>
      </c>
      <c r="G45" s="32" t="s">
        <v>99</v>
      </c>
      <c r="H45" s="32"/>
      <c r="I45" s="204"/>
      <c r="J45" s="204"/>
      <c r="K45" s="204"/>
      <c r="L45" s="204"/>
      <c r="M45" s="204"/>
      <c r="N45" s="469"/>
      <c r="O45" s="273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</row>
    <row r="46" spans="1:33" ht="13.5" customHeight="1" x14ac:dyDescent="0.25">
      <c r="A46" s="204" t="s">
        <v>203</v>
      </c>
      <c r="B46" s="346">
        <f>+WTGmktg!J43</f>
        <v>-24888.649999999994</v>
      </c>
      <c r="C46" s="206">
        <f>+B46/$G$4</f>
        <v>-11965.697115384612</v>
      </c>
      <c r="D46" s="363">
        <f>+WTGmktg!A43</f>
        <v>37305</v>
      </c>
      <c r="E46" s="32" t="s">
        <v>85</v>
      </c>
      <c r="F46" s="204" t="s">
        <v>152</v>
      </c>
      <c r="G46" s="204" t="s">
        <v>115</v>
      </c>
      <c r="H46" s="204"/>
      <c r="I46" s="32"/>
      <c r="J46" s="32"/>
      <c r="K46" s="32"/>
      <c r="L46" s="32"/>
      <c r="M46" s="32" t="s">
        <v>243</v>
      </c>
      <c r="N46" s="379">
        <v>23995</v>
      </c>
      <c r="O46" s="70">
        <v>-1023166</v>
      </c>
      <c r="P46" s="32" t="s">
        <v>245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3.5" customHeight="1" x14ac:dyDescent="0.25">
      <c r="A47" s="32" t="s">
        <v>1</v>
      </c>
      <c r="B47" s="345">
        <f>+C47*$G$3</f>
        <v>-21924.1</v>
      </c>
      <c r="C47" s="206">
        <f>+NW!$F$41</f>
        <v>-10490</v>
      </c>
      <c r="D47" s="363">
        <f>+NW!B41</f>
        <v>37305</v>
      </c>
      <c r="E47" s="32" t="s">
        <v>84</v>
      </c>
      <c r="F47" s="32" t="s">
        <v>152</v>
      </c>
      <c r="G47" s="32" t="s">
        <v>115</v>
      </c>
      <c r="H47" s="351"/>
      <c r="I47" s="32"/>
      <c r="J47" s="32"/>
      <c r="K47" s="32"/>
      <c r="L47" s="32"/>
      <c r="M47" s="32"/>
      <c r="N47" s="379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5">
      <c r="A48" s="204" t="s">
        <v>28</v>
      </c>
      <c r="B48" s="345">
        <f>+C48*$G$3</f>
        <v>-18950.03</v>
      </c>
      <c r="C48" s="275">
        <f>+williams!J40</f>
        <v>-9067</v>
      </c>
      <c r="D48" s="363">
        <f>+williams!A40</f>
        <v>37306</v>
      </c>
      <c r="E48" s="204" t="s">
        <v>85</v>
      </c>
      <c r="F48" s="204" t="s">
        <v>153</v>
      </c>
      <c r="G48" s="204" t="s">
        <v>290</v>
      </c>
      <c r="H48" s="204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5">
      <c r="A49" s="32" t="s">
        <v>103</v>
      </c>
      <c r="B49" s="345">
        <f>+EOG!$J$41</f>
        <v>-11989.39</v>
      </c>
      <c r="C49" s="275">
        <f>+B49/$G$4</f>
        <v>-5764.1298076923076</v>
      </c>
      <c r="D49" s="363">
        <f>+EOG!A41</f>
        <v>37305</v>
      </c>
      <c r="E49" s="32" t="s">
        <v>85</v>
      </c>
      <c r="F49" s="32" t="s">
        <v>299</v>
      </c>
      <c r="G49" s="32" t="s">
        <v>102</v>
      </c>
      <c r="H49" s="32"/>
      <c r="I49" s="204"/>
      <c r="J49" s="204"/>
      <c r="K49" s="204"/>
      <c r="L49" s="204"/>
      <c r="M49" s="204" t="s">
        <v>242</v>
      </c>
      <c r="N49" s="469">
        <v>24268</v>
      </c>
      <c r="O49" s="273">
        <v>1481856.66</v>
      </c>
      <c r="P49" s="273">
        <f>+O49</f>
        <v>1481856.66</v>
      </c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5">
      <c r="A50" s="32" t="s">
        <v>209</v>
      </c>
      <c r="B50" s="345">
        <f>+Devon!D41</f>
        <v>-8941.92</v>
      </c>
      <c r="C50" s="275">
        <f>+B50/$G$5</f>
        <v>-4299</v>
      </c>
      <c r="D50" s="364">
        <f>+Devon!A41</f>
        <v>37305</v>
      </c>
      <c r="E50" s="32" t="s">
        <v>85</v>
      </c>
      <c r="F50" s="32" t="s">
        <v>300</v>
      </c>
      <c r="G50" s="32" t="s">
        <v>99</v>
      </c>
      <c r="H50" s="32" t="s">
        <v>311</v>
      </c>
      <c r="I50" s="204"/>
      <c r="J50" s="204"/>
      <c r="K50" s="204"/>
      <c r="L50" s="204"/>
      <c r="M50" s="204"/>
      <c r="N50" s="469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5">
      <c r="A51" s="32" t="s">
        <v>288</v>
      </c>
      <c r="B51" s="345">
        <f>+C51*$G$3</f>
        <v>-8675.59</v>
      </c>
      <c r="C51" s="275">
        <f>+Amoco!D40</f>
        <v>-4151</v>
      </c>
      <c r="D51" s="364">
        <f>+Amoco!A40</f>
        <v>37305</v>
      </c>
      <c r="E51" s="32" t="s">
        <v>84</v>
      </c>
      <c r="F51" s="32" t="s">
        <v>152</v>
      </c>
      <c r="G51" s="32" t="s">
        <v>115</v>
      </c>
      <c r="H51" s="249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5">
      <c r="A52" s="204" t="s">
        <v>71</v>
      </c>
      <c r="B52" s="605">
        <f>+transcol!$D$43</f>
        <v>-374.28000000000247</v>
      </c>
      <c r="C52" s="283">
        <f>+B52/$G$4</f>
        <v>-179.94230769230887</v>
      </c>
      <c r="D52" s="363">
        <f>+transcol!A43</f>
        <v>37305</v>
      </c>
      <c r="E52" s="204" t="s">
        <v>85</v>
      </c>
      <c r="F52" s="204" t="s">
        <v>152</v>
      </c>
      <c r="G52" s="204" t="s">
        <v>115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45">
        <f>SUM(B39:B52)</f>
        <v>-1469401.4599999993</v>
      </c>
      <c r="C53" s="206">
        <f>SUM(C39:C52)</f>
        <v>-706198.11878910533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+B53+B36</f>
        <v>2788007.790000001</v>
      </c>
      <c r="C55" s="354">
        <f>+C53+C36</f>
        <v>1340531.6792878183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8" sqref="B8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-542296</v>
      </c>
      <c r="C7" s="80">
        <v>-216603</v>
      </c>
      <c r="D7" s="80">
        <f t="shared" si="0"/>
        <v>325693</v>
      </c>
    </row>
    <row r="8" spans="1:4" x14ac:dyDescent="0.2">
      <c r="A8" s="32">
        <v>60667</v>
      </c>
      <c r="B8" s="309">
        <v>-18</v>
      </c>
      <c r="C8" s="80">
        <v>-603171</v>
      </c>
      <c r="D8" s="80">
        <f t="shared" si="0"/>
        <v>-603153</v>
      </c>
    </row>
    <row r="9" spans="1:4" x14ac:dyDescent="0.2">
      <c r="A9" s="32">
        <v>60749</v>
      </c>
      <c r="B9" s="309">
        <v>48196</v>
      </c>
      <c r="C9" s="80">
        <v>-44940</v>
      </c>
      <c r="D9" s="80">
        <f t="shared" si="0"/>
        <v>-93136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-382739</v>
      </c>
      <c r="C11" s="80"/>
      <c r="D11" s="80">
        <f t="shared" si="0"/>
        <v>382739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12143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25257.440000000002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37305</v>
      </c>
      <c r="B24" s="69"/>
      <c r="C24" s="69"/>
      <c r="D24" s="331">
        <f>+D22+D20</f>
        <v>35753.51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37305</v>
      </c>
      <c r="D33" s="349">
        <f>+D18</f>
        <v>12143</v>
      </c>
    </row>
    <row r="34" spans="1:4" x14ac:dyDescent="0.2">
      <c r="D34" s="14">
        <f>+D33+D32</f>
        <v>16489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10" workbookViewId="0">
      <selection activeCell="C32" sqref="C32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f>-69310-3578</f>
        <v>-72888</v>
      </c>
      <c r="C5" s="90">
        <v>-38202</v>
      </c>
      <c r="D5" s="90">
        <f t="shared" ref="D5:D13" si="0">+C5-B5</f>
        <v>34686</v>
      </c>
      <c r="E5" s="69"/>
      <c r="F5" s="201"/>
    </row>
    <row r="6" spans="1:11" x14ac:dyDescent="0.25">
      <c r="A6" s="87">
        <v>9238</v>
      </c>
      <c r="B6" s="90">
        <f>-16006-327</f>
        <v>-16333</v>
      </c>
      <c r="C6" s="90">
        <v>-19000</v>
      </c>
      <c r="D6" s="90">
        <f t="shared" si="0"/>
        <v>-2667</v>
      </c>
      <c r="E6" s="275"/>
      <c r="F6" s="201"/>
      <c r="K6" s="65"/>
    </row>
    <row r="7" spans="1:11" x14ac:dyDescent="0.25">
      <c r="A7" s="87">
        <v>56422</v>
      </c>
      <c r="B7" s="90">
        <f>-1545820-79636</f>
        <v>-1625456</v>
      </c>
      <c r="C7" s="90">
        <v>-1440522</v>
      </c>
      <c r="D7" s="90">
        <f t="shared" si="0"/>
        <v>184934</v>
      </c>
      <c r="E7" s="275"/>
      <c r="F7" s="201"/>
    </row>
    <row r="8" spans="1:11" x14ac:dyDescent="0.25">
      <c r="A8" s="87">
        <v>58710</v>
      </c>
      <c r="B8" s="90">
        <v>-4946</v>
      </c>
      <c r="C8" s="90">
        <v>-31715</v>
      </c>
      <c r="D8" s="90">
        <f t="shared" si="0"/>
        <v>-26769</v>
      </c>
      <c r="E8" s="275"/>
      <c r="F8" s="201"/>
    </row>
    <row r="9" spans="1:11" x14ac:dyDescent="0.25">
      <c r="A9" s="87">
        <v>60921</v>
      </c>
      <c r="B9" s="90">
        <f>-1154600-66220</f>
        <v>-1220820</v>
      </c>
      <c r="C9" s="90">
        <v>-1364036</v>
      </c>
      <c r="D9" s="90">
        <f t="shared" si="0"/>
        <v>-143216</v>
      </c>
      <c r="E9" s="275"/>
      <c r="F9" s="201"/>
    </row>
    <row r="10" spans="1:11" x14ac:dyDescent="0.25">
      <c r="A10" s="87">
        <v>78026</v>
      </c>
      <c r="B10" s="90"/>
      <c r="C10" s="90">
        <v>10450</v>
      </c>
      <c r="D10" s="90">
        <f t="shared" si="0"/>
        <v>10450</v>
      </c>
      <c r="E10" s="275"/>
      <c r="F10" s="465"/>
    </row>
    <row r="11" spans="1:11" x14ac:dyDescent="0.25">
      <c r="A11" s="87">
        <v>500084</v>
      </c>
      <c r="B11" s="90">
        <f>-34486-3231</f>
        <v>-37717</v>
      </c>
      <c r="C11" s="90">
        <v>-57000</v>
      </c>
      <c r="D11" s="90">
        <f t="shared" si="0"/>
        <v>-19283</v>
      </c>
      <c r="E11" s="276"/>
      <c r="F11" s="465"/>
    </row>
    <row r="12" spans="1:11" x14ac:dyDescent="0.25">
      <c r="A12" s="317">
        <v>500085</v>
      </c>
      <c r="B12" s="90">
        <v>-3596</v>
      </c>
      <c r="C12" s="90"/>
      <c r="D12" s="90">
        <f t="shared" si="0"/>
        <v>3596</v>
      </c>
      <c r="E12" s="275"/>
      <c r="F12" s="465"/>
    </row>
    <row r="13" spans="1:11" x14ac:dyDescent="0.25">
      <c r="A13" s="87">
        <v>500097</v>
      </c>
      <c r="B13" s="90">
        <f>-56495-2000</f>
        <v>-58495</v>
      </c>
      <c r="C13" s="90">
        <v>-78961</v>
      </c>
      <c r="D13" s="90">
        <f t="shared" si="0"/>
        <v>-20466</v>
      </c>
      <c r="E13" s="275"/>
      <c r="F13" s="465"/>
    </row>
    <row r="14" spans="1:11" x14ac:dyDescent="0.25">
      <c r="A14" s="87"/>
      <c r="B14" s="90"/>
      <c r="C14" s="90"/>
      <c r="D14" s="90"/>
      <c r="E14" s="275"/>
      <c r="F14" s="465"/>
    </row>
    <row r="15" spans="1:11" x14ac:dyDescent="0.25">
      <c r="A15" s="87"/>
      <c r="B15" s="90"/>
      <c r="C15" s="90"/>
      <c r="D15" s="90"/>
      <c r="E15" s="275"/>
      <c r="F15" s="465"/>
    </row>
    <row r="16" spans="1:11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21265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2.08</v>
      </c>
      <c r="E18" s="277"/>
      <c r="F18" s="465"/>
    </row>
    <row r="19" spans="1:7" x14ac:dyDescent="0.25">
      <c r="A19" s="87"/>
      <c r="B19" s="88"/>
      <c r="C19" s="88"/>
      <c r="D19" s="96">
        <f>+D18*D17</f>
        <v>44231.200000000004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37306</v>
      </c>
      <c r="B23" s="88"/>
      <c r="C23" s="88"/>
      <c r="D23" s="318">
        <f>+D21+D19</f>
        <v>879575.44</v>
      </c>
      <c r="E23" s="207"/>
      <c r="F23" s="466"/>
    </row>
    <row r="24" spans="1:7" ht="13.8" thickTop="1" x14ac:dyDescent="0.25">
      <c r="E24" s="278"/>
    </row>
    <row r="25" spans="1:7" x14ac:dyDescent="0.25">
      <c r="E25" s="498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485">
        <v>340221</v>
      </c>
    </row>
    <row r="29" spans="1:7" x14ac:dyDescent="0.25">
      <c r="A29" s="49">
        <f>+A23</f>
        <v>37306</v>
      </c>
      <c r="B29" s="32"/>
      <c r="C29" s="32"/>
      <c r="D29" s="349">
        <f>+D17</f>
        <v>21265</v>
      </c>
    </row>
    <row r="30" spans="1:7" x14ac:dyDescent="0.25">
      <c r="A30" s="32"/>
      <c r="B30" s="32"/>
      <c r="C30" s="32"/>
      <c r="D30" s="14">
        <f>+D29+D28</f>
        <v>361486</v>
      </c>
      <c r="E30" s="344"/>
    </row>
    <row r="31" spans="1:7" x14ac:dyDescent="0.25">
      <c r="A31" s="139"/>
      <c r="B31" s="119"/>
      <c r="C31" s="140"/>
      <c r="D31" s="518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1" workbookViewId="0">
      <selection activeCell="A40" sqref="A40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5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5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5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5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5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5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731238</v>
      </c>
      <c r="C34" s="287">
        <f t="shared" si="2"/>
        <v>723197</v>
      </c>
      <c r="D34" s="14">
        <f t="shared" si="2"/>
        <v>-3456</v>
      </c>
      <c r="E34" s="14">
        <f t="shared" si="2"/>
        <v>-31360</v>
      </c>
      <c r="F34" s="14">
        <f t="shared" si="2"/>
        <v>499929</v>
      </c>
      <c r="G34" s="14">
        <f t="shared" si="2"/>
        <v>490001</v>
      </c>
      <c r="H34" s="14">
        <f t="shared" si="2"/>
        <v>-45873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1"/>
      <c r="O36" s="259"/>
      <c r="P36" s="259"/>
      <c r="Q36" s="259"/>
      <c r="V36" s="259"/>
      <c r="W36" s="259"/>
    </row>
    <row r="37" spans="1:23" x14ac:dyDescent="0.25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5">
      <c r="A38" s="542">
        <v>37306</v>
      </c>
      <c r="B38" s="14"/>
      <c r="C38" s="14"/>
      <c r="D38" s="14"/>
      <c r="E38" s="14"/>
      <c r="F38" s="14"/>
      <c r="G38" s="14"/>
      <c r="H38" s="150">
        <f>+H37+H34</f>
        <v>89593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37306</v>
      </c>
      <c r="B44" s="32"/>
      <c r="C44" s="32"/>
      <c r="D44" s="374">
        <f>+H34*'by type_area'!G4</f>
        <v>-95415.84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240351.71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8" workbookViewId="0">
      <selection activeCell="C36" sqref="C36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5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5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5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5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5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5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5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5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5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5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5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5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5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5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-373990</v>
      </c>
      <c r="C35" s="11">
        <f>SUM(C4:C34)</f>
        <v>-378517</v>
      </c>
      <c r="D35" s="11">
        <f>SUM(D4:D34)</f>
        <v>-4527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88">
        <v>177959</v>
      </c>
    </row>
    <row r="39" spans="1:4" x14ac:dyDescent="0.25">
      <c r="A39" s="2"/>
      <c r="D39" s="24"/>
    </row>
    <row r="40" spans="1:4" x14ac:dyDescent="0.25">
      <c r="A40" s="57">
        <v>37306</v>
      </c>
      <c r="D40" s="51">
        <f>+D38+D35</f>
        <v>173432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87">
        <v>181376</v>
      </c>
    </row>
    <row r="46" spans="1:4" x14ac:dyDescent="0.25">
      <c r="A46" s="49">
        <f>+A40</f>
        <v>37306</v>
      </c>
      <c r="B46" s="32"/>
      <c r="C46" s="32"/>
      <c r="D46" s="374">
        <f>+D35*'by type_area'!G4</f>
        <v>-9416.16</v>
      </c>
    </row>
    <row r="47" spans="1:4" x14ac:dyDescent="0.25">
      <c r="A47" s="32"/>
      <c r="B47" s="32"/>
      <c r="C47" s="32"/>
      <c r="D47" s="200">
        <f>+D46+D45</f>
        <v>171959.84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161685</v>
      </c>
      <c r="C35" s="11">
        <f t="shared" ref="C35:I35" si="1">SUM(C4:C34)</f>
        <v>148800</v>
      </c>
      <c r="D35" s="11">
        <f t="shared" si="1"/>
        <v>150847</v>
      </c>
      <c r="E35" s="11">
        <f t="shared" si="1"/>
        <v>146800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-14825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-30836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37305</v>
      </c>
      <c r="J41" s="319">
        <f>+J39+J37</f>
        <v>-11989.39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37305</v>
      </c>
      <c r="B47" s="32"/>
      <c r="C47" s="32"/>
      <c r="D47" s="349">
        <f>+J35</f>
        <v>-14825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-133483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43" workbookViewId="0">
      <selection activeCell="E42" sqref="E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-302614</v>
      </c>
      <c r="E37" s="24">
        <f>SUM(E6:E36)</f>
        <v>-303074</v>
      </c>
      <c r="F37" s="24">
        <f>SUM(F6:F36)</f>
        <v>-460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-956.80000000000007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37305</v>
      </c>
      <c r="E41" s="14"/>
      <c r="F41" s="104">
        <f>+F40+F39</f>
        <v>328563.40000000002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37305</v>
      </c>
      <c r="B47" s="32"/>
      <c r="C47" s="32"/>
      <c r="D47" s="349">
        <f>+F37</f>
        <v>-460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-37442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7" workbookViewId="0">
      <selection activeCell="E49" sqref="E49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5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5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5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5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5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5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5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5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5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5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5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1913</v>
      </c>
      <c r="F39" s="25">
        <f>SUM(F8:F38)</f>
        <v>1913</v>
      </c>
    </row>
    <row r="40" spans="1:6" x14ac:dyDescent="0.25">
      <c r="A40" s="26"/>
      <c r="C40" s="14"/>
      <c r="F40" s="253">
        <f>+summary!G4</f>
        <v>2.08</v>
      </c>
    </row>
    <row r="41" spans="1:6" x14ac:dyDescent="0.25">
      <c r="F41" s="138">
        <f>+F40*F39</f>
        <v>3979.04</v>
      </c>
    </row>
    <row r="42" spans="1:6" x14ac:dyDescent="0.25">
      <c r="A42" s="57">
        <v>37287</v>
      </c>
      <c r="C42" s="15"/>
      <c r="F42" s="570">
        <v>42790.44</v>
      </c>
    </row>
    <row r="43" spans="1:6" x14ac:dyDescent="0.25">
      <c r="A43" s="57">
        <v>37305</v>
      </c>
      <c r="C43" s="48"/>
      <c r="F43" s="138">
        <f>+F42+F41</f>
        <v>46769.48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85">
        <v>4581</v>
      </c>
    </row>
    <row r="49" spans="1:4" x14ac:dyDescent="0.25">
      <c r="A49" s="49">
        <f>+A43</f>
        <v>37305</v>
      </c>
      <c r="B49" s="32"/>
      <c r="C49" s="32"/>
      <c r="D49" s="349">
        <f>+F39</f>
        <v>1913</v>
      </c>
    </row>
    <row r="50" spans="1:4" x14ac:dyDescent="0.25">
      <c r="A50" s="32"/>
      <c r="B50" s="32"/>
      <c r="C50" s="32"/>
      <c r="D50" s="14">
        <f>+D49+D48</f>
        <v>6494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1" sqref="A41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37287</v>
      </c>
      <c r="C41" s="15"/>
      <c r="D41" s="456">
        <v>17587</v>
      </c>
    </row>
    <row r="42" spans="1:4" x14ac:dyDescent="0.25">
      <c r="A42" s="57">
        <v>37305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59">
        <v>385897</v>
      </c>
    </row>
    <row r="48" spans="1:4" x14ac:dyDescent="0.25">
      <c r="A48" s="49">
        <f>+A42</f>
        <v>37305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C46" sqref="C46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-1210357</v>
      </c>
      <c r="I19" s="119">
        <f>+C37</f>
        <v>-1184971</v>
      </c>
      <c r="J19" s="119">
        <f>+I19-H19</f>
        <v>25386</v>
      </c>
      <c r="K19" s="411">
        <f>+D38</f>
        <v>2.08</v>
      </c>
      <c r="L19" s="416">
        <f>+K19*J19</f>
        <v>52802.880000000005</v>
      </c>
      <c r="M19" s="2"/>
      <c r="N19" s="34"/>
    </row>
    <row r="20" spans="1:14" x14ac:dyDescent="0.25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155878</v>
      </c>
      <c r="K24" s="407"/>
      <c r="L24" s="110">
        <f>+L19+L17</f>
        <v>134487.97999999984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64657.682692307608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-1210357</v>
      </c>
      <c r="C37" s="11">
        <f>SUM(C6:C36)</f>
        <v>-1184971</v>
      </c>
      <c r="D37" s="25">
        <f>SUM(D6:D36)</f>
        <v>25386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52802.880000000005</v>
      </c>
    </row>
    <row r="40" spans="1:4" x14ac:dyDescent="0.25">
      <c r="A40" s="57">
        <v>37287</v>
      </c>
      <c r="C40" s="15"/>
      <c r="D40" s="590">
        <v>-2220</v>
      </c>
    </row>
    <row r="41" spans="1:4" x14ac:dyDescent="0.25">
      <c r="A41" s="57">
        <v>37305</v>
      </c>
      <c r="C41" s="48"/>
      <c r="D41" s="138">
        <f>+D40+D39</f>
        <v>50582.880000000005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86032</v>
      </c>
    </row>
    <row r="46" spans="1:4" x14ac:dyDescent="0.25">
      <c r="A46" s="49">
        <f>+A41</f>
        <v>37305</v>
      </c>
      <c r="B46" s="32"/>
      <c r="C46" s="32"/>
      <c r="D46" s="349">
        <f>+D37</f>
        <v>25386</v>
      </c>
    </row>
    <row r="47" spans="1:4" x14ac:dyDescent="0.25">
      <c r="A47" s="32"/>
      <c r="B47" s="32"/>
      <c r="C47" s="32"/>
      <c r="D47" s="14">
        <f>+D46+D45</f>
        <v>111418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46" sqref="C46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5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5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5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5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5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5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5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5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5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5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5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5">
      <c r="A24" s="10">
        <v>19</v>
      </c>
      <c r="B24" s="11">
        <v>41201</v>
      </c>
      <c r="C24" s="11">
        <v>40108</v>
      </c>
      <c r="D24" s="25">
        <f t="shared" si="0"/>
        <v>-1093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685094</v>
      </c>
      <c r="C37" s="11">
        <f>SUM(C6:C36)</f>
        <v>705327</v>
      </c>
      <c r="D37" s="25">
        <f>SUM(D6:D36)</f>
        <v>20233</v>
      </c>
    </row>
    <row r="38" spans="1:4" x14ac:dyDescent="0.25">
      <c r="A38" s="26"/>
      <c r="B38" s="31"/>
      <c r="C38" s="14"/>
      <c r="D38" s="326">
        <f>+summary!G5</f>
        <v>2.08</v>
      </c>
    </row>
    <row r="39" spans="1:4" x14ac:dyDescent="0.25">
      <c r="D39" s="138">
        <f>+D38*D37</f>
        <v>42084.639999999999</v>
      </c>
    </row>
    <row r="40" spans="1:4" x14ac:dyDescent="0.25">
      <c r="A40" s="57">
        <v>37287</v>
      </c>
      <c r="C40" s="15"/>
      <c r="D40" s="590">
        <v>100916</v>
      </c>
    </row>
    <row r="41" spans="1:4" x14ac:dyDescent="0.25">
      <c r="A41" s="57">
        <v>37306</v>
      </c>
      <c r="C41" s="48"/>
      <c r="D41" s="138">
        <f>+D40+D39</f>
        <v>143000.64000000001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62232</v>
      </c>
    </row>
    <row r="46" spans="1:4" x14ac:dyDescent="0.25">
      <c r="A46" s="49">
        <f>+A41</f>
        <v>37306</v>
      </c>
      <c r="B46" s="32"/>
      <c r="C46" s="32"/>
      <c r="D46" s="349">
        <f>+D37</f>
        <v>20233</v>
      </c>
    </row>
    <row r="47" spans="1:4" x14ac:dyDescent="0.25">
      <c r="A47" s="32"/>
      <c r="B47" s="32"/>
      <c r="C47" s="32"/>
      <c r="D47" s="14">
        <f>+D46+D45</f>
        <v>82465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4" workbookViewId="0">
      <selection activeCell="B22" sqref="B22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301502</v>
      </c>
      <c r="C22" s="11">
        <v>302180</v>
      </c>
      <c r="D22" s="11"/>
      <c r="E22" s="11">
        <v>4734</v>
      </c>
      <c r="F22" s="11">
        <v>35147</v>
      </c>
      <c r="G22" s="11">
        <v>35103</v>
      </c>
      <c r="H22" s="11">
        <v>120094</v>
      </c>
      <c r="I22" s="11">
        <v>125238</v>
      </c>
      <c r="J22" s="11">
        <f t="shared" si="0"/>
        <v>10512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5866000</v>
      </c>
      <c r="C35" s="11">
        <f t="shared" ref="C35:I35" si="3">SUM(C4:C34)</f>
        <v>5903575</v>
      </c>
      <c r="D35" s="11">
        <f t="shared" si="3"/>
        <v>421386</v>
      </c>
      <c r="E35" s="11">
        <f t="shared" si="3"/>
        <v>419512</v>
      </c>
      <c r="F35" s="11">
        <f t="shared" si="3"/>
        <v>725541</v>
      </c>
      <c r="G35" s="11">
        <f t="shared" si="3"/>
        <v>697362</v>
      </c>
      <c r="H35" s="11">
        <f t="shared" si="3"/>
        <v>2366136</v>
      </c>
      <c r="I35" s="11">
        <f t="shared" si="3"/>
        <v>2349547</v>
      </c>
      <c r="J35" s="11">
        <f>SUM(J4:J34)</f>
        <v>-9067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37306</v>
      </c>
      <c r="J40" s="51">
        <f>+J38+J35</f>
        <v>-9067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37306</v>
      </c>
      <c r="B47" s="32"/>
      <c r="C47" s="32"/>
      <c r="D47" s="374">
        <f>+J35*'by type_area'!G3</f>
        <v>-18950.03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-18950.03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32" workbookViewId="0">
      <selection activeCell="C47" sqref="C47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5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5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5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5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5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5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5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5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5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5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5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5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5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758200</v>
      </c>
      <c r="C37" s="11">
        <f>SUM(C6:C36)</f>
        <v>763632</v>
      </c>
      <c r="D37" s="25">
        <f>SUM(D6:D36)</f>
        <v>5432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11298.56</v>
      </c>
    </row>
    <row r="40" spans="1:4" x14ac:dyDescent="0.25">
      <c r="A40" s="57">
        <v>37287</v>
      </c>
      <c r="C40" s="15"/>
      <c r="D40" s="599">
        <v>1526.04</v>
      </c>
    </row>
    <row r="41" spans="1:4" x14ac:dyDescent="0.25">
      <c r="A41" s="57">
        <v>37305</v>
      </c>
      <c r="C41" s="48"/>
      <c r="D41" s="138">
        <f>+D40+D39</f>
        <v>12824.599999999999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549</v>
      </c>
    </row>
    <row r="47" spans="1:4" x14ac:dyDescent="0.25">
      <c r="A47" s="49">
        <f>+A41</f>
        <v>37305</v>
      </c>
      <c r="B47" s="32"/>
      <c r="C47" s="32"/>
      <c r="D47" s="349">
        <f>+D37</f>
        <v>5432</v>
      </c>
    </row>
    <row r="48" spans="1:4" x14ac:dyDescent="0.25">
      <c r="A48" s="32"/>
      <c r="B48" s="32"/>
      <c r="C48" s="32"/>
      <c r="D48" s="14">
        <f>+D47+D46</f>
        <v>5981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E47" sqref="E47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5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5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-22241</v>
      </c>
      <c r="C37" s="11">
        <f>SUM(C6:C36)</f>
        <v>-11161</v>
      </c>
      <c r="D37" s="25">
        <f>SUM(D6:D36)</f>
        <v>11080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23046.400000000001</v>
      </c>
    </row>
    <row r="40" spans="1:4" x14ac:dyDescent="0.25">
      <c r="A40" s="57">
        <v>37287</v>
      </c>
      <c r="C40" s="15"/>
      <c r="D40" s="570">
        <v>-292829</v>
      </c>
    </row>
    <row r="41" spans="1:4" x14ac:dyDescent="0.25">
      <c r="A41" s="57">
        <v>37305</v>
      </c>
      <c r="C41" s="48"/>
      <c r="D41" s="138">
        <f>+D40+D39</f>
        <v>-269782.59999999998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67">
        <v>-14344</v>
      </c>
    </row>
    <row r="49" spans="1:4" x14ac:dyDescent="0.25">
      <c r="A49" s="49">
        <f>+A41</f>
        <v>37305</v>
      </c>
      <c r="B49" s="32"/>
      <c r="C49" s="32"/>
      <c r="D49" s="349">
        <f>+D37</f>
        <v>11080</v>
      </c>
    </row>
    <row r="50" spans="1:4" x14ac:dyDescent="0.25">
      <c r="A50" s="32"/>
      <c r="B50" s="32"/>
      <c r="C50" s="32"/>
      <c r="D50" s="14">
        <f>+D49+D48</f>
        <v>-3264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5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5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5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5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5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5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5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5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5">
      <c r="A24" s="10">
        <v>19</v>
      </c>
      <c r="B24" s="11">
        <v>-69204</v>
      </c>
      <c r="C24" s="11">
        <v>-54999</v>
      </c>
      <c r="D24" s="25">
        <f t="shared" si="0"/>
        <v>14205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-899147</v>
      </c>
      <c r="C37" s="11">
        <f>SUM(C6:C36)</f>
        <v>-864168</v>
      </c>
      <c r="D37" s="25">
        <f>SUM(D6:D36)</f>
        <v>34979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72756.320000000007</v>
      </c>
    </row>
    <row r="40" spans="1:4" x14ac:dyDescent="0.25">
      <c r="A40" s="57">
        <v>37287</v>
      </c>
      <c r="C40" s="15"/>
      <c r="D40" s="570">
        <v>23627.8</v>
      </c>
    </row>
    <row r="41" spans="1:4" x14ac:dyDescent="0.25">
      <c r="A41" s="57">
        <v>37306</v>
      </c>
      <c r="C41" s="48"/>
      <c r="D41" s="138">
        <f>+D40+D39</f>
        <v>96384.12000000001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67">
        <v>14942</v>
      </c>
    </row>
    <row r="47" spans="1:4" x14ac:dyDescent="0.25">
      <c r="A47" s="49">
        <f>+A41</f>
        <v>37306</v>
      </c>
      <c r="B47" s="32"/>
      <c r="C47" s="32"/>
      <c r="D47" s="349">
        <f>+D37</f>
        <v>34979</v>
      </c>
    </row>
    <row r="48" spans="1:4" x14ac:dyDescent="0.25">
      <c r="A48" s="32"/>
      <c r="B48" s="32"/>
      <c r="C48" s="32"/>
      <c r="D48" s="14">
        <f>+D47+D46</f>
        <v>49921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8" sqref="C8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-3</v>
      </c>
      <c r="C5" s="90">
        <v>-2142</v>
      </c>
      <c r="D5" s="90">
        <f>+C5-B5</f>
        <v>-2139</v>
      </c>
      <c r="E5" s="275"/>
      <c r="F5" s="273"/>
    </row>
    <row r="6" spans="1:13" x14ac:dyDescent="0.25">
      <c r="A6" s="87">
        <v>500046</v>
      </c>
      <c r="B6" s="90">
        <v>-7907</v>
      </c>
      <c r="C6" s="90"/>
      <c r="D6" s="90">
        <f t="shared" ref="D6:D11" si="0">+C6-B6</f>
        <v>7907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-15554</v>
      </c>
      <c r="C8" s="90">
        <v>-29104</v>
      </c>
      <c r="D8" s="90">
        <f t="shared" si="0"/>
        <v>-13550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-7782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5">
      <c r="A14" s="87"/>
      <c r="B14" s="88"/>
      <c r="C14" s="88"/>
      <c r="D14" s="96">
        <f>+D13*D12</f>
        <v>-16186.560000000001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37304</v>
      </c>
      <c r="B18" s="88"/>
      <c r="C18" s="88"/>
      <c r="D18" s="318">
        <f>+D16+D14</f>
        <v>-563447.35000000009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67">
        <v>-41423</v>
      </c>
    </row>
    <row r="23" spans="1:7" x14ac:dyDescent="0.25">
      <c r="A23" s="49"/>
      <c r="B23" s="32"/>
      <c r="C23" s="32"/>
      <c r="D23" s="349">
        <f>+D12</f>
        <v>-7782</v>
      </c>
    </row>
    <row r="24" spans="1:7" x14ac:dyDescent="0.25">
      <c r="A24" s="49">
        <f>+A18</f>
        <v>37304</v>
      </c>
      <c r="B24" s="32"/>
      <c r="C24" s="32"/>
      <c r="D24" s="14">
        <f>+D23+D22</f>
        <v>-49205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6" workbookViewId="0">
      <selection activeCell="C47" sqref="C47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5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5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5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5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5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5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5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5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5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5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5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5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-850440</v>
      </c>
      <c r="C37" s="11">
        <f>SUM(C6:C36)</f>
        <v>-846281</v>
      </c>
      <c r="D37" s="25">
        <f>SUM(D6:D36)</f>
        <v>4159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37287</v>
      </c>
      <c r="C40" s="15"/>
      <c r="D40" s="571">
        <v>19592</v>
      </c>
    </row>
    <row r="41" spans="1:4" x14ac:dyDescent="0.25">
      <c r="A41" s="57">
        <v>37305</v>
      </c>
      <c r="C41" s="48"/>
      <c r="D41" s="25">
        <f>+D40+D37</f>
        <v>23751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3">
        <v>186633</v>
      </c>
    </row>
    <row r="46" spans="1:4" x14ac:dyDescent="0.25">
      <c r="A46" s="49">
        <f>+A41</f>
        <v>37305</v>
      </c>
      <c r="B46" s="32"/>
      <c r="C46" s="32"/>
      <c r="D46" s="374">
        <f>+D37*'by type_area'!G4</f>
        <v>8650.7200000000012</v>
      </c>
    </row>
    <row r="47" spans="1:4" x14ac:dyDescent="0.25">
      <c r="A47" s="32"/>
      <c r="B47" s="32"/>
      <c r="C47" s="32"/>
      <c r="D47" s="200">
        <f>+D46+D45</f>
        <v>195283.72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0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-99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-2743</v>
      </c>
      <c r="C37" s="11">
        <f t="shared" ref="C37:I37" si="1">SUM(C6:C36)</f>
        <v>-2574</v>
      </c>
      <c r="D37" s="11">
        <f t="shared" si="1"/>
        <v>0</v>
      </c>
      <c r="E37" s="11">
        <f t="shared" si="1"/>
        <v>0</v>
      </c>
      <c r="F37" s="11">
        <f t="shared" si="1"/>
        <v>-19893</v>
      </c>
      <c r="G37" s="11">
        <f t="shared" si="1"/>
        <v>-14148</v>
      </c>
      <c r="H37" s="11">
        <f t="shared" si="1"/>
        <v>0</v>
      </c>
      <c r="I37" s="11">
        <f t="shared" si="1"/>
        <v>0</v>
      </c>
      <c r="J37" s="11">
        <f>SUM(J6:J36)</f>
        <v>5914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12301.12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37305</v>
      </c>
      <c r="J43" s="319">
        <f>+J41+J39</f>
        <v>-24888.649999999994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37305</v>
      </c>
      <c r="B49" s="32"/>
      <c r="C49" s="32"/>
      <c r="D49" s="349">
        <f>+J37</f>
        <v>5914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1687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55" sqref="A5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279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-13477</v>
      </c>
      <c r="M37" s="11">
        <f>SUM(M6:M36)</f>
        <v>-14832</v>
      </c>
      <c r="N37" s="11">
        <f t="shared" si="1"/>
        <v>-1355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-2818.4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37305</v>
      </c>
      <c r="N43" s="319">
        <f>+N41+N39</f>
        <v>22368.01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37305</v>
      </c>
      <c r="B49" s="32"/>
      <c r="C49" s="32"/>
      <c r="D49" s="349">
        <f>+N37</f>
        <v>-1355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7200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5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5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5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5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5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5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5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5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5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5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5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5">
      <c r="A24" s="10">
        <v>19</v>
      </c>
      <c r="B24" s="11">
        <v>225</v>
      </c>
      <c r="C24" s="11">
        <v>150</v>
      </c>
      <c r="D24" s="25">
        <f t="shared" si="0"/>
        <v>-75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3628</v>
      </c>
      <c r="C37" s="11">
        <f>SUM(C6:C36)</f>
        <v>2850</v>
      </c>
      <c r="D37" s="25">
        <f>SUM(D6:D36)</f>
        <v>-778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-1618.24</v>
      </c>
    </row>
    <row r="40" spans="1:4" x14ac:dyDescent="0.25">
      <c r="A40" s="57">
        <v>37287</v>
      </c>
      <c r="C40" s="15"/>
      <c r="D40" s="590">
        <v>174593.14</v>
      </c>
    </row>
    <row r="41" spans="1:4" x14ac:dyDescent="0.25">
      <c r="A41" s="57">
        <v>37306</v>
      </c>
      <c r="C41" s="48"/>
      <c r="D41" s="138">
        <f>+D40+D39</f>
        <v>172974.90000000002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76390</v>
      </c>
    </row>
    <row r="47" spans="1:4" x14ac:dyDescent="0.25">
      <c r="A47" s="49">
        <f>+A41</f>
        <v>37306</v>
      </c>
      <c r="B47" s="32"/>
      <c r="C47" s="32"/>
      <c r="D47" s="349">
        <f>+D37</f>
        <v>-778</v>
      </c>
    </row>
    <row r="48" spans="1:4" x14ac:dyDescent="0.25">
      <c r="A48" s="32"/>
      <c r="B48" s="32"/>
      <c r="C48" s="32"/>
      <c r="D48" s="14">
        <f>+D47+D46</f>
        <v>75612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5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5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5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5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5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5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5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5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5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5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5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8747</v>
      </c>
      <c r="C37" s="11">
        <f>SUM(C6:C36)</f>
        <v>4448</v>
      </c>
      <c r="D37" s="25">
        <f>SUM(D6:D36)</f>
        <v>-4299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-8941.92</v>
      </c>
    </row>
    <row r="40" spans="1:4" x14ac:dyDescent="0.25">
      <c r="A40" s="57">
        <v>37287</v>
      </c>
      <c r="C40" s="15"/>
      <c r="D40" s="590">
        <v>0</v>
      </c>
    </row>
    <row r="41" spans="1:4" x14ac:dyDescent="0.25">
      <c r="A41" s="57">
        <v>37305</v>
      </c>
      <c r="C41" s="48"/>
      <c r="D41" s="138">
        <f>+D40+D39</f>
        <v>-8941.92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0</v>
      </c>
    </row>
    <row r="47" spans="1:4" x14ac:dyDescent="0.25">
      <c r="A47" s="49">
        <f>+A41</f>
        <v>37305</v>
      </c>
      <c r="B47" s="32"/>
      <c r="C47" s="32"/>
      <c r="D47" s="349">
        <f>+D37</f>
        <v>-4299</v>
      </c>
    </row>
    <row r="48" spans="1:4" x14ac:dyDescent="0.25">
      <c r="A48" s="32"/>
      <c r="B48" s="32"/>
      <c r="C48" s="32"/>
      <c r="D48" s="14">
        <f>+D47+D46</f>
        <v>-4299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7" workbookViewId="0">
      <selection activeCell="C46" sqref="C46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-176759</v>
      </c>
      <c r="C36" s="44">
        <f>SUM(C5:C35)</f>
        <v>-170000</v>
      </c>
      <c r="D36" s="43">
        <f>SUM(D5:D35)</f>
        <v>-853899</v>
      </c>
      <c r="E36" s="43">
        <f>SUM(E5:E35)</f>
        <v>-853273</v>
      </c>
      <c r="F36" s="11">
        <f>SUM(F5:F35)</f>
        <v>7385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9">
        <f>+summary!G5</f>
        <v>2.08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15360.800000000001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37305</v>
      </c>
      <c r="B43" s="32"/>
      <c r="C43" s="106"/>
      <c r="D43" s="106"/>
      <c r="E43" s="106"/>
      <c r="F43" s="24">
        <f>+F42+F36</f>
        <v>42065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37305</v>
      </c>
      <c r="B49" s="32"/>
      <c r="C49" s="32"/>
      <c r="D49" s="76">
        <f>+F36</f>
        <v>7385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79313.960000000006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-1962</v>
      </c>
      <c r="C22" s="24">
        <v>-1736</v>
      </c>
      <c r="D22" s="24">
        <v>-566</v>
      </c>
      <c r="E22" s="24">
        <v>-2000</v>
      </c>
      <c r="F22" s="24">
        <f t="shared" si="0"/>
        <v>-1208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-36064</v>
      </c>
      <c r="C37" s="24">
        <f>SUM(C6:C36)</f>
        <v>-39327</v>
      </c>
      <c r="D37" s="24">
        <f>SUM(D6:D36)</f>
        <v>-28793</v>
      </c>
      <c r="E37" s="24">
        <f>SUM(E6:E36)</f>
        <v>-34000</v>
      </c>
      <c r="F37" s="24">
        <f>SUM(F6:F36)</f>
        <v>-8470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-17617.600000000002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37304</v>
      </c>
      <c r="C41" s="319"/>
      <c r="D41" s="262"/>
      <c r="E41" s="262"/>
      <c r="F41" s="104">
        <f>+F40+F39</f>
        <v>-134414.39000000001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37304</v>
      </c>
      <c r="B47" s="32"/>
      <c r="C47" s="32"/>
      <c r="D47" s="349">
        <f>+F37</f>
        <v>-8470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-41437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-42330</v>
      </c>
      <c r="C37" s="24">
        <f t="shared" si="1"/>
        <v>-35700</v>
      </c>
      <c r="D37" s="24">
        <f t="shared" si="1"/>
        <v>-10</v>
      </c>
      <c r="E37" s="24">
        <f t="shared" si="1"/>
        <v>-425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6215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12927.2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37304</v>
      </c>
      <c r="E41" s="14"/>
      <c r="O41" s="441"/>
      <c r="P41" s="104">
        <f>+P40+P39</f>
        <v>102694.48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37304</v>
      </c>
      <c r="B47" s="32"/>
      <c r="C47" s="32"/>
      <c r="D47" s="349">
        <f>+P37</f>
        <v>6215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43256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C24" sqref="C24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276</v>
      </c>
      <c r="C3" s="87"/>
      <c r="D3" s="87"/>
    </row>
    <row r="4" spans="1:4" x14ac:dyDescent="0.25">
      <c r="A4" s="3"/>
      <c r="B4" s="328" t="s">
        <v>275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5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5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5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5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5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5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5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5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5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5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5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5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5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5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-341648</v>
      </c>
      <c r="C37" s="11">
        <f>SUM(C6:C36)</f>
        <v>-341960</v>
      </c>
      <c r="D37" s="25">
        <f>SUM(D6:D36)</f>
        <v>-312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-648.96</v>
      </c>
    </row>
    <row r="40" spans="1:4" x14ac:dyDescent="0.25">
      <c r="A40" s="57">
        <v>37287</v>
      </c>
      <c r="C40" s="15"/>
      <c r="D40" s="590">
        <v>-27179.17</v>
      </c>
    </row>
    <row r="41" spans="1:4" x14ac:dyDescent="0.25">
      <c r="A41" s="57">
        <v>37305</v>
      </c>
      <c r="C41" s="48"/>
      <c r="D41" s="138">
        <f>+D40+D39</f>
        <v>-27828.129999999997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-12</v>
      </c>
    </row>
    <row r="47" spans="1:4" x14ac:dyDescent="0.25">
      <c r="A47" s="49">
        <f>+A41</f>
        <v>37305</v>
      </c>
      <c r="B47" s="32"/>
      <c r="C47" s="32"/>
      <c r="D47" s="349">
        <f>+D37</f>
        <v>-312</v>
      </c>
    </row>
    <row r="48" spans="1:4" x14ac:dyDescent="0.25">
      <c r="A48" s="32"/>
      <c r="B48" s="32"/>
      <c r="C48" s="32"/>
      <c r="D48" s="14">
        <f>+D47+D46</f>
        <v>-324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295</v>
      </c>
      <c r="C3" s="87"/>
      <c r="D3" s="87"/>
    </row>
    <row r="4" spans="1:4" x14ac:dyDescent="0.25">
      <c r="A4" s="3"/>
      <c r="B4" s="328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2.08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0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591">
        <v>17403</v>
      </c>
      <c r="E46" s="592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9" t="s">
        <v>279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5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5">
      <c r="N38" s="264">
        <f>+summary!G4</f>
        <v>2.08</v>
      </c>
      <c r="P38" s="51"/>
      <c r="T38" s="530"/>
      <c r="U38" s="19"/>
      <c r="V38" s="531"/>
      <c r="W38" s="252"/>
      <c r="X38" s="264"/>
      <c r="Y38" s="528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5">
      <c r="N40" s="329"/>
      <c r="P40" s="530"/>
      <c r="T40" s="530"/>
      <c r="U40" s="19"/>
      <c r="V40" s="531"/>
      <c r="W40" s="252"/>
      <c r="X40" s="264"/>
      <c r="Y40" s="528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5">
      <c r="N42" s="319"/>
      <c r="P42" s="530"/>
      <c r="T42" s="530"/>
      <c r="U42" s="19"/>
      <c r="V42" s="531"/>
      <c r="W42" s="252"/>
      <c r="X42" s="264"/>
      <c r="Y42" s="528"/>
    </row>
    <row r="43" spans="1:25" x14ac:dyDescent="0.25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5">
      <c r="N44" s="329"/>
      <c r="P44" s="530"/>
      <c r="T44" s="530"/>
      <c r="U44" s="19"/>
      <c r="V44" s="531"/>
      <c r="W44" s="252"/>
      <c r="X44" s="264"/>
      <c r="Y44" s="528"/>
    </row>
    <row r="45" spans="1:25" x14ac:dyDescent="0.25">
      <c r="P45" s="530"/>
      <c r="T45" s="530"/>
      <c r="U45" s="19"/>
      <c r="V45" s="531"/>
      <c r="W45" s="252"/>
      <c r="X45" s="264"/>
      <c r="Y45" s="528"/>
    </row>
    <row r="46" spans="1:25" x14ac:dyDescent="0.25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5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5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5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5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5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5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5">
      <c r="A84" s="261"/>
      <c r="O84" s="529"/>
      <c r="P84" s="530"/>
      <c r="Q84" s="530"/>
      <c r="R84" s="530"/>
      <c r="S84" s="530"/>
      <c r="T84" s="530"/>
      <c r="V84" s="536"/>
    </row>
    <row r="85" spans="1:22" x14ac:dyDescent="0.25">
      <c r="A85" s="261"/>
      <c r="O85" s="529"/>
      <c r="P85" s="530"/>
      <c r="Q85" s="530"/>
      <c r="R85" s="530"/>
      <c r="S85" s="530"/>
      <c r="T85" s="530"/>
      <c r="V85" s="536"/>
    </row>
    <row r="86" spans="1:22" x14ac:dyDescent="0.25">
      <c r="A86" s="261"/>
      <c r="O86" s="529"/>
      <c r="P86" s="530"/>
      <c r="Q86" s="530"/>
      <c r="R86" s="530"/>
      <c r="S86" s="530"/>
      <c r="T86" s="530"/>
      <c r="V86" s="536"/>
    </row>
    <row r="87" spans="1:22" x14ac:dyDescent="0.25">
      <c r="A87" s="261"/>
      <c r="O87" s="529"/>
      <c r="P87" s="530"/>
      <c r="Q87" s="530"/>
      <c r="R87" s="530"/>
      <c r="S87" s="530"/>
      <c r="T87" s="530"/>
      <c r="V87" s="536"/>
    </row>
    <row r="88" spans="1:22" x14ac:dyDescent="0.25">
      <c r="A88" s="261"/>
      <c r="O88" s="529"/>
      <c r="P88" s="530"/>
      <c r="Q88" s="530"/>
      <c r="R88" s="530"/>
      <c r="S88" s="530"/>
      <c r="T88" s="530"/>
      <c r="V88" s="536"/>
    </row>
    <row r="89" spans="1:22" x14ac:dyDescent="0.25">
      <c r="A89" s="261"/>
      <c r="O89" s="529"/>
      <c r="P89" s="530"/>
      <c r="Q89" s="530"/>
      <c r="R89" s="530"/>
      <c r="S89" s="530"/>
      <c r="T89" s="530"/>
      <c r="V89" s="536"/>
    </row>
    <row r="90" spans="1:22" x14ac:dyDescent="0.25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5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5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5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9"/>
      <c r="K166" s="539"/>
      <c r="M166" s="539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5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9"/>
      <c r="K208" s="539"/>
      <c r="M208" s="539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5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9"/>
      <c r="K251" s="539"/>
      <c r="M251" s="539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5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9"/>
      <c r="K293" s="539"/>
      <c r="M293" s="539"/>
      <c r="V293" s="539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5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0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5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9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0"/>
      <c r="W378" s="541"/>
    </row>
    <row r="381" spans="14:23" x14ac:dyDescent="0.25">
      <c r="O381" s="463"/>
      <c r="Q381" s="463"/>
      <c r="S381" s="463"/>
      <c r="U381" s="463"/>
    </row>
    <row r="382" spans="14:23" x14ac:dyDescent="0.25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5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9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0"/>
      <c r="W420" s="541"/>
    </row>
    <row r="425" spans="14:23" x14ac:dyDescent="0.25">
      <c r="O425" s="463"/>
      <c r="Q425" s="463"/>
      <c r="S425" s="463"/>
      <c r="U425" s="463"/>
    </row>
    <row r="426" spans="14:23" x14ac:dyDescent="0.25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5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9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0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5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8" workbookViewId="0">
      <selection activeCell="C48" sqref="C48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5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5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5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5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5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5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5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5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5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5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5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5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5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5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5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2628291</v>
      </c>
      <c r="C38" s="11">
        <f>SUM(C7:C37)</f>
        <v>2630537</v>
      </c>
      <c r="D38" s="11">
        <f>SUM(D7:D37)</f>
        <v>2246</v>
      </c>
    </row>
    <row r="39" spans="1:8" x14ac:dyDescent="0.25">
      <c r="A39" s="26"/>
      <c r="C39" s="14"/>
      <c r="D39" s="106">
        <f>+summary!G3</f>
        <v>2.09</v>
      </c>
    </row>
    <row r="40" spans="1:8" x14ac:dyDescent="0.25">
      <c r="D40" s="138">
        <f>+D39*D38</f>
        <v>4694.1399999999994</v>
      </c>
      <c r="H40">
        <v>20</v>
      </c>
    </row>
    <row r="41" spans="1:8" x14ac:dyDescent="0.25">
      <c r="A41" s="57">
        <v>37287</v>
      </c>
      <c r="C41" s="15"/>
      <c r="D41" s="597">
        <v>-61603.360000000001</v>
      </c>
      <c r="H41">
        <v>530</v>
      </c>
    </row>
    <row r="42" spans="1:8" x14ac:dyDescent="0.25">
      <c r="A42" s="57">
        <v>37305</v>
      </c>
      <c r="D42" s="319">
        <f>+D41+D40</f>
        <v>-56909.22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67">
        <v>-29617</v>
      </c>
    </row>
    <row r="48" spans="1:8" x14ac:dyDescent="0.25">
      <c r="A48" s="49">
        <f>+A42</f>
        <v>37305</v>
      </c>
      <c r="B48" s="32"/>
      <c r="C48" s="32"/>
      <c r="D48" s="349">
        <f>+D38</f>
        <v>2246</v>
      </c>
    </row>
    <row r="49" spans="1:4" x14ac:dyDescent="0.25">
      <c r="A49" s="32"/>
      <c r="B49" s="32"/>
      <c r="C49" s="32"/>
      <c r="D49" s="14">
        <f>+D48+D47</f>
        <v>-27371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46" sqref="C46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5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5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5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5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5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5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5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5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5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5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5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5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-4646022</v>
      </c>
      <c r="C35" s="11">
        <f>SUM(C4:C34)</f>
        <v>-4632717</v>
      </c>
      <c r="D35" s="11">
        <f>SUM(D4:D34)</f>
        <v>13305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75">
        <v>28722</v>
      </c>
    </row>
    <row r="39" spans="1:30" x14ac:dyDescent="0.25">
      <c r="A39" s="12"/>
      <c r="D39" s="51"/>
    </row>
    <row r="40" spans="1:30" x14ac:dyDescent="0.25">
      <c r="A40" s="245">
        <v>37306</v>
      </c>
      <c r="D40" s="51">
        <f>+D38+D35</f>
        <v>42027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1"/>
      <c r="K44"/>
    </row>
    <row r="45" spans="1:30" x14ac:dyDescent="0.25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37306</v>
      </c>
      <c r="B46" s="32"/>
      <c r="C46" s="32"/>
      <c r="D46" s="374">
        <f>+D35*'by type_area'!G4</f>
        <v>27674.400000000001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-115994.6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D47" sqref="D47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5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5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5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5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5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5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5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5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5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5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5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5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-11550534</v>
      </c>
      <c r="C35" s="11">
        <f>SUM(C4:C34)</f>
        <v>-11564731</v>
      </c>
      <c r="D35" s="11">
        <f>SUM(D4:D34)</f>
        <v>0</v>
      </c>
      <c r="E35" s="11">
        <f>SUM(E4:E34)</f>
        <v>0</v>
      </c>
      <c r="F35" s="11">
        <f>SUM(F4:F34)</f>
        <v>-14197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76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37306</v>
      </c>
      <c r="D40" s="246"/>
      <c r="E40" s="246"/>
      <c r="F40" s="51">
        <f>+F38+F35</f>
        <v>79815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37306</v>
      </c>
      <c r="B46" s="32"/>
      <c r="C46" s="32"/>
      <c r="D46" s="472">
        <f>+F35*'by type_area'!G4</f>
        <v>-29529.760000000002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280738.24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1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-852647</v>
      </c>
      <c r="C35" s="44">
        <f t="shared" si="3"/>
        <v>-184842</v>
      </c>
      <c r="D35" s="11">
        <f t="shared" si="3"/>
        <v>0</v>
      </c>
      <c r="E35" s="44">
        <f t="shared" si="3"/>
        <v>-664734</v>
      </c>
      <c r="F35" s="11">
        <f t="shared" si="3"/>
        <v>0</v>
      </c>
      <c r="G35" s="11">
        <f t="shared" si="3"/>
        <v>0</v>
      </c>
      <c r="H35" s="11">
        <f t="shared" si="3"/>
        <v>3071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6387.68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37305</v>
      </c>
      <c r="F39" s="471"/>
      <c r="G39" s="471"/>
      <c r="H39" s="319">
        <f>+H38+H37</f>
        <v>16254.68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37305</v>
      </c>
      <c r="E47" s="457">
        <f>+H35</f>
        <v>3071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35547</v>
      </c>
      <c r="F48" s="129"/>
      <c r="G48" s="129"/>
      <c r="H48" s="129"/>
      <c r="I48" s="262"/>
      <c r="J48" s="102"/>
      <c r="K48" s="506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E47" sqref="E47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-6232148</v>
      </c>
      <c r="E36" s="11">
        <f t="shared" si="15"/>
        <v>-6287682</v>
      </c>
      <c r="F36" s="11">
        <f t="shared" si="15"/>
        <v>0</v>
      </c>
      <c r="G36" s="11">
        <f t="shared" si="15"/>
        <v>0</v>
      </c>
      <c r="H36" s="11">
        <f t="shared" si="15"/>
        <v>-55534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-55534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37306</v>
      </c>
      <c r="B39" s="2" t="s">
        <v>45</v>
      </c>
      <c r="C39" s="131">
        <f>+C38+C37</f>
        <v>64269</v>
      </c>
      <c r="D39" s="252"/>
      <c r="E39" s="131">
        <f>+E38+E37</f>
        <v>-40926</v>
      </c>
      <c r="F39" s="252"/>
      <c r="G39" s="131"/>
      <c r="H39" s="131">
        <f>+H38+H36</f>
        <v>23343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37306</v>
      </c>
      <c r="B45" s="32"/>
      <c r="C45" s="47">
        <f>+C37*summary!G4</f>
        <v>0</v>
      </c>
      <c r="D45" s="205"/>
      <c r="E45" s="376">
        <f>+E37*summary!G3</f>
        <v>-116066.06</v>
      </c>
      <c r="F45" s="47">
        <f>+E45+C45</f>
        <v>-116066.06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A45" sqref="A4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37306</v>
      </c>
      <c r="I23" s="11">
        <f>+B39</f>
        <v>3503384</v>
      </c>
      <c r="J23" s="11">
        <f>+C39</f>
        <v>3535046</v>
      </c>
      <c r="K23" s="11">
        <f>+D39</f>
        <v>274057</v>
      </c>
      <c r="L23" s="11">
        <f>+E39</f>
        <v>274376</v>
      </c>
      <c r="M23" s="42">
        <f>+J23-I23+L23-K23</f>
        <v>31981</v>
      </c>
      <c r="N23" s="102">
        <f>+summary!G3</f>
        <v>2.09</v>
      </c>
      <c r="O23" s="496">
        <f>+N23*M23</f>
        <v>66840.289999999994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121781</v>
      </c>
      <c r="N24" s="102"/>
      <c r="O24" s="102">
        <f>SUM(O9:O23)</f>
        <v>634956.63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179544</v>
      </c>
      <c r="C26" s="11">
        <v>179000</v>
      </c>
      <c r="D26" s="11">
        <v>20051</v>
      </c>
      <c r="E26" s="11">
        <v>20372</v>
      </c>
      <c r="F26" s="11">
        <f t="shared" si="5"/>
        <v>-223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3503384</v>
      </c>
      <c r="C39" s="150">
        <f>SUM(C8:C38)</f>
        <v>3535046</v>
      </c>
      <c r="D39" s="150">
        <f>SUM(D8:D38)</f>
        <v>274057</v>
      </c>
      <c r="E39" s="150">
        <f>SUM(E8:E38)</f>
        <v>274376</v>
      </c>
      <c r="F39" s="11">
        <f t="shared" si="5"/>
        <v>31981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37306</v>
      </c>
      <c r="B45" s="32"/>
      <c r="C45" s="106"/>
      <c r="D45" s="106"/>
      <c r="E45" s="106"/>
      <c r="F45" s="24">
        <f>+F44+F39</f>
        <v>62053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37306</v>
      </c>
      <c r="B51" s="32"/>
      <c r="C51" s="32"/>
      <c r="D51" s="349">
        <f>+F39*summary!G3</f>
        <v>66840.289999999994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476094.29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2002-02-13T20:45:31Z</cp:lastPrinted>
  <dcterms:created xsi:type="dcterms:W3CDTF">2000-03-28T16:52:23Z</dcterms:created>
  <dcterms:modified xsi:type="dcterms:W3CDTF">2023-09-10T12:00:56Z</dcterms:modified>
</cp:coreProperties>
</file>