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A128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B8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D43" i="67"/>
  <c r="A44" i="67"/>
  <c r="D44" i="67"/>
  <c r="F44" i="67"/>
  <c r="D45" i="67"/>
  <c r="F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1" i="93"/>
  <c r="N43" i="93"/>
  <c r="A48" i="93"/>
  <c r="D48" i="93"/>
  <c r="A49" i="93"/>
  <c r="D49" i="93"/>
  <c r="D50" i="93"/>
  <c r="D5" i="64"/>
  <c r="D6" i="64"/>
  <c r="B7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P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38" i="2"/>
  <c r="J40" i="2"/>
  <c r="A46" i="2"/>
  <c r="D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<sst xmlns="http://schemas.openxmlformats.org/spreadsheetml/2006/main" count="1012" uniqueCount="314">
  <si>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</si>
  <si>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</si>
  <si>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</si>
  <si>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</si>
  <si>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</si>
  <si>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</si>
  <si>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</si>
  <si>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</si>
  <si>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</si>
  <si>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</si>
  <si>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</si>
  <si>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</si>
  <si>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</si>
  <si>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</si>
  <si>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</si>
  <si>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</si>
  <si>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</si>
  <si>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</si>
  <si>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</si>
  <si>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</si>
  <si>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</si>
  <si>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</si>
  <si>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</si>
  <si>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</si>
  <si>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</si>
  <si>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</si>
  <si>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</si>
  <si>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</si>
  <si>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</si>
  <si>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</si>
  <si>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</si>
  <si>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</si>
  <si>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</si>
  <si>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</si>
  <si>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</si>
  <si>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</si>
  <si>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</si>
  <si>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</si>
  <si>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</si>
  <si>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</si>
  <si>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</si>
  <si>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</si>
  <si>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</si>
  <si>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</si>
  <si>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</si>
  <si>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</si>
  <si>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</si>
  <si>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</si>
  <si>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</si>
  <si>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</si>
  <si>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</si>
  <si>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</si>
  <si>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</si>
  <si>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</si>
  <si>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</si>
  <si>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</si>
  <si>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</si>
  <si>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</si>
  <si>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</si>
  <si>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</si>
  <si>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</si>
  <si>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</si>
  <si>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</si>
  <si>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</si>
  <si>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</si>
  <si>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</si>
  <si>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</si>
  <si>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</si>
  <si>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</si>
  <si>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</si>
  <si>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</si>
  <si>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</si>
  <si>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</si>
  <si>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</si>
  <si>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</si>
  <si>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</si>
  <si>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</si>
  <si>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</si>
  <si>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</si>
  <si>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</si>
  <si>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</si>
  <si>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</si>
  <si>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</si>
  <si>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</si>
  <si>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</si>
  <si>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</si>
  <si>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</si>
  <si>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</si>
  <si>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</si>
  <si>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</si>
  <si>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</si>
  <si>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</si>
  <si>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</si>
  <si>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</si>
  <si>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</si>
  <si>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</si>
  <si>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</si>
  <si>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</si>
  <si>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</si>
  <si>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</si>
  <si>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</si>
  <si>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</si>
  <si>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</si>
  <si>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</si>
  <si>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</si>
  <si>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</si>
  <si>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</si>
  <si>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</si>
  <si>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</si>
  <si>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</si>
  <si>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</si>
  <si>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</si>
  <si>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</si>
  <si>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</si>
  <si>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</si>
  <si>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</si>
  <si>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</si>
  <si>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</si>
  <si>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</si>
  <si>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</si>
  <si>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</si>
  <si>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</si>
  <si>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</si>
  <si>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</si>
  <si>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</si>
  <si>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</si>
  <si>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</si>
  <si>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</si>
  <si>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</si>
  <si>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</si>
  <si>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</si>
  <si>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</si>
  <si>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</si>
  <si>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</si>
  <si>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</si>
  <si>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</si>
  <si>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</si>
  <si>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</si>
  <si>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</si>
  <si>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</si>
  <si>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</si>
  <si>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</si>
  <si>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</si>
  <si>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</si>
  <si>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</si>
  <si>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</si>
  <si>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</si>
  <si>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</si>
  <si>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</si>
  <si>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</si>
  <si>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</si>
  <si>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</si>
  <si>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</si>
  <si>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</si>
  <si>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</si>
  <si>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</si>
  <si>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</si>
  <si>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</si>
  <si>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</si>
  <si>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</si>
  <si>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</si>
  <si>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</si>
  <si>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</si>
  <si>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</si>
  <si>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</si>
  <si>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</si>
  <si>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</si>
  <si>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</si>
  <si>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</si>
  <si>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</si>
  <si>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</si>
  <si>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</si>
  <si>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</si>
  <si>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</si>
  <si>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</si>
  <si>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</si>
  <si>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</si>
  <si>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</si>
  <si>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</si>
  <si>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</si>
  <si>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</si>
  <si>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</si>
  <si>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</si>
  <si>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</si>
  <si>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</si>
  <si>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</si>
  <si>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</si>
  <si>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</si>
  <si>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</si>
  <si>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</si>
  <si>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</si>
  <si>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</si>
  <si>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</si>
  <si>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</si>
  <si>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</si>
  <si>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</si>
  <si>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</si>
  <si>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</si>
  <si>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</si>
  <si>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</si>
  <si>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</si>
  <si>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</si>
  <si>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</si>
  <si>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</si>
  <si>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</si>
  <si>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</si>
  <si>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</si>
  <si>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</si>
  <si>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</si>
  <si>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</si>
  <si>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</si>
  <si>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</si>
  <si>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</si>
  <si>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</si>
  <si>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</si>
  <si>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</si>
  <si>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</si>
  <si>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</si>
  <si>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</si>
  <si>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</si>
  <si>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</si>
  <si>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</si>
  <si>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</si>
  <si>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</si>
  <si>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</si>
  <si>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</si>
  <si>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</si>
  <si>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</si>
  <si>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</si>
  <si>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</si>
  <si>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</si>
  <si>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</si>
  <si>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</si>
  <si>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</si>
  <si>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</si>
  <si>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</si>
  <si>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</si>
  <si>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</si>
  <si>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</si>
  <si>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</si>
  <si>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</si>
  <si>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</si>
  <si>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</si>
  <si>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</si>
  <si>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</si>
  <si>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</si>
  <si>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</si>
  <si>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</si>
  <si>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</si>
  <si>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</si>
  <si>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</si>
  <si>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</si>
  <si>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</si>
  <si>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</si>
  <si>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</si>
  <si>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</si>
  <si>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</si>
  <si>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</si>
  <si>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</si>
  <si>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</si>
  <si>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</si>
  <si>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</si>
  <si>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</si>
  <si>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</si>
  <si>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</si>
  <si>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</si>
  <si>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</si>
  <si>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</si>
  <si>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</si>
  <si>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</si>
  <si>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</si>
  <si>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</si>
  <si>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</si>
  <si>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</si>
  <si>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</si>
  <si>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</si>
  <si>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</si>
  <si>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</si>
  <si>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</si>
  <si>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</si>
  <si>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</si>
  <si>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</si>
  <si>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</si>
  <si>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</si>
  <si>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</si>
  <si>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</si>
  <si>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</si>
  <si>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</si>
  <si>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</si>
  <si>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</si>
  <si>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</si>
  <si>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</si>
  <si>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</si>
  <si>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</si>
  <si>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</si>
  <si>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</si>
  <si>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</si>
  <si>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</si>
  <si>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</si>
  <si>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</si>
  <si>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</si>
  <si>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</si>
  <si>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</si>
  <si>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</si>
  <si>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</si>
  <si>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</si>
  <si>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</si>
  <si>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</si>
  <si>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</si>
  <si>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DETM</t>
  </si>
  <si>
    <t>Balance as of 12/31/00</t>
  </si>
  <si>
    <t>Cumulative</t>
  </si>
  <si>
    <t>estimated</t>
  </si>
  <si>
    <t xml:space="preserve">Duke Energy Field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</si>
</sst>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166" fontId="22" fillId="7" borderId="0" xfId="1" applyNumberFormat="1" applyFont="1" applyFill="1"/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5" fontId="33" fillId="7" borderId="1" xfId="0" applyNumberFormat="1" applyFont="1" applyFill="1" applyBorder="1"/>
    <xf numFmtId="5" fontId="25" fillId="7" borderId="1" xfId="1" applyNumberFormat="1" applyFont="1" applyFill="1" applyBorder="1"/>
    <xf numFmtId="166" fontId="9" fillId="7" borderId="0" xfId="1" applyNumberFormat="1" applyFont="1" applyFill="1"/>
    <xf numFmtId="5" fontId="33" fillId="7" borderId="0" xfId="0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2.06</v>
          </cell>
          <cell r="K39">
            <v>2.06</v>
          </cell>
          <cell r="M39">
            <v>2.0499999999999998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64" workbookViewId="0">
      <selection activeCell="D80" sqref="D80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2"/>
    </row>
    <row r="2" spans="1:32" ht="12.9" customHeight="1" x14ac:dyDescent="0.25">
      <c r="A2" s="34" t="s">
        <v>140</v>
      </c>
      <c r="D2" s="7"/>
      <c r="F2" s="382" t="s">
        <v>78</v>
      </c>
      <c r="G2" s="385"/>
      <c r="H2" s="32"/>
    </row>
    <row r="3" spans="1:32" ht="12.9" customHeight="1" x14ac:dyDescent="0.25">
      <c r="D3" s="7"/>
      <c r="F3" s="383" t="s">
        <v>29</v>
      </c>
      <c r="G3" s="386">
        <f>+summary!G3</f>
        <v>2.06</v>
      </c>
      <c r="H3" s="401">
        <f ca="1">NOW()</f>
        <v>37299.690627314812</v>
      </c>
    </row>
    <row r="4" spans="1:32" ht="12.9" customHeight="1" x14ac:dyDescent="0.25">
      <c r="A4" s="34" t="s">
        <v>145</v>
      </c>
      <c r="C4" s="34" t="s">
        <v>5</v>
      </c>
      <c r="D4" s="7"/>
      <c r="F4" s="384" t="s">
        <v>30</v>
      </c>
      <c r="G4" s="386">
        <f>+summary!G4</f>
        <v>2.0499999999999998</v>
      </c>
      <c r="H4" s="32"/>
    </row>
    <row r="5" spans="1:32" ht="12.9" customHeight="1" x14ac:dyDescent="0.25">
      <c r="D5" s="7"/>
      <c r="F5" s="383" t="s">
        <v>117</v>
      </c>
      <c r="G5" s="386">
        <f>+summary!G5</f>
        <v>2.06</v>
      </c>
      <c r="H5" s="32"/>
    </row>
    <row r="6" spans="1:32" ht="6.9" customHeight="1" x14ac:dyDescent="0.25"/>
    <row r="7" spans="1:32" ht="12.9" customHeight="1" x14ac:dyDescent="0.25">
      <c r="A7" s="399" t="s">
        <v>163</v>
      </c>
      <c r="B7" s="400"/>
      <c r="AD7" s="32"/>
      <c r="AE7" s="32"/>
      <c r="AF7" s="32"/>
    </row>
    <row r="8" spans="1:32" ht="15.9" customHeight="1" outlineLevel="2" x14ac:dyDescent="0.25">
      <c r="A8" s="32"/>
      <c r="B8" s="440" t="s">
        <v>193</v>
      </c>
      <c r="C8" s="397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5" t="s">
        <v>89</v>
      </c>
      <c r="B9" s="390" t="s">
        <v>194</v>
      </c>
      <c r="C9" s="398" t="s">
        <v>187</v>
      </c>
      <c r="D9" s="426" t="s">
        <v>191</v>
      </c>
      <c r="E9" s="39" t="s">
        <v>189</v>
      </c>
      <c r="F9" s="39" t="s">
        <v>146</v>
      </c>
      <c r="G9" s="389" t="s">
        <v>151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5" t="s">
        <v>155</v>
      </c>
    </row>
    <row r="12" spans="1:32" ht="13.5" customHeight="1" outlineLevel="1" x14ac:dyDescent="0.25">
      <c r="A12" s="501" t="s">
        <v>127</v>
      </c>
      <c r="B12" s="345">
        <f>+Calpine!D41</f>
        <v>39997.699999999997</v>
      </c>
      <c r="C12" s="368">
        <f>+B12/$G$4</f>
        <v>19511.073170731706</v>
      </c>
      <c r="D12" s="14">
        <f>+Calpine!D47</f>
        <v>106626</v>
      </c>
      <c r="E12" s="70">
        <f>+C12-D12</f>
        <v>-87114.926829268297</v>
      </c>
      <c r="F12" s="363">
        <f>+Calpine!A41</f>
        <v>37297</v>
      </c>
      <c r="G12" s="203" t="s">
        <v>153</v>
      </c>
      <c r="H12" s="204" t="s">
        <v>99</v>
      </c>
      <c r="I12" s="351"/>
      <c r="J12" s="70"/>
      <c r="K12" s="32"/>
    </row>
    <row r="13" spans="1:32" ht="13.5" customHeight="1" outlineLevel="2" x14ac:dyDescent="0.25">
      <c r="A13" s="248" t="s">
        <v>139</v>
      </c>
      <c r="B13" s="345">
        <f>+'Citizens-Griffith'!D41</f>
        <v>50905.1</v>
      </c>
      <c r="C13" s="367">
        <f>+B13/$G$4</f>
        <v>24831.756097560978</v>
      </c>
      <c r="D13" s="14">
        <f>+'Citizens-Griffith'!D48</f>
        <v>28248</v>
      </c>
      <c r="E13" s="70">
        <f>+C13-D13</f>
        <v>-3416.2439024390223</v>
      </c>
      <c r="F13" s="363">
        <f>+'Citizens-Griffith'!A41</f>
        <v>37293</v>
      </c>
      <c r="G13" s="203" t="s">
        <v>301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278</v>
      </c>
      <c r="B14" s="478">
        <f>+SWGasTrans!D41</f>
        <v>-26512.92</v>
      </c>
      <c r="C14" s="367">
        <f>+B14/G4</f>
        <v>-12933.131707317074</v>
      </c>
      <c r="D14" s="14">
        <f>+SWGasTrans!$D$48</f>
        <v>313</v>
      </c>
      <c r="E14" s="70">
        <f>+C14-D14</f>
        <v>-13246.131707317074</v>
      </c>
      <c r="F14" s="363">
        <f>+SWGasTrans!A41</f>
        <v>37297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5">
        <f>+'NS Steel'!D41</f>
        <v>-284231.3</v>
      </c>
      <c r="C15" s="367">
        <f>+B15/$G$4</f>
        <v>-138649.41463414635</v>
      </c>
      <c r="D15" s="14">
        <f>+'NS Steel'!D50</f>
        <v>-10150</v>
      </c>
      <c r="E15" s="70">
        <f>+C15-D15</f>
        <v>-128499.41463414635</v>
      </c>
      <c r="F15" s="364">
        <f>+'NS Steel'!A41</f>
        <v>37296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01" t="s">
        <v>135</v>
      </c>
      <c r="B16" s="348">
        <f>+Citizens!D18</f>
        <v>-550915.94000000006</v>
      </c>
      <c r="C16" s="369">
        <f>+B16/$G$4</f>
        <v>-268739.48292682931</v>
      </c>
      <c r="D16" s="349">
        <f>+Citizens!D24</f>
        <v>-43206</v>
      </c>
      <c r="E16" s="72">
        <f>+C16-D16</f>
        <v>-225533.48292682931</v>
      </c>
      <c r="F16" s="363">
        <f>+Citizens!A18</f>
        <v>37297</v>
      </c>
      <c r="G16" s="203" t="s">
        <v>301</v>
      </c>
      <c r="H16" s="204" t="s">
        <v>99</v>
      </c>
      <c r="I16" s="418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87">
        <f>SUBTOTAL(9,B12:B16)</f>
        <v>-770757.3600000001</v>
      </c>
      <c r="C17" s="392">
        <f>SUBTOTAL(9,C12:C16)</f>
        <v>-375979.20000000007</v>
      </c>
      <c r="D17" s="393">
        <f>SUBTOTAL(9,D12:D16)</f>
        <v>81831</v>
      </c>
      <c r="E17" s="394">
        <f>SUBTOTAL(9,E12:E16)</f>
        <v>-457810.20000000007</v>
      </c>
      <c r="F17" s="363"/>
      <c r="G17" s="203"/>
      <c r="H17" s="204"/>
      <c r="I17" s="351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6" t="s">
        <v>57</v>
      </c>
      <c r="G19" s="7"/>
    </row>
    <row r="20" spans="1:20" ht="13.5" customHeight="1" outlineLevel="2" x14ac:dyDescent="0.25">
      <c r="A20" s="248" t="s">
        <v>71</v>
      </c>
      <c r="B20" s="479">
        <f>+transcol!$D$43</f>
        <v>26188.35</v>
      </c>
      <c r="C20" s="367">
        <f>+B20/$G$4</f>
        <v>12774.804878048781</v>
      </c>
      <c r="D20" s="14">
        <f>+transcol!D50</f>
        <v>-43373</v>
      </c>
      <c r="E20" s="70">
        <f>+C20-D20</f>
        <v>56147.804878048781</v>
      </c>
      <c r="F20" s="364">
        <f>+transcol!A43</f>
        <v>37296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01" t="s">
        <v>290</v>
      </c>
      <c r="B21" s="479">
        <f>+C21*G3</f>
        <v>-26059</v>
      </c>
      <c r="C21" s="367">
        <f>+williams!J40</f>
        <v>-12650</v>
      </c>
      <c r="D21" s="14">
        <f>+C21</f>
        <v>-12650</v>
      </c>
      <c r="E21" s="70">
        <f>+C21-D21</f>
        <v>0</v>
      </c>
      <c r="F21" s="364">
        <f>+williams!A40</f>
        <v>37297</v>
      </c>
      <c r="G21" s="203" t="s">
        <v>154</v>
      </c>
      <c r="H21" s="32" t="s">
        <v>291</v>
      </c>
      <c r="I21" s="32"/>
      <c r="J21" s="32"/>
      <c r="K21" s="32"/>
      <c r="T21" s="259"/>
    </row>
    <row r="22" spans="1:20" ht="13.5" customHeight="1" outlineLevel="2" x14ac:dyDescent="0.25">
      <c r="A22" s="501" t="s">
        <v>95</v>
      </c>
      <c r="B22" s="493">
        <f>+burlington!D42</f>
        <v>-15598.96</v>
      </c>
      <c r="C22" s="371">
        <f>+B22/$G$3</f>
        <v>-7572.3106796116499</v>
      </c>
      <c r="D22" s="349">
        <f>+burlington!D49</f>
        <v>-10122</v>
      </c>
      <c r="E22" s="72">
        <f>+C22-D22</f>
        <v>2549.6893203883501</v>
      </c>
      <c r="F22" s="363">
        <f>+burlington!A42</f>
        <v>37290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87">
        <f>SUBTOTAL(9,B20:B22)</f>
        <v>-15469.61</v>
      </c>
      <c r="C23" s="388">
        <f>SUBTOTAL(9,C20:C22)</f>
        <v>-7447.5058015628692</v>
      </c>
      <c r="D23" s="393">
        <f>SUBTOTAL(9,D20:D22)</f>
        <v>-66145</v>
      </c>
      <c r="E23" s="394">
        <f>SUBTOTAL(9,E20:E22)</f>
        <v>58697.494198437133</v>
      </c>
      <c r="F23" s="363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5" t="s">
        <v>159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" customHeight="1" outlineLevel="2" x14ac:dyDescent="0.25">
      <c r="A26" s="501" t="s">
        <v>87</v>
      </c>
      <c r="B26" s="478">
        <f>+NNG!$D$24</f>
        <v>13519.85</v>
      </c>
      <c r="C26" s="367">
        <f>+B26/$G$4</f>
        <v>6595.0487804878057</v>
      </c>
      <c r="D26" s="14">
        <f>+NNG!D34</f>
        <v>4879</v>
      </c>
      <c r="E26" s="70">
        <f t="shared" ref="E26:E48" si="0">+C26-D26</f>
        <v>1716.0487804878057</v>
      </c>
      <c r="F26" s="363">
        <f>+NNG!A24</f>
        <v>37293</v>
      </c>
      <c r="G26" s="204" t="s">
        <v>300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478">
        <f>+Conoco!$F$41</f>
        <v>452477.45</v>
      </c>
      <c r="C27" s="367">
        <f>+B27/$G$4</f>
        <v>220720.70731707319</v>
      </c>
      <c r="D27" s="14">
        <f>+Conoco!D48</f>
        <v>14152</v>
      </c>
      <c r="E27" s="70">
        <f t="shared" si="0"/>
        <v>206568.70731707319</v>
      </c>
      <c r="F27" s="363">
        <f>+Conoco!A41</f>
        <v>37297</v>
      </c>
      <c r="G27" s="32" t="s">
        <v>301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45">
        <f>+'Amoco Abo'!$F$43</f>
        <v>156601.13</v>
      </c>
      <c r="C28" s="367">
        <f>+B28/$G$4</f>
        <v>76390.795121951232</v>
      </c>
      <c r="D28" s="14">
        <f>+'Amoco Abo'!D49</f>
        <v>-366229</v>
      </c>
      <c r="E28" s="70">
        <f t="shared" si="0"/>
        <v>442619.79512195126</v>
      </c>
      <c r="F28" s="364">
        <f>+'Amoco Abo'!A43</f>
        <v>37296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478">
        <f>+KN_Westar!F41</f>
        <v>329520.2</v>
      </c>
      <c r="C29" s="367">
        <f>+B29/$G$4</f>
        <v>160741.56097560978</v>
      </c>
      <c r="D29" s="14">
        <f>+KN_Westar!D48</f>
        <v>-36982</v>
      </c>
      <c r="E29" s="70">
        <f t="shared" si="0"/>
        <v>197723.56097560978</v>
      </c>
      <c r="F29" s="364">
        <f>+KN_Westar!A41</f>
        <v>37287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01" t="s">
        <v>248</v>
      </c>
      <c r="B30" s="478">
        <f>+summary!B43</f>
        <v>-550915.94000000006</v>
      </c>
      <c r="C30" s="368">
        <f>+B30/$G$5</f>
        <v>-267434.92233009712</v>
      </c>
      <c r="D30" s="14">
        <f>+DEFS!$I$36+DEFS!$J$36+DEFS!$K$45+DEFS!$K$46+DEFS!$K$47+DEFS!$K$48</f>
        <v>-449015</v>
      </c>
      <c r="E30" s="70">
        <f t="shared" si="0"/>
        <v>181580.07766990288</v>
      </c>
      <c r="F30" s="364">
        <f>+DEFS!A40</f>
        <v>37290</v>
      </c>
      <c r="G30" s="203" t="s">
        <v>153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5">
      <c r="A31" s="248" t="s">
        <v>2</v>
      </c>
      <c r="B31" s="478">
        <f>+mewborne!$J$43</f>
        <v>329470</v>
      </c>
      <c r="C31" s="367">
        <f>+B31/$G$4</f>
        <v>160717.07317073172</v>
      </c>
      <c r="D31" s="14">
        <f>+mewborne!D49</f>
        <v>129659</v>
      </c>
      <c r="E31" s="70">
        <f t="shared" si="0"/>
        <v>31058.073170731717</v>
      </c>
      <c r="F31" s="364">
        <f>+mewborne!A43</f>
        <v>37297</v>
      </c>
      <c r="G31" s="203" t="s">
        <v>154</v>
      </c>
      <c r="H31" s="32" t="s">
        <v>99</v>
      </c>
      <c r="I31" s="32"/>
      <c r="J31" s="32"/>
      <c r="K31" s="32"/>
    </row>
    <row r="32" spans="1:20" ht="13.5" customHeight="1" x14ac:dyDescent="0.25">
      <c r="A32" s="248" t="s">
        <v>147</v>
      </c>
      <c r="B32" s="478">
        <f>+PGETX!$H$39</f>
        <v>13077.3</v>
      </c>
      <c r="C32" s="367">
        <f>+B32/$G$4</f>
        <v>6379.1707317073169</v>
      </c>
      <c r="D32" s="14">
        <f>+PGETX!E48</f>
        <v>34042</v>
      </c>
      <c r="E32" s="70">
        <f t="shared" si="0"/>
        <v>-27662.829268292684</v>
      </c>
      <c r="F32" s="364">
        <f>+PGETX!E39</f>
        <v>37296</v>
      </c>
      <c r="G32" s="32" t="s">
        <v>302</v>
      </c>
      <c r="H32" s="32" t="s">
        <v>102</v>
      </c>
      <c r="I32" s="32" t="s">
        <v>175</v>
      </c>
      <c r="J32" s="32"/>
      <c r="K32" s="32"/>
    </row>
    <row r="33" spans="1:11" ht="14.1" customHeight="1" x14ac:dyDescent="0.25">
      <c r="A33" s="248" t="s">
        <v>82</v>
      </c>
      <c r="B33" s="345">
        <f>+PNM!$D$23</f>
        <v>886194.49</v>
      </c>
      <c r="C33" s="367">
        <f>+B33/$G$4</f>
        <v>432289.99512195127</v>
      </c>
      <c r="D33" s="14">
        <f>+PNM!D30</f>
        <v>365026</v>
      </c>
      <c r="E33" s="70">
        <f t="shared" si="0"/>
        <v>67263.995121951273</v>
      </c>
      <c r="F33" s="364">
        <f>+PNM!A23</f>
        <v>37297</v>
      </c>
      <c r="G33" s="32" t="s">
        <v>300</v>
      </c>
      <c r="H33" s="32" t="s">
        <v>115</v>
      </c>
      <c r="I33" s="32"/>
      <c r="J33" s="32"/>
      <c r="K33" s="32"/>
    </row>
    <row r="34" spans="1:11" ht="14.1" customHeight="1" x14ac:dyDescent="0.25">
      <c r="A34" s="32" t="s">
        <v>103</v>
      </c>
      <c r="B34" s="478">
        <f>+EOG!J41</f>
        <v>30994.91</v>
      </c>
      <c r="C34" s="367">
        <f>+B34/$G$4</f>
        <v>15119.468292682928</v>
      </c>
      <c r="D34" s="14">
        <f>+EOG!D48</f>
        <v>-112732</v>
      </c>
      <c r="E34" s="70">
        <f t="shared" si="0"/>
        <v>127851.46829268293</v>
      </c>
      <c r="F34" s="363">
        <f>+EOG!A41</f>
        <v>37297</v>
      </c>
      <c r="G34" s="32" t="s">
        <v>300</v>
      </c>
      <c r="H34" s="32" t="s">
        <v>102</v>
      </c>
      <c r="I34" s="32"/>
      <c r="J34" s="32"/>
      <c r="K34" s="32"/>
    </row>
    <row r="35" spans="1:11" ht="14.1" customHeight="1" x14ac:dyDescent="0.25">
      <c r="A35" s="248" t="s">
        <v>6</v>
      </c>
      <c r="B35" s="345">
        <f>+Oasis!D40</f>
        <v>27079.23</v>
      </c>
      <c r="C35" s="367">
        <f>+B35/G5</f>
        <v>13145.257281553397</v>
      </c>
      <c r="D35" s="14">
        <f>+Oasis!D47</f>
        <v>10954</v>
      </c>
      <c r="E35" s="70">
        <f>+C35-D35</f>
        <v>2191.2572815533968</v>
      </c>
      <c r="F35" s="363">
        <f>+Oasis!A40</f>
        <v>37297</v>
      </c>
      <c r="G35" s="203" t="s">
        <v>154</v>
      </c>
      <c r="H35" s="32" t="s">
        <v>102</v>
      </c>
      <c r="I35" s="32"/>
      <c r="J35" s="32"/>
      <c r="K35" s="32"/>
    </row>
    <row r="36" spans="1:11" ht="14.1" customHeight="1" x14ac:dyDescent="0.25">
      <c r="A36" s="248" t="s">
        <v>131</v>
      </c>
      <c r="B36" s="478">
        <f>+SidR!D41</f>
        <v>10238.459999999999</v>
      </c>
      <c r="C36" s="367">
        <f>+B36/$G$5</f>
        <v>4970.1262135922325</v>
      </c>
      <c r="D36" s="14">
        <f>+SidR!D48</f>
        <v>4766</v>
      </c>
      <c r="E36" s="70">
        <f t="shared" si="0"/>
        <v>204.12621359223249</v>
      </c>
      <c r="F36" s="364">
        <f>+SidR!A41</f>
        <v>37292</v>
      </c>
      <c r="G36" s="203" t="s">
        <v>152</v>
      </c>
      <c r="H36" s="32" t="s">
        <v>102</v>
      </c>
      <c r="I36" s="32"/>
      <c r="J36" s="32"/>
      <c r="K36" s="32"/>
    </row>
    <row r="37" spans="1:11" ht="14.1" customHeight="1" x14ac:dyDescent="0.25">
      <c r="A37" s="501" t="s">
        <v>258</v>
      </c>
      <c r="B37" s="345">
        <f>+summary!$B$46</f>
        <v>-134584.64000000001</v>
      </c>
      <c r="C37" s="367">
        <f>+summary!$C$46</f>
        <v>-65651.043902439036</v>
      </c>
      <c r="D37" s="14">
        <f>+MiVida_Rich!D48</f>
        <v>-45949</v>
      </c>
      <c r="E37" s="70">
        <f>+C37-D37</f>
        <v>-19702.043902439036</v>
      </c>
      <c r="F37" s="364">
        <f>+MiVida_Rich!A41</f>
        <v>37287</v>
      </c>
      <c r="G37" s="203" t="s">
        <v>152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207</v>
      </c>
      <c r="B38" s="345">
        <f>+Dominion!D41</f>
        <v>173721.76</v>
      </c>
      <c r="C38" s="367">
        <f>+B38/$G$5</f>
        <v>84330.951456310679</v>
      </c>
      <c r="D38" s="14">
        <f>+Dominion!D48</f>
        <v>75967</v>
      </c>
      <c r="E38" s="70">
        <f t="shared" si="0"/>
        <v>8363.9514563106786</v>
      </c>
      <c r="F38" s="364">
        <f>+Dominion!A41</f>
        <v>37296</v>
      </c>
      <c r="G38" s="203" t="s">
        <v>300</v>
      </c>
      <c r="H38" s="32" t="s">
        <v>99</v>
      </c>
      <c r="I38" s="32"/>
      <c r="J38" s="32"/>
      <c r="K38" s="32"/>
    </row>
    <row r="39" spans="1:11" ht="14.1" customHeight="1" x14ac:dyDescent="0.25">
      <c r="A39" s="248" t="s">
        <v>204</v>
      </c>
      <c r="B39" s="345">
        <f>+WTGmktg!J43</f>
        <v>-34633.42</v>
      </c>
      <c r="C39" s="367">
        <f>+B39/$G$4</f>
        <v>-16894.351219512195</v>
      </c>
      <c r="D39" s="14">
        <f>+WTGmktg!D50</f>
        <v>-2980</v>
      </c>
      <c r="E39" s="70">
        <f t="shared" si="0"/>
        <v>-13914.351219512195</v>
      </c>
      <c r="F39" s="364">
        <f>+WTGmktg!A43</f>
        <v>37290</v>
      </c>
      <c r="G39" s="203" t="s">
        <v>153</v>
      </c>
      <c r="H39" s="32" t="s">
        <v>115</v>
      </c>
      <c r="I39" s="32"/>
      <c r="J39" s="32"/>
      <c r="K39" s="32"/>
    </row>
    <row r="40" spans="1:11" ht="14.1" customHeight="1" x14ac:dyDescent="0.25">
      <c r="A40" s="248" t="s">
        <v>281</v>
      </c>
      <c r="B40" s="345">
        <f>+'WTG inc'!N43</f>
        <v>23978.959999999999</v>
      </c>
      <c r="C40" s="367">
        <f>+B40/G4</f>
        <v>11697.053658536586</v>
      </c>
      <c r="D40" s="14">
        <f>+'WTG inc'!D50</f>
        <v>7966</v>
      </c>
      <c r="E40" s="70">
        <f>+C40-D40</f>
        <v>3731.0536585365862</v>
      </c>
      <c r="F40" s="364">
        <f>+'WTG inc'!A43</f>
        <v>37296</v>
      </c>
      <c r="G40" s="203" t="s">
        <v>153</v>
      </c>
      <c r="H40" s="32" t="s">
        <v>115</v>
      </c>
      <c r="I40" s="32"/>
      <c r="J40" s="32"/>
      <c r="K40" s="32"/>
    </row>
    <row r="41" spans="1:11" ht="13.5" customHeight="1" x14ac:dyDescent="0.25">
      <c r="A41" s="248" t="s">
        <v>208</v>
      </c>
      <c r="B41" s="345">
        <f>+Devon!D41</f>
        <v>132338.75</v>
      </c>
      <c r="C41" s="367">
        <f>+B41/$G$5</f>
        <v>64242.111650485436</v>
      </c>
      <c r="D41" s="14">
        <f>+Devon!D48</f>
        <v>19984</v>
      </c>
      <c r="E41" s="70">
        <f t="shared" si="0"/>
        <v>44258.111650485436</v>
      </c>
      <c r="F41" s="364">
        <f>+Devon!A41</f>
        <v>37296</v>
      </c>
      <c r="G41" s="203" t="s">
        <v>301</v>
      </c>
      <c r="H41" s="32" t="s">
        <v>99</v>
      </c>
      <c r="I41" s="32"/>
      <c r="J41" s="32"/>
      <c r="K41" s="32"/>
    </row>
    <row r="42" spans="1:11" ht="13.5" customHeight="1" x14ac:dyDescent="0.25">
      <c r="A42" s="248" t="s">
        <v>217</v>
      </c>
      <c r="B42" s="345">
        <f>+crosstex!F41</f>
        <v>-134584.64000000001</v>
      </c>
      <c r="C42" s="367">
        <f>+B42/$G$4</f>
        <v>-65651.043902439036</v>
      </c>
      <c r="D42" s="14">
        <f>+crosstex!D48</f>
        <v>-41644</v>
      </c>
      <c r="E42" s="70">
        <f t="shared" si="0"/>
        <v>-24007.043902439036</v>
      </c>
      <c r="F42" s="364">
        <f>+crosstex!A41</f>
        <v>37296</v>
      </c>
      <c r="G42" s="203" t="s">
        <v>152</v>
      </c>
      <c r="H42" s="32" t="s">
        <v>100</v>
      </c>
      <c r="I42" s="32"/>
      <c r="J42" s="32"/>
      <c r="K42" s="32"/>
    </row>
    <row r="43" spans="1:11" ht="13.5" customHeight="1" x14ac:dyDescent="0.25">
      <c r="A43" s="248" t="s">
        <v>218</v>
      </c>
      <c r="B43" s="345">
        <f>+Amarillo!P41</f>
        <v>91858.28</v>
      </c>
      <c r="C43" s="367">
        <f>+B43/$G$4</f>
        <v>44808.917073170735</v>
      </c>
      <c r="D43" s="14">
        <f>+Amarillo!D48</f>
        <v>38061</v>
      </c>
      <c r="E43" s="70">
        <f t="shared" si="0"/>
        <v>6747.9170731707345</v>
      </c>
      <c r="F43" s="364">
        <f>+Amarillo!A41</f>
        <v>37296</v>
      </c>
      <c r="G43" s="203" t="s">
        <v>301</v>
      </c>
      <c r="H43" s="32" t="s">
        <v>113</v>
      </c>
      <c r="I43" s="32"/>
      <c r="J43" s="32"/>
      <c r="K43" s="32"/>
    </row>
    <row r="44" spans="1:11" ht="13.5" customHeight="1" x14ac:dyDescent="0.25">
      <c r="A44" s="248" t="s">
        <v>296</v>
      </c>
      <c r="B44" s="345">
        <f>+Stratland!$D$41</f>
        <v>48490.31</v>
      </c>
      <c r="C44" s="368">
        <f>+B44/$G$4</f>
        <v>23653.809756097562</v>
      </c>
      <c r="D44" s="14">
        <f>+Stratland!D48</f>
        <v>17403</v>
      </c>
      <c r="E44" s="70">
        <f>+C44-D44</f>
        <v>6250.8097560975621</v>
      </c>
      <c r="F44" s="363">
        <f>+Stratland!A41</f>
        <v>37287</v>
      </c>
      <c r="G44" s="203" t="s">
        <v>300</v>
      </c>
      <c r="H44" s="32" t="s">
        <v>102</v>
      </c>
      <c r="I44" s="32"/>
      <c r="J44" s="32"/>
      <c r="K44" s="32"/>
    </row>
    <row r="45" spans="1:11" ht="13.5" customHeight="1" x14ac:dyDescent="0.25">
      <c r="A45" s="248" t="s">
        <v>307</v>
      </c>
      <c r="B45" s="345">
        <f>+Plains!$N$43</f>
        <v>63241.56</v>
      </c>
      <c r="C45" s="368">
        <f>+B45/$G$4</f>
        <v>30849.541463414636</v>
      </c>
      <c r="D45" s="14">
        <f>+Plains!D50</f>
        <v>22284</v>
      </c>
      <c r="E45" s="70">
        <f>+C45-D45</f>
        <v>8565.5414634146364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5">
      <c r="A46" s="248" t="s">
        <v>109</v>
      </c>
      <c r="B46" s="345">
        <f>+Continental!F43</f>
        <v>44498.090000000004</v>
      </c>
      <c r="C46" s="368">
        <f>+B46/$G$4</f>
        <v>21706.385365853661</v>
      </c>
      <c r="D46" s="14">
        <f>+Continental!D50</f>
        <v>5414</v>
      </c>
      <c r="E46" s="70">
        <f t="shared" si="0"/>
        <v>16292.385365853661</v>
      </c>
      <c r="F46" s="364">
        <f>+Continental!A43</f>
        <v>37297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5">
      <c r="A47" s="248" t="s">
        <v>129</v>
      </c>
      <c r="B47" s="345">
        <f>+EPFS!D41</f>
        <v>139349.41999999998</v>
      </c>
      <c r="C47" s="368">
        <f>+B47/$G$5</f>
        <v>67645.349514563102</v>
      </c>
      <c r="D47" s="14">
        <f>+EPFS!D47</f>
        <v>80889</v>
      </c>
      <c r="E47" s="70">
        <f t="shared" si="0"/>
        <v>-13243.650485436898</v>
      </c>
      <c r="F47" s="363">
        <f>+EPFS!A41</f>
        <v>37297</v>
      </c>
      <c r="G47" s="203" t="s">
        <v>154</v>
      </c>
      <c r="H47" s="32" t="s">
        <v>102</v>
      </c>
      <c r="I47" s="32"/>
      <c r="J47" s="32"/>
      <c r="K47" s="32"/>
    </row>
    <row r="48" spans="1:11" ht="12.9" customHeight="1" x14ac:dyDescent="0.25">
      <c r="A48" s="501" t="s">
        <v>79</v>
      </c>
      <c r="B48" s="493">
        <f>+Agave!$D$24</f>
        <v>133025.22</v>
      </c>
      <c r="C48" s="369">
        <f>+B48/$G$4</f>
        <v>64890.351219512202</v>
      </c>
      <c r="D48" s="349">
        <f>+Agave!D31</f>
        <v>76190</v>
      </c>
      <c r="E48" s="72">
        <f t="shared" si="0"/>
        <v>-11299.648780487798</v>
      </c>
      <c r="F48" s="363">
        <f>+Agave!A24</f>
        <v>37297</v>
      </c>
      <c r="G48" s="203" t="s">
        <v>301</v>
      </c>
      <c r="H48" s="204" t="s">
        <v>102</v>
      </c>
      <c r="I48" s="32"/>
      <c r="J48" s="32"/>
      <c r="K48" s="32"/>
    </row>
    <row r="49" spans="1:19" ht="17.100000000000001" customHeight="1" x14ac:dyDescent="0.25">
      <c r="A49" s="153" t="s">
        <v>161</v>
      </c>
      <c r="B49" s="387">
        <f>SUBTOTAL(9,B26:B48)</f>
        <v>2244956.7300000004</v>
      </c>
      <c r="C49" s="392">
        <f>SUBTOTAL(9,C26:C48)</f>
        <v>1095262.3128107982</v>
      </c>
      <c r="D49" s="393">
        <f>SUBTOTAL(9,D26:D48)</f>
        <v>-147895</v>
      </c>
      <c r="E49" s="394">
        <f>SUBTOTAL(9,E26:E48)</f>
        <v>1243157.3128107984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5">
      <c r="A50" s="204"/>
      <c r="H50" s="32"/>
      <c r="I50" s="204"/>
      <c r="J50" s="32"/>
      <c r="K50" s="32"/>
      <c r="L50" s="32"/>
    </row>
    <row r="51" spans="1:19" ht="17.100000000000001" customHeight="1" x14ac:dyDescent="0.25">
      <c r="A51" s="153" t="s">
        <v>162</v>
      </c>
      <c r="B51" s="387">
        <f>SUBTOTAL(9,B12:B48)</f>
        <v>1458729.7599999998</v>
      </c>
      <c r="C51" s="392">
        <f>SUBTOTAL(9,C12:C48)</f>
        <v>711835.60700923519</v>
      </c>
      <c r="D51" s="393">
        <f>SUBTOTAL(9,D12:D48)</f>
        <v>-132209</v>
      </c>
      <c r="E51" s="394">
        <f>SUBTOTAL(9,E12:E48)</f>
        <v>844044.6070092353</v>
      </c>
      <c r="F51" s="363"/>
      <c r="G51" s="204"/>
      <c r="H51" s="32"/>
      <c r="I51" s="204"/>
      <c r="J51" s="32"/>
      <c r="K51" s="32"/>
      <c r="L51" s="32"/>
    </row>
    <row r="52" spans="1:19" ht="12.9" customHeight="1" x14ac:dyDescent="0.25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5"/>
    <row r="54" spans="1:19" ht="12.9" customHeight="1" x14ac:dyDescent="0.25"/>
    <row r="55" spans="1:19" ht="13.5" customHeight="1" x14ac:dyDescent="0.25"/>
    <row r="56" spans="1:19" ht="13.5" customHeight="1" outlineLevel="2" x14ac:dyDescent="0.25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5">
      <c r="D57" s="7"/>
      <c r="F57" s="383" t="s">
        <v>29</v>
      </c>
      <c r="G57" s="386">
        <f>+G3</f>
        <v>2.06</v>
      </c>
      <c r="H57" s="401">
        <f ca="1">NOW()</f>
        <v>37299.690627314812</v>
      </c>
    </row>
    <row r="58" spans="1:19" ht="13.5" customHeight="1" outlineLevel="2" x14ac:dyDescent="0.25">
      <c r="A58" s="34" t="s">
        <v>145</v>
      </c>
      <c r="C58" s="34" t="s">
        <v>5</v>
      </c>
      <c r="D58" s="7"/>
      <c r="F58" s="384" t="s">
        <v>30</v>
      </c>
      <c r="G58" s="386">
        <f>+G4</f>
        <v>2.0499999999999998</v>
      </c>
      <c r="H58" s="32"/>
    </row>
    <row r="59" spans="1:19" ht="13.5" customHeight="1" outlineLevel="1" x14ac:dyDescent="0.25">
      <c r="D59" s="7"/>
      <c r="F59" s="383" t="s">
        <v>117</v>
      </c>
      <c r="G59" s="386">
        <f>+G5</f>
        <v>2.06</v>
      </c>
      <c r="H59" s="32"/>
    </row>
    <row r="60" spans="1:19" ht="13.5" customHeight="1" outlineLevel="2" x14ac:dyDescent="0.25"/>
    <row r="61" spans="1:19" ht="13.5" customHeight="1" outlineLevel="2" x14ac:dyDescent="0.25">
      <c r="A61" s="399" t="s">
        <v>164</v>
      </c>
      <c r="B61" s="400"/>
      <c r="E61" s="12" t="s">
        <v>197</v>
      </c>
    </row>
    <row r="62" spans="1:19" ht="13.5" customHeight="1" outlineLevel="2" x14ac:dyDescent="0.25">
      <c r="A62" s="32"/>
      <c r="B62" s="402" t="s">
        <v>188</v>
      </c>
      <c r="C62" s="402" t="s">
        <v>195</v>
      </c>
      <c r="D62" s="402" t="s">
        <v>192</v>
      </c>
      <c r="E62" s="12" t="s">
        <v>198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5">
      <c r="A63" s="365" t="s">
        <v>89</v>
      </c>
      <c r="B63" s="398" t="s">
        <v>0</v>
      </c>
      <c r="C63" s="377" t="s">
        <v>166</v>
      </c>
      <c r="D63" s="39" t="s">
        <v>196</v>
      </c>
      <c r="E63" s="39" t="s">
        <v>199</v>
      </c>
      <c r="F63" s="39" t="s">
        <v>146</v>
      </c>
      <c r="G63" s="389" t="s">
        <v>151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B64" s="286"/>
      <c r="C64" s="247"/>
    </row>
    <row r="65" spans="1:11" ht="13.5" customHeight="1" outlineLevel="1" x14ac:dyDescent="0.25">
      <c r="A65" s="365" t="s">
        <v>155</v>
      </c>
      <c r="B65" s="286"/>
      <c r="C65" s="247"/>
      <c r="G65" s="203"/>
    </row>
    <row r="66" spans="1:11" ht="13.5" customHeight="1" outlineLevel="2" x14ac:dyDescent="0.25">
      <c r="A66" s="248" t="s">
        <v>94</v>
      </c>
      <c r="B66" s="502">
        <f>+Mojave!D40</f>
        <v>183249</v>
      </c>
      <c r="C66" s="345">
        <f>+B66*$G$4</f>
        <v>375660.44999999995</v>
      </c>
      <c r="D66" s="47">
        <f>+Mojave!D47</f>
        <v>192220.5</v>
      </c>
      <c r="E66" s="47">
        <f>+C66-D66</f>
        <v>183439.94999999995</v>
      </c>
      <c r="F66" s="364">
        <f>+Mojave!A40</f>
        <v>37296</v>
      </c>
      <c r="G66" s="203" t="s">
        <v>154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5">
      <c r="A67" s="248" t="s">
        <v>32</v>
      </c>
      <c r="B67" s="368">
        <f>+SoCal!F40</f>
        <v>82984</v>
      </c>
      <c r="C67" s="345">
        <f>+B67*$G$4</f>
        <v>170117.19999999998</v>
      </c>
      <c r="D67" s="47">
        <f>+SoCal!D47</f>
        <v>287660.59999999998</v>
      </c>
      <c r="E67" s="47">
        <f>+C67-D67</f>
        <v>-117543.4</v>
      </c>
      <c r="F67" s="364">
        <f>+SoCal!A40</f>
        <v>37297</v>
      </c>
      <c r="G67" s="203" t="s">
        <v>153</v>
      </c>
      <c r="H67" s="32" t="s">
        <v>102</v>
      </c>
      <c r="I67" s="32"/>
      <c r="J67" s="32"/>
      <c r="K67" s="32"/>
    </row>
    <row r="68" spans="1:11" ht="15" customHeight="1" outlineLevel="2" x14ac:dyDescent="0.25">
      <c r="A68" s="248" t="s">
        <v>178</v>
      </c>
      <c r="B68" s="367">
        <f>+'El Paso'!C39</f>
        <v>64269</v>
      </c>
      <c r="C68" s="345">
        <f>+B68*$G$4</f>
        <v>131751.44999999998</v>
      </c>
      <c r="D68" s="47">
        <f>+'El Paso'!C46</f>
        <v>-1582961.01</v>
      </c>
      <c r="E68" s="47">
        <f>+C68-D68</f>
        <v>1714712.46</v>
      </c>
      <c r="F68" s="364">
        <f>+'El Paso'!A39</f>
        <v>37297</v>
      </c>
      <c r="G68" s="419" t="s">
        <v>154</v>
      </c>
      <c r="H68" s="32" t="s">
        <v>100</v>
      </c>
      <c r="I68" s="32" t="s">
        <v>170</v>
      </c>
      <c r="J68" s="32"/>
      <c r="K68" s="32"/>
    </row>
    <row r="69" spans="1:11" ht="15" customHeight="1" outlineLevel="1" x14ac:dyDescent="0.25">
      <c r="A69" s="248" t="s">
        <v>114</v>
      </c>
      <c r="B69" s="369">
        <f>+'PG&amp;E'!D40</f>
        <v>38813</v>
      </c>
      <c r="C69" s="348">
        <f>+B69*$G$4</f>
        <v>79566.649999999994</v>
      </c>
      <c r="D69" s="348">
        <f>+'PG&amp;E'!D47</f>
        <v>-122982.45</v>
      </c>
      <c r="E69" s="348">
        <f>+C69-D69</f>
        <v>202549.09999999998</v>
      </c>
      <c r="F69" s="364">
        <f>+'PG&amp;E'!A40</f>
        <v>37296</v>
      </c>
      <c r="G69" s="203" t="s">
        <v>154</v>
      </c>
      <c r="H69" s="32" t="s">
        <v>102</v>
      </c>
      <c r="I69" s="32"/>
      <c r="J69" s="32"/>
      <c r="K69" s="32"/>
    </row>
    <row r="70" spans="1:11" ht="15" customHeight="1" x14ac:dyDescent="0.25">
      <c r="A70" s="2" t="s">
        <v>156</v>
      </c>
      <c r="B70" s="392">
        <f>SUBTOTAL(9,B66:B69)</f>
        <v>369315</v>
      </c>
      <c r="C70" s="387">
        <f>SUBTOTAL(9,C66:C69)</f>
        <v>757095.74999999988</v>
      </c>
      <c r="D70" s="387">
        <f>SUBTOTAL(9,D66:D69)</f>
        <v>-1226062.3600000001</v>
      </c>
      <c r="E70" s="387">
        <f>SUBTOTAL(9,E66:E69)</f>
        <v>1983158.1099999999</v>
      </c>
      <c r="F70" s="364"/>
      <c r="G70" s="203"/>
      <c r="H70" s="32"/>
      <c r="I70" s="32"/>
      <c r="J70" s="32"/>
      <c r="K70" s="32"/>
    </row>
    <row r="71" spans="1:11" ht="12.9" customHeight="1" x14ac:dyDescent="0.25">
      <c r="B71" s="286"/>
      <c r="C71" s="247"/>
      <c r="G71" s="203"/>
    </row>
    <row r="72" spans="1:11" ht="15" customHeight="1" x14ac:dyDescent="0.25">
      <c r="A72" s="365" t="s">
        <v>57</v>
      </c>
      <c r="B72" s="286"/>
      <c r="C72" s="247"/>
      <c r="G72" s="203"/>
    </row>
    <row r="73" spans="1:11" x14ac:dyDescent="0.25">
      <c r="A73" s="248" t="s">
        <v>23</v>
      </c>
      <c r="B73" s="367">
        <f>+'Red C'!F45</f>
        <v>16688</v>
      </c>
      <c r="C73" s="346">
        <f>+B73*G57</f>
        <v>34377.279999999999</v>
      </c>
      <c r="D73" s="200">
        <f>+'Red C'!D52</f>
        <v>406547.16</v>
      </c>
      <c r="E73" s="47">
        <f>+C73-D73</f>
        <v>-372169.88</v>
      </c>
      <c r="F73" s="363">
        <f>+'Red C'!A45</f>
        <v>37296</v>
      </c>
      <c r="G73" s="203" t="s">
        <v>153</v>
      </c>
      <c r="H73" s="32" t="s">
        <v>115</v>
      </c>
      <c r="I73" s="32"/>
      <c r="J73" s="32"/>
      <c r="K73" s="32"/>
    </row>
    <row r="74" spans="1:11" x14ac:dyDescent="0.25">
      <c r="A74" s="248" t="s">
        <v>289</v>
      </c>
      <c r="B74" s="367">
        <f>+Amoco!D40</f>
        <v>499</v>
      </c>
      <c r="C74" s="345">
        <f>+B74*$G$3</f>
        <v>1027.94</v>
      </c>
      <c r="D74" s="47">
        <f>+Amoco!D47</f>
        <v>336093.82</v>
      </c>
      <c r="E74" s="47">
        <f>+C74-D74</f>
        <v>-335065.88</v>
      </c>
      <c r="F74" s="364">
        <f>+Amoco!A40</f>
        <v>37296</v>
      </c>
      <c r="G74" s="203" t="s">
        <v>153</v>
      </c>
      <c r="H74" s="32" t="s">
        <v>115</v>
      </c>
      <c r="I74" s="32"/>
      <c r="J74" s="32"/>
      <c r="K74" s="32"/>
    </row>
    <row r="75" spans="1:11" x14ac:dyDescent="0.25">
      <c r="A75" s="248" t="s">
        <v>179</v>
      </c>
      <c r="B75" s="367">
        <f>+'El Paso'!E39</f>
        <v>18915</v>
      </c>
      <c r="C75" s="345">
        <f>+B75*$G$3</f>
        <v>38964.9</v>
      </c>
      <c r="D75" s="47">
        <f>+'El Paso'!F46</f>
        <v>-657254.01</v>
      </c>
      <c r="E75" s="47">
        <f>+C75-D75</f>
        <v>696218.91</v>
      </c>
      <c r="F75" s="364">
        <f>+'El Paso'!A39</f>
        <v>37297</v>
      </c>
      <c r="G75" s="419" t="s">
        <v>154</v>
      </c>
      <c r="H75" s="32" t="s">
        <v>100</v>
      </c>
      <c r="I75" s="32"/>
      <c r="J75" s="32"/>
      <c r="K75" s="32"/>
    </row>
    <row r="76" spans="1:11" x14ac:dyDescent="0.25">
      <c r="A76" s="248" t="s">
        <v>1</v>
      </c>
      <c r="B76" s="369">
        <f>+NW!$F$41</f>
        <v>-43515</v>
      </c>
      <c r="C76" s="348">
        <f>+B76*$G$3</f>
        <v>-89640.900000000009</v>
      </c>
      <c r="D76" s="348">
        <f>+NW!E49</f>
        <v>-551113.41999999993</v>
      </c>
      <c r="E76" s="348">
        <f>+C76-D76</f>
        <v>461472.5199999999</v>
      </c>
      <c r="F76" s="363">
        <f>+NW!B41</f>
        <v>37297</v>
      </c>
      <c r="G76" s="203" t="s">
        <v>153</v>
      </c>
      <c r="H76" s="32" t="s">
        <v>115</v>
      </c>
      <c r="I76" s="32"/>
      <c r="J76" s="32"/>
      <c r="K76" s="32"/>
    </row>
    <row r="77" spans="1:11" x14ac:dyDescent="0.25">
      <c r="A77" s="32" t="s">
        <v>157</v>
      </c>
      <c r="B77" s="392">
        <f>SUBTOTAL(9,B73:B76)</f>
        <v>-7413</v>
      </c>
      <c r="C77" s="387">
        <f>SUBTOTAL(9,C73:C76)</f>
        <v>-15270.780000000013</v>
      </c>
      <c r="D77" s="387">
        <f>SUBTOTAL(9,D73:D76)</f>
        <v>-465726.44999999995</v>
      </c>
      <c r="E77" s="387">
        <f>SUBTOTAL(9,E73:E76)</f>
        <v>450455.66999999993</v>
      </c>
      <c r="F77" s="363"/>
      <c r="G77" s="203"/>
      <c r="H77" s="32"/>
      <c r="I77" s="32"/>
      <c r="J77" s="32"/>
      <c r="K77" s="32"/>
    </row>
    <row r="78" spans="1:11" x14ac:dyDescent="0.25">
      <c r="B78" s="286"/>
      <c r="C78" s="247"/>
      <c r="G78" s="203"/>
    </row>
    <row r="79" spans="1:11" x14ac:dyDescent="0.25">
      <c r="A79" s="365" t="s">
        <v>159</v>
      </c>
      <c r="B79" s="286"/>
      <c r="C79" s="247"/>
      <c r="G79" s="203"/>
    </row>
    <row r="80" spans="1:11" x14ac:dyDescent="0.25">
      <c r="A80" s="248" t="s">
        <v>88</v>
      </c>
      <c r="B80" s="367">
        <f>+NGPL!H38</f>
        <v>123284</v>
      </c>
      <c r="C80" s="478">
        <f>+B80*$G$5</f>
        <v>253965.04</v>
      </c>
      <c r="D80" s="47">
        <f>+NGPL!D45</f>
        <v>310794.45</v>
      </c>
      <c r="E80" s="47">
        <f>+C80-D80</f>
        <v>-56829.41</v>
      </c>
      <c r="F80" s="364">
        <f>+NGPL!A38</f>
        <v>37297</v>
      </c>
      <c r="G80" s="203" t="s">
        <v>153</v>
      </c>
      <c r="H80" s="32" t="s">
        <v>115</v>
      </c>
      <c r="I80" s="32"/>
      <c r="J80" s="32"/>
      <c r="K80" s="32"/>
    </row>
    <row r="81" spans="1:12" x14ac:dyDescent="0.25">
      <c r="A81" s="248" t="s">
        <v>142</v>
      </c>
      <c r="B81" s="367">
        <f>+PEPL!D41</f>
        <v>20551</v>
      </c>
      <c r="C81" s="479">
        <f>+B81*$G$4</f>
        <v>42129.549999999996</v>
      </c>
      <c r="D81" s="47">
        <f>+PEPL!D47</f>
        <v>188598.95</v>
      </c>
      <c r="E81" s="47">
        <f>+C81-D81</f>
        <v>-146469.40000000002</v>
      </c>
      <c r="F81" s="364">
        <f>+PEPL!A41</f>
        <v>37297</v>
      </c>
      <c r="G81" s="32" t="s">
        <v>301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5">
      <c r="A82" s="248" t="s">
        <v>110</v>
      </c>
      <c r="B82" s="206">
        <f>+CIG!D42</f>
        <v>17587</v>
      </c>
      <c r="C82" s="479">
        <f>+B82*$G$4</f>
        <v>36053.35</v>
      </c>
      <c r="D82" s="200">
        <f>+CIG!D49</f>
        <v>385897</v>
      </c>
      <c r="E82" s="70">
        <f>+C82-D82</f>
        <v>-349843.65</v>
      </c>
      <c r="F82" s="364">
        <f>+CIG!A42</f>
        <v>37290</v>
      </c>
      <c r="G82" s="203" t="s">
        <v>154</v>
      </c>
      <c r="H82" s="32" t="s">
        <v>113</v>
      </c>
      <c r="I82" s="32" t="s">
        <v>180</v>
      </c>
      <c r="J82" s="32"/>
      <c r="K82" s="32"/>
    </row>
    <row r="83" spans="1:12" x14ac:dyDescent="0.25">
      <c r="A83" s="248" t="s">
        <v>31</v>
      </c>
      <c r="B83" s="371">
        <f>+Lonestar!F43</f>
        <v>41892</v>
      </c>
      <c r="C83" s="493">
        <f>+B83*G59</f>
        <v>86297.52</v>
      </c>
      <c r="D83" s="348">
        <f>+Lonestar!D50</f>
        <v>79140.960000000006</v>
      </c>
      <c r="E83" s="348">
        <f>+C83-D83</f>
        <v>7156.5599999999977</v>
      </c>
      <c r="F83" s="363">
        <f>+Lonestar!A43</f>
        <v>37297</v>
      </c>
      <c r="G83" s="32" t="s">
        <v>301</v>
      </c>
      <c r="H83" s="32" t="s">
        <v>102</v>
      </c>
      <c r="I83" s="32"/>
      <c r="J83" s="32"/>
      <c r="K83" s="32"/>
    </row>
    <row r="84" spans="1:12" x14ac:dyDescent="0.25">
      <c r="A84" s="2" t="s">
        <v>160</v>
      </c>
      <c r="B84" s="388">
        <f>SUBTOTAL(9,B80:B83)</f>
        <v>203314</v>
      </c>
      <c r="C84" s="387">
        <f>SUBTOTAL(9,C80:C83)</f>
        <v>418445.46</v>
      </c>
      <c r="D84" s="387">
        <f>SUBTOTAL(9,D80:D83)</f>
        <v>964431.35999999999</v>
      </c>
      <c r="E84" s="387">
        <f>SUBTOTAL(9,E80:E83)</f>
        <v>-545985.90000000014</v>
      </c>
      <c r="F84" s="363"/>
      <c r="H84" s="32"/>
      <c r="I84" s="32"/>
      <c r="J84" s="32"/>
      <c r="K84" s="32"/>
    </row>
    <row r="85" spans="1:12" x14ac:dyDescent="0.25">
      <c r="B85" s="286"/>
      <c r="C85" s="247"/>
    </row>
    <row r="86" spans="1:12" x14ac:dyDescent="0.25">
      <c r="A86" s="2" t="s">
        <v>165</v>
      </c>
      <c r="B86" s="388">
        <f>SUBTOTAL(9,B66:B83)</f>
        <v>565216</v>
      </c>
      <c r="C86" s="387">
        <f>SUBTOTAL(9,C66:C83)</f>
        <v>1160270.43</v>
      </c>
      <c r="D86" s="387">
        <f>SUBTOTAL(9,D66:D83)</f>
        <v>-727357.45000000019</v>
      </c>
      <c r="E86" s="387">
        <f>SUBTOTAL(9,E66:E83)</f>
        <v>1887627.8800000004</v>
      </c>
      <c r="F86" s="363"/>
      <c r="H86" s="32"/>
      <c r="I86" s="32"/>
      <c r="J86" s="32"/>
      <c r="K86" s="32"/>
    </row>
    <row r="87" spans="1:12" x14ac:dyDescent="0.25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5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8" thickBot="1" x14ac:dyDescent="0.3">
      <c r="A89" s="2" t="s">
        <v>167</v>
      </c>
      <c r="B89" s="395">
        <f>+C86+B51</f>
        <v>2619000.1899999995</v>
      </c>
      <c r="C89" s="206"/>
      <c r="D89" s="345"/>
      <c r="E89" s="345"/>
      <c r="F89" s="352"/>
      <c r="H89" s="32"/>
      <c r="I89" s="32"/>
      <c r="J89" s="32"/>
      <c r="K89" s="32"/>
    </row>
    <row r="90" spans="1:12" ht="13.8" thickTop="1" x14ac:dyDescent="0.25">
      <c r="A90" s="2" t="s">
        <v>168</v>
      </c>
      <c r="B90" s="14">
        <f>+B86+C51</f>
        <v>1277051.6070092353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5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5">
      <c r="A92" s="32"/>
      <c r="B92" s="47"/>
      <c r="C92" s="69"/>
      <c r="E92" s="32"/>
      <c r="F92" s="32"/>
      <c r="G92" s="32"/>
      <c r="H92" s="32"/>
      <c r="I92" s="32"/>
    </row>
    <row r="93" spans="1:12" x14ac:dyDescent="0.25">
      <c r="A93" s="32"/>
      <c r="B93" s="47"/>
      <c r="C93" s="69"/>
      <c r="D93" s="32"/>
      <c r="E93" s="32"/>
      <c r="F93" s="32"/>
      <c r="G93" s="32"/>
      <c r="H93" s="32"/>
    </row>
    <row r="94" spans="1:12" x14ac:dyDescent="0.25">
      <c r="A94" s="32"/>
      <c r="B94" s="200"/>
      <c r="C94" s="291"/>
      <c r="D94" s="16"/>
      <c r="E94" s="32"/>
      <c r="F94" s="32"/>
      <c r="G94" s="32"/>
      <c r="H94" s="32"/>
    </row>
    <row r="100" spans="1:8" x14ac:dyDescent="0.25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5">
      <c r="A101" s="32"/>
      <c r="B101" s="47"/>
      <c r="C101" s="14"/>
      <c r="D101" s="32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5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5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5">
      <c r="A107" s="32"/>
      <c r="B107" s="47"/>
      <c r="C107" s="69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5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5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5">
      <c r="A129" s="32"/>
      <c r="B129" s="47"/>
      <c r="D129" s="32"/>
      <c r="E129" s="32"/>
      <c r="F129" s="32"/>
      <c r="G129" s="32"/>
      <c r="H129" s="32"/>
    </row>
    <row r="130" spans="1:8" x14ac:dyDescent="0.25">
      <c r="A130" s="32"/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C132" s="69"/>
      <c r="D132" s="32"/>
      <c r="E132" s="32"/>
      <c r="F132" s="32"/>
      <c r="G132" s="32"/>
      <c r="H132" s="32"/>
    </row>
    <row r="133" spans="1:8" x14ac:dyDescent="0.25">
      <c r="A133" s="32"/>
      <c r="B133" s="47"/>
      <c r="C133" s="69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32" workbookViewId="0">
      <selection activeCell="B34" sqref="B34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29">
        <v>2</v>
      </c>
      <c r="B7" s="436">
        <v>162200</v>
      </c>
      <c r="C7" s="410">
        <v>159898</v>
      </c>
      <c r="D7" s="307">
        <f>+C7-B7</f>
        <v>-2302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29">
        <v>10</v>
      </c>
      <c r="B15" s="410"/>
      <c r="C15" s="410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29">
        <v>11</v>
      </c>
      <c r="B16" s="410"/>
      <c r="C16" s="410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29">
        <v>12</v>
      </c>
      <c r="B17" s="410"/>
      <c r="C17" s="410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29">
        <v>13</v>
      </c>
      <c r="B18" s="410"/>
      <c r="C18" s="410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29">
        <v>14</v>
      </c>
      <c r="B19" s="410"/>
      <c r="C19" s="410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29">
        <v>15</v>
      </c>
      <c r="B20" s="410"/>
      <c r="C20" s="410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29">
        <v>16</v>
      </c>
      <c r="B21" s="410"/>
      <c r="C21" s="410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29">
        <v>17</v>
      </c>
      <c r="B22" s="436"/>
      <c r="C22" s="410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29">
        <v>18</v>
      </c>
      <c r="B23" s="436"/>
      <c r="C23" s="410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29">
        <v>19</v>
      </c>
      <c r="B24" s="436"/>
      <c r="C24" s="436"/>
      <c r="D24" s="482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29">
        <v>20</v>
      </c>
      <c r="B25" s="436"/>
      <c r="C25" s="436"/>
      <c r="D25" s="482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29">
        <v>21</v>
      </c>
      <c r="B26" s="436"/>
      <c r="C26" s="436"/>
      <c r="D26" s="482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29">
        <v>22</v>
      </c>
      <c r="B27" s="436"/>
      <c r="C27" s="436"/>
      <c r="D27" s="482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29">
        <v>23</v>
      </c>
      <c r="B28" s="436"/>
      <c r="C28" s="436"/>
      <c r="D28" s="482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29">
        <v>24</v>
      </c>
      <c r="B29" s="436"/>
      <c r="C29" s="436"/>
      <c r="D29" s="482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29">
        <v>25</v>
      </c>
      <c r="B30" s="436"/>
      <c r="C30" s="436"/>
      <c r="D30" s="482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29"/>
      <c r="B37" s="410">
        <f>SUM(B6:B36)</f>
        <v>1398896</v>
      </c>
      <c r="C37" s="410">
        <f>SUM(C6:C36)</f>
        <v>1404443</v>
      </c>
      <c r="D37" s="410">
        <f>SUM(D6:D36)</f>
        <v>5547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37287</v>
      </c>
      <c r="B39" s="285"/>
      <c r="C39" s="434"/>
      <c r="D39" s="487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37296</v>
      </c>
      <c r="B40" s="285"/>
      <c r="C40" s="435"/>
      <c r="D40" s="307">
        <f>+D39+D37</f>
        <v>499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37287</v>
      </c>
      <c r="B45" s="32"/>
      <c r="C45" s="32"/>
      <c r="D45" s="488">
        <v>324667</v>
      </c>
    </row>
    <row r="46" spans="1:16" x14ac:dyDescent="0.25">
      <c r="A46" s="49">
        <f>+A40</f>
        <v>37296</v>
      </c>
      <c r="B46" s="32"/>
      <c r="C46" s="32"/>
      <c r="D46" s="374">
        <f>+D37*'by type_area'!G3</f>
        <v>11426.82</v>
      </c>
    </row>
    <row r="47" spans="1:16" x14ac:dyDescent="0.25">
      <c r="A47" s="32"/>
      <c r="B47" s="32"/>
      <c r="C47" s="32"/>
      <c r="D47" s="200">
        <f>+D46+D45</f>
        <v>336093.82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7" workbookViewId="0">
      <selection activeCell="C34" sqref="C34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-72799</v>
      </c>
      <c r="C36" s="24">
        <f>SUM(C5:C35)</f>
        <v>-69399</v>
      </c>
      <c r="D36" s="24">
        <f t="shared" si="0"/>
        <v>3400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2.06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7004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37287</v>
      </c>
      <c r="B39"/>
      <c r="C39" s="15"/>
      <c r="D39" s="491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37297</v>
      </c>
      <c r="B40"/>
      <c r="C40" s="48"/>
      <c r="D40" s="138">
        <f>+D39+D38</f>
        <v>27079.23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37287</v>
      </c>
      <c r="B45" s="32"/>
      <c r="C45" s="32"/>
      <c r="D45" s="486">
        <v>7554</v>
      </c>
    </row>
    <row r="46" spans="1:65" x14ac:dyDescent="0.25">
      <c r="A46" s="49">
        <f>+A40</f>
        <v>37297</v>
      </c>
      <c r="B46" s="32"/>
      <c r="C46" s="32"/>
      <c r="D46" s="349">
        <f>+D36</f>
        <v>3400</v>
      </c>
    </row>
    <row r="47" spans="1:65" x14ac:dyDescent="0.25">
      <c r="A47" s="32"/>
      <c r="B47" s="32"/>
      <c r="C47" s="32"/>
      <c r="D47" s="14">
        <f>+D46+D45</f>
        <v>10954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C38" sqref="C38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332436</v>
      </c>
      <c r="C5" s="90">
        <v>332955</v>
      </c>
      <c r="D5" s="90">
        <f>+C5-B5</f>
        <v>519</v>
      </c>
      <c r="E5" s="275"/>
      <c r="F5" s="273"/>
    </row>
    <row r="6" spans="1:13" x14ac:dyDescent="0.25">
      <c r="A6" s="87">
        <v>78311</v>
      </c>
      <c r="B6" s="90">
        <v>119719</v>
      </c>
      <c r="C6" s="90">
        <v>122000</v>
      </c>
      <c r="D6" s="90">
        <f t="shared" ref="D6:D17" si="0">+C6-B6</f>
        <v>2281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v>319515</v>
      </c>
      <c r="C7" s="90">
        <v>379396</v>
      </c>
      <c r="D7" s="90">
        <f t="shared" si="0"/>
        <v>59881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v>363321</v>
      </c>
      <c r="C8" s="90">
        <v>345210</v>
      </c>
      <c r="D8" s="90">
        <f t="shared" si="0"/>
        <v>-18111</v>
      </c>
      <c r="E8" s="455"/>
      <c r="F8" s="273"/>
    </row>
    <row r="9" spans="1:13" x14ac:dyDescent="0.25">
      <c r="A9" s="87">
        <v>500293</v>
      </c>
      <c r="B9" s="90">
        <v>176889</v>
      </c>
      <c r="C9" s="90">
        <v>202925</v>
      </c>
      <c r="D9" s="90">
        <f t="shared" si="0"/>
        <v>26036</v>
      </c>
      <c r="E9" s="275"/>
      <c r="F9" s="273"/>
    </row>
    <row r="10" spans="1:13" x14ac:dyDescent="0.25">
      <c r="A10" s="87">
        <v>500302</v>
      </c>
      <c r="B10" s="90"/>
      <c r="C10" s="90">
        <v>3030</v>
      </c>
      <c r="D10" s="90">
        <f t="shared" si="0"/>
        <v>3030</v>
      </c>
      <c r="E10" s="275"/>
      <c r="F10" s="273"/>
    </row>
    <row r="11" spans="1:13" x14ac:dyDescent="0.25">
      <c r="A11" s="87">
        <v>500303</v>
      </c>
      <c r="B11" s="90"/>
      <c r="C11" s="90">
        <v>8731</v>
      </c>
      <c r="D11" s="90">
        <f t="shared" si="0"/>
        <v>8731</v>
      </c>
      <c r="E11" s="275"/>
      <c r="F11" s="273"/>
    </row>
    <row r="12" spans="1:13" x14ac:dyDescent="0.25">
      <c r="A12" s="91">
        <v>500305</v>
      </c>
      <c r="B12" s="90">
        <v>507398</v>
      </c>
      <c r="C12" s="90">
        <v>526978</v>
      </c>
      <c r="D12" s="90">
        <f t="shared" si="0"/>
        <v>19580</v>
      </c>
      <c r="E12" s="276"/>
      <c r="F12" s="465"/>
      <c r="G12" s="90"/>
    </row>
    <row r="13" spans="1:13" x14ac:dyDescent="0.25">
      <c r="A13" s="87">
        <v>500307</v>
      </c>
      <c r="B13" s="90">
        <v>33269</v>
      </c>
      <c r="C13" s="90">
        <v>19318</v>
      </c>
      <c r="D13" s="90">
        <f t="shared" si="0"/>
        <v>-13951</v>
      </c>
      <c r="E13" s="275"/>
      <c r="F13" s="273"/>
    </row>
    <row r="14" spans="1:13" x14ac:dyDescent="0.25">
      <c r="A14" s="87">
        <v>500313</v>
      </c>
      <c r="B14" s="90"/>
      <c r="C14" s="90">
        <v>917</v>
      </c>
      <c r="D14" s="90">
        <f t="shared" si="0"/>
        <v>917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v>63195</v>
      </c>
      <c r="C16" s="90"/>
      <c r="D16" s="90">
        <f t="shared" si="0"/>
        <v>-63195</v>
      </c>
      <c r="E16" s="275"/>
      <c r="F16" s="273"/>
    </row>
    <row r="17" spans="1:7" x14ac:dyDescent="0.25">
      <c r="A17" s="87">
        <v>500657</v>
      </c>
      <c r="B17" s="88">
        <v>26180</v>
      </c>
      <c r="C17" s="88">
        <v>6000</v>
      </c>
      <c r="D17" s="94">
        <f t="shared" si="0"/>
        <v>-20180</v>
      </c>
      <c r="E17" s="275"/>
      <c r="F17" s="273"/>
      <c r="G17" s="569"/>
    </row>
    <row r="18" spans="1:7" x14ac:dyDescent="0.25">
      <c r="A18" s="87"/>
      <c r="B18" s="88"/>
      <c r="C18" s="88"/>
      <c r="D18" s="88">
        <f>SUM(D5:D17)</f>
        <v>5538</v>
      </c>
      <c r="E18" s="275"/>
      <c r="F18" s="465"/>
    </row>
    <row r="19" spans="1:7" x14ac:dyDescent="0.25">
      <c r="A19" s="87" t="s">
        <v>81</v>
      </c>
      <c r="B19" s="88"/>
      <c r="C19" s="88"/>
      <c r="D19" s="95">
        <f>+summary!G5</f>
        <v>2.06</v>
      </c>
      <c r="E19" s="277"/>
      <c r="F19" s="465"/>
    </row>
    <row r="20" spans="1:7" x14ac:dyDescent="0.25">
      <c r="A20" s="87"/>
      <c r="B20" s="88"/>
      <c r="C20" s="88"/>
      <c r="D20" s="96">
        <f>+D19*D18</f>
        <v>11408.28</v>
      </c>
      <c r="E20" s="207"/>
      <c r="F20" s="465"/>
    </row>
    <row r="21" spans="1:7" x14ac:dyDescent="0.25">
      <c r="A21" s="87"/>
      <c r="B21" s="88"/>
      <c r="C21" s="88"/>
      <c r="D21" s="96"/>
      <c r="E21" s="207"/>
      <c r="F21" s="201"/>
    </row>
    <row r="22" spans="1:7" x14ac:dyDescent="0.25">
      <c r="A22" s="99">
        <v>37287</v>
      </c>
      <c r="B22" s="88"/>
      <c r="C22" s="88"/>
      <c r="D22" s="594">
        <v>121616.94</v>
      </c>
      <c r="E22" s="207"/>
      <c r="F22" s="466"/>
    </row>
    <row r="23" spans="1:7" x14ac:dyDescent="0.25">
      <c r="A23" s="87"/>
      <c r="B23" s="88"/>
      <c r="C23" s="88"/>
      <c r="D23" s="308"/>
      <c r="E23" s="207"/>
      <c r="F23" s="466"/>
    </row>
    <row r="24" spans="1:7" ht="13.8" thickBot="1" x14ac:dyDescent="0.3">
      <c r="A24" s="99">
        <v>37297</v>
      </c>
      <c r="B24" s="88"/>
      <c r="C24" s="88"/>
      <c r="D24" s="318">
        <f>+D22+D20</f>
        <v>133025.22</v>
      </c>
      <c r="E24" s="207"/>
      <c r="F24" s="466"/>
    </row>
    <row r="25" spans="1:7" ht="13.8" thickTop="1" x14ac:dyDescent="0.25">
      <c r="E25" s="278"/>
    </row>
    <row r="28" spans="1:7" x14ac:dyDescent="0.25">
      <c r="A28" s="32" t="s">
        <v>149</v>
      </c>
      <c r="B28" s="32"/>
      <c r="C28" s="32"/>
      <c r="D28" s="32"/>
      <c r="E28" s="344"/>
    </row>
    <row r="29" spans="1:7" x14ac:dyDescent="0.25">
      <c r="A29" s="49">
        <f>+A22</f>
        <v>37287</v>
      </c>
      <c r="B29" s="32"/>
      <c r="C29" s="32"/>
      <c r="D29" s="579">
        <v>70652</v>
      </c>
    </row>
    <row r="30" spans="1:7" x14ac:dyDescent="0.25">
      <c r="A30" s="49">
        <f>+A24</f>
        <v>37297</v>
      </c>
      <c r="B30" s="32"/>
      <c r="C30" s="32"/>
      <c r="D30" s="349">
        <f>+D18</f>
        <v>5538</v>
      </c>
    </row>
    <row r="31" spans="1:7" x14ac:dyDescent="0.25">
      <c r="A31" s="32"/>
      <c r="B31" s="32"/>
      <c r="C31" s="32"/>
      <c r="D31" s="14">
        <f>+D30+D29</f>
        <v>76190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5" workbookViewId="0">
      <selection activeCell="E38" sqref="E38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503806</v>
      </c>
      <c r="C35" s="11">
        <f>SUM(C4:C34)</f>
        <v>493820</v>
      </c>
      <c r="D35" s="11">
        <f>SUM(D4:D34)</f>
        <v>133019</v>
      </c>
      <c r="E35" s="11">
        <f>SUM(E4:E34)</f>
        <v>143473</v>
      </c>
      <c r="F35" s="11">
        <f>+E35-D35+C35-B35</f>
        <v>468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0">
        <f>+summary!G4</f>
        <v>2.0499999999999998</v>
      </c>
    </row>
    <row r="38" spans="1:7" x14ac:dyDescent="0.2">
      <c r="C38" s="48"/>
      <c r="D38" s="47"/>
      <c r="E38" s="48"/>
      <c r="F38" s="46">
        <f>+F37*F35</f>
        <v>959.39999999999986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76">
        <v>451518.05</v>
      </c>
      <c r="G40" s="25"/>
    </row>
    <row r="41" spans="1:7" x14ac:dyDescent="0.2">
      <c r="A41" s="57">
        <v>37297</v>
      </c>
      <c r="C41" s="106"/>
      <c r="D41" s="106"/>
      <c r="E41" s="106"/>
      <c r="F41" s="106">
        <f>+F38+F40</f>
        <v>452477.45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37287</v>
      </c>
      <c r="D46" s="489">
        <v>13684</v>
      </c>
      <c r="E46" s="11"/>
      <c r="F46" s="11"/>
      <c r="G46" s="25"/>
    </row>
    <row r="47" spans="1:7" x14ac:dyDescent="0.2">
      <c r="A47" s="49">
        <f>+A41</f>
        <v>37297</v>
      </c>
      <c r="D47" s="349">
        <f>+F35</f>
        <v>468</v>
      </c>
      <c r="E47" s="11"/>
      <c r="F47" s="11"/>
      <c r="G47" s="25"/>
    </row>
    <row r="48" spans="1:7" x14ac:dyDescent="0.2">
      <c r="D48" s="14">
        <f>+D47+D46</f>
        <v>14152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2" workbookViewId="0">
      <selection activeCell="E15" sqref="E15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1800001</v>
      </c>
      <c r="C36" s="11">
        <f>SUM(C5:C35)</f>
        <v>1819427</v>
      </c>
      <c r="D36" s="11">
        <f>SUM(D5:D35)</f>
        <v>0</v>
      </c>
      <c r="E36" s="11">
        <f>SUM(E5:E35)</f>
        <v>-27750</v>
      </c>
      <c r="F36" s="11">
        <f>SUM(F5:F35)</f>
        <v>-8324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37287</v>
      </c>
      <c r="F39" s="584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37297</v>
      </c>
      <c r="F41" s="332">
        <f>+F39+F36</f>
        <v>-43515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37287</v>
      </c>
      <c r="C47" s="32"/>
      <c r="D47" s="32"/>
      <c r="E47" s="586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37297</v>
      </c>
      <c r="C48" s="32"/>
      <c r="D48" s="32"/>
      <c r="E48" s="374">
        <f>+F36*'by type_area'!G3</f>
        <v>-17147.439999999999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-551113.41999999993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7" workbookViewId="0">
      <selection activeCell="D48" sqref="D48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5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5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5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5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5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5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5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5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849567</v>
      </c>
      <c r="C39" s="11">
        <f>SUM(C8:C38)</f>
        <v>848354</v>
      </c>
      <c r="D39" s="11">
        <f>SUM(D8:D38)</f>
        <v>-1213</v>
      </c>
      <c r="E39" s="10"/>
      <c r="F39" s="11"/>
      <c r="G39" s="11"/>
      <c r="H39" s="11"/>
    </row>
    <row r="40" spans="1:8" x14ac:dyDescent="0.25">
      <c r="A40" s="26"/>
      <c r="D40" s="75">
        <f>+summary!G4</f>
        <v>2.0499999999999998</v>
      </c>
      <c r="E40" s="26"/>
      <c r="H40" s="75"/>
    </row>
    <row r="41" spans="1:8" x14ac:dyDescent="0.25">
      <c r="D41" s="195">
        <f>+D40*D39</f>
        <v>-2486.6499999999996</v>
      </c>
      <c r="F41" s="247"/>
      <c r="H41" s="195"/>
    </row>
    <row r="42" spans="1:8" x14ac:dyDescent="0.25">
      <c r="A42" s="57">
        <v>37287</v>
      </c>
      <c r="D42" s="608">
        <v>28675</v>
      </c>
      <c r="E42" s="57"/>
      <c r="H42" s="195"/>
    </row>
    <row r="43" spans="1:8" x14ac:dyDescent="0.25">
      <c r="A43" s="57">
        <v>37296</v>
      </c>
      <c r="D43" s="196">
        <f>+D42+D41</f>
        <v>26188.35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37287</v>
      </c>
      <c r="B48" s="32"/>
      <c r="C48" s="32"/>
      <c r="D48" s="603">
        <v>-42160</v>
      </c>
    </row>
    <row r="49" spans="1:4" x14ac:dyDescent="0.25">
      <c r="A49" s="49">
        <f>+A43</f>
        <v>37296</v>
      </c>
      <c r="B49" s="32"/>
      <c r="C49" s="32"/>
      <c r="D49" s="349">
        <f>+D39</f>
        <v>-1213</v>
      </c>
    </row>
    <row r="50" spans="1:4" x14ac:dyDescent="0.25">
      <c r="A50" s="32"/>
      <c r="B50" s="32"/>
      <c r="C50" s="32"/>
      <c r="D50" s="14">
        <f>+D49+D48</f>
        <v>-43373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37" workbookViewId="0">
      <selection activeCell="B43" sqref="B43"/>
    </sheetView>
  </sheetViews>
  <sheetFormatPr defaultRowHeight="13.2" x14ac:dyDescent="0.25"/>
  <cols>
    <col min="1" max="1" width="11" style="32" customWidth="1"/>
    <col min="2" max="2" width="12" style="15" bestFit="1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37287</v>
      </c>
      <c r="C5" s="595">
        <v>1529476.6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250</v>
      </c>
      <c r="J6" s="15"/>
    </row>
    <row r="7" spans="1:14" x14ac:dyDescent="0.25">
      <c r="A7" s="57">
        <v>37297</v>
      </c>
      <c r="I7" s="3" t="s">
        <v>256</v>
      </c>
      <c r="J7" s="15"/>
    </row>
    <row r="8" spans="1:14" x14ac:dyDescent="0.25">
      <c r="A8" s="248">
        <v>50895</v>
      </c>
      <c r="B8" s="339">
        <f>2085-2011</f>
        <v>74</v>
      </c>
      <c r="J8" s="15"/>
    </row>
    <row r="9" spans="1:14" x14ac:dyDescent="0.25">
      <c r="A9" s="248">
        <v>60874</v>
      </c>
      <c r="B9" s="339">
        <v>933</v>
      </c>
      <c r="J9" s="15"/>
    </row>
    <row r="10" spans="1:14" x14ac:dyDescent="0.25">
      <c r="A10" s="248">
        <v>78169</v>
      </c>
      <c r="B10" s="339">
        <f>147010-136849-17950</f>
        <v>-7789</v>
      </c>
      <c r="I10" s="87" t="s">
        <v>251</v>
      </c>
      <c r="J10" s="481" t="s">
        <v>27</v>
      </c>
      <c r="K10" s="87" t="s">
        <v>252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1">
        <f>+C40</f>
        <v>855876.1</v>
      </c>
      <c r="K11" s="87" t="s">
        <v>253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1"/>
      <c r="I12" s="87">
        <v>24693</v>
      </c>
      <c r="J12" s="445">
        <v>275313.71999999997</v>
      </c>
      <c r="K12" s="87" t="s">
        <v>254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4964-2506</f>
        <v>2458</v>
      </c>
      <c r="I13" s="87">
        <v>21665</v>
      </c>
      <c r="J13" s="445">
        <v>73449.16</v>
      </c>
      <c r="K13" s="87" t="s">
        <v>255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>
        <f>1191-1198</f>
        <v>-7</v>
      </c>
      <c r="I14" s="87">
        <v>22664</v>
      </c>
      <c r="J14" s="448">
        <v>23612.35</v>
      </c>
      <c r="K14" s="87" t="s">
        <v>257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1340-5995</f>
        <v>-4655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5">
      <c r="A17" s="280">
        <v>500267</v>
      </c>
      <c r="B17" s="340">
        <f>536201-551901</f>
        <v>-15700</v>
      </c>
      <c r="I17" s="87"/>
      <c r="J17" s="445"/>
      <c r="K17" s="87"/>
      <c r="L17" s="87"/>
      <c r="M17" s="87"/>
      <c r="N17" s="87"/>
    </row>
    <row r="18" spans="1:14" x14ac:dyDescent="0.25">
      <c r="B18" s="14">
        <f>SUM(B8:B17)</f>
        <v>-24687</v>
      </c>
      <c r="I18" s="87"/>
      <c r="J18" s="445"/>
      <c r="K18" s="87"/>
      <c r="L18" s="87"/>
      <c r="M18" s="87"/>
      <c r="N18" s="87"/>
    </row>
    <row r="19" spans="1:14" x14ac:dyDescent="0.25">
      <c r="B19" s="15">
        <f>+summary!G5</f>
        <v>2.06</v>
      </c>
      <c r="C19" s="199">
        <f>+B19*B18</f>
        <v>-50855.22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5">
      <c r="C20" s="321">
        <f>+C19+C5</f>
        <v>1478621.3800000001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5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5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5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5">
      <c r="G24" s="32"/>
      <c r="H24" s="379"/>
      <c r="I24" s="327"/>
      <c r="J24" s="445"/>
      <c r="K24" s="87"/>
      <c r="L24" s="87"/>
      <c r="M24" s="87"/>
      <c r="N24" s="87"/>
    </row>
    <row r="25" spans="1:14" x14ac:dyDescent="0.25">
      <c r="G25" s="32"/>
      <c r="H25" s="379"/>
      <c r="I25" s="327"/>
      <c r="J25" s="445"/>
      <c r="K25" s="87"/>
      <c r="L25" s="87"/>
      <c r="M25" s="87"/>
      <c r="N25" s="87"/>
    </row>
    <row r="26" spans="1:14" x14ac:dyDescent="0.25">
      <c r="A26" s="198">
        <v>37287</v>
      </c>
      <c r="C26" s="525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5">
      <c r="A28" s="57">
        <v>37297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5">
      <c r="B32" s="15">
        <f>+summary!G4</f>
        <v>2.0499999999999998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1">
        <v>24268</v>
      </c>
      <c r="G37" s="351">
        <v>24693</v>
      </c>
      <c r="H37" s="351">
        <v>24361</v>
      </c>
    </row>
    <row r="38" spans="1:9" x14ac:dyDescent="0.25">
      <c r="A38" s="32" t="s">
        <v>74</v>
      </c>
      <c r="E38" s="49">
        <f>+A5</f>
        <v>37287</v>
      </c>
      <c r="F38" s="579">
        <v>377700</v>
      </c>
      <c r="G38" s="523">
        <v>117857</v>
      </c>
      <c r="H38" s="516">
        <v>193435</v>
      </c>
      <c r="I38" s="14"/>
    </row>
    <row r="39" spans="1:9" x14ac:dyDescent="0.25">
      <c r="E39" s="49">
        <f>+A7</f>
        <v>37297</v>
      </c>
      <c r="F39" s="349">
        <f>+B18</f>
        <v>-24687</v>
      </c>
      <c r="G39" s="349">
        <f>+B31</f>
        <v>0</v>
      </c>
      <c r="H39" s="349">
        <f>+B46</f>
        <v>1749</v>
      </c>
      <c r="I39" s="14"/>
    </row>
    <row r="40" spans="1:9" x14ac:dyDescent="0.25">
      <c r="A40" s="49">
        <v>37287</v>
      </c>
      <c r="C40" s="525">
        <v>855876.1</v>
      </c>
      <c r="F40" s="14">
        <f>+F39+F38</f>
        <v>353013</v>
      </c>
      <c r="G40" s="14">
        <f>+G39+G38</f>
        <v>117857</v>
      </c>
      <c r="H40" s="14">
        <f>+H39+H38</f>
        <v>195184</v>
      </c>
      <c r="I40" s="14">
        <f>+H40+G40+F40</f>
        <v>666054</v>
      </c>
    </row>
    <row r="41" spans="1:9" x14ac:dyDescent="0.25">
      <c r="G41" s="32"/>
      <c r="H41" s="15"/>
      <c r="I41" s="32"/>
    </row>
    <row r="42" spans="1:9" x14ac:dyDescent="0.25">
      <c r="A42" s="245">
        <v>37297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842</v>
      </c>
      <c r="G44" s="32"/>
      <c r="H44" s="380"/>
      <c r="I44" s="14"/>
    </row>
    <row r="45" spans="1:9" x14ac:dyDescent="0.25">
      <c r="A45" s="32">
        <v>500392</v>
      </c>
      <c r="B45" s="250">
        <v>907</v>
      </c>
      <c r="G45" s="32"/>
      <c r="H45" s="380"/>
      <c r="I45" s="14"/>
    </row>
    <row r="46" spans="1:9" x14ac:dyDescent="0.25">
      <c r="B46" s="14">
        <f>SUM(B43:B45)</f>
        <v>1749</v>
      </c>
      <c r="G46" s="32"/>
      <c r="H46" s="380"/>
      <c r="I46" s="14"/>
    </row>
    <row r="47" spans="1:9" x14ac:dyDescent="0.25">
      <c r="B47" s="199">
        <f>+summary!G5</f>
        <v>2.06</v>
      </c>
      <c r="C47" s="199">
        <f>+B47*B46</f>
        <v>3602.94</v>
      </c>
      <c r="H47" s="380"/>
      <c r="I47" s="14"/>
    </row>
    <row r="48" spans="1:9" x14ac:dyDescent="0.25">
      <c r="C48" s="321">
        <f>+C47+C40</f>
        <v>859479.03999999992</v>
      </c>
      <c r="E48" s="204"/>
      <c r="H48" s="380"/>
      <c r="I48" s="14"/>
    </row>
    <row r="49" spans="1:9" x14ac:dyDescent="0.25">
      <c r="E49" s="213"/>
      <c r="H49" s="380"/>
      <c r="I49" s="14"/>
    </row>
    <row r="50" spans="1:9" x14ac:dyDescent="0.25">
      <c r="E50" s="204"/>
      <c r="H50" s="380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526">
        <v>73445.08</v>
      </c>
      <c r="D53" s="32" t="s">
        <v>119</v>
      </c>
      <c r="E53" s="50"/>
      <c r="H53" s="380">
        <v>21665</v>
      </c>
      <c r="I53" s="523">
        <v>36401</v>
      </c>
    </row>
    <row r="54" spans="1:9" x14ac:dyDescent="0.25">
      <c r="A54" s="32">
        <v>22664</v>
      </c>
      <c r="B54" s="15" t="s">
        <v>137</v>
      </c>
      <c r="C54" s="527">
        <v>23612.35</v>
      </c>
      <c r="D54" s="32" t="s">
        <v>120</v>
      </c>
      <c r="H54" s="380">
        <v>22664</v>
      </c>
      <c r="I54" s="528">
        <v>18932</v>
      </c>
    </row>
    <row r="55" spans="1:9" x14ac:dyDescent="0.25">
      <c r="H55" s="381"/>
      <c r="I55" s="16"/>
    </row>
    <row r="56" spans="1:9" x14ac:dyDescent="0.25">
      <c r="C56" s="420"/>
    </row>
    <row r="57" spans="1:9" x14ac:dyDescent="0.25">
      <c r="C57" s="315">
        <f>+C54+C53+C48+C33+C20</f>
        <v>2710471.5700000003</v>
      </c>
      <c r="I57" s="14">
        <f>SUM(I40:I54)</f>
        <v>721387</v>
      </c>
    </row>
    <row r="61" spans="1:9" x14ac:dyDescent="0.25">
      <c r="C61" s="15">
        <f>+DEFS!F49</f>
        <v>-2827925.9400000004</v>
      </c>
    </row>
    <row r="62" spans="1:9" x14ac:dyDescent="0.25">
      <c r="C62" s="15">
        <f>+C61+C57</f>
        <v>-117454.37000000011</v>
      </c>
      <c r="I62" s="31">
        <f>+I57+DEFS!K49</f>
        <v>272372</v>
      </c>
    </row>
    <row r="70" spans="1:4" x14ac:dyDescent="0.25">
      <c r="C70" s="14"/>
    </row>
    <row r="71" spans="1:4" x14ac:dyDescent="0.25">
      <c r="C71" s="14"/>
    </row>
    <row r="72" spans="1:4" x14ac:dyDescent="0.25">
      <c r="A72" s="32">
        <v>24268</v>
      </c>
      <c r="B72" s="15">
        <f>+C20</f>
        <v>1478621.3800000001</v>
      </c>
      <c r="C72" s="14">
        <f>+F40</f>
        <v>353013</v>
      </c>
    </row>
    <row r="73" spans="1:4" x14ac:dyDescent="0.25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5">
      <c r="A74" s="32">
        <v>24361</v>
      </c>
      <c r="B74" s="15">
        <f>+C48</f>
        <v>859479.03999999992</v>
      </c>
      <c r="C74" s="14">
        <f>+H40</f>
        <v>195184</v>
      </c>
    </row>
    <row r="75" spans="1:4" x14ac:dyDescent="0.25">
      <c r="A75" s="32">
        <v>21665</v>
      </c>
      <c r="B75" s="15">
        <f>+C53</f>
        <v>73445.08</v>
      </c>
      <c r="C75" s="14">
        <f>+I53</f>
        <v>36401</v>
      </c>
    </row>
    <row r="76" spans="1:4" x14ac:dyDescent="0.25">
      <c r="A76" s="32">
        <v>22664</v>
      </c>
      <c r="B76" s="15">
        <f>+C54</f>
        <v>23612.35</v>
      </c>
      <c r="C76" s="14">
        <f>+I54</f>
        <v>18932</v>
      </c>
    </row>
    <row r="77" spans="1:4" x14ac:dyDescent="0.25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5">
      <c r="A78" s="32">
        <v>22051</v>
      </c>
      <c r="B78" s="15">
        <f>+DEFS!E40</f>
        <v>-620169.80000000005</v>
      </c>
      <c r="C78" s="14">
        <f>+DEFS!J36</f>
        <v>-151846</v>
      </c>
    </row>
    <row r="79" spans="1:4" x14ac:dyDescent="0.25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5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5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5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5">
      <c r="B83" s="15">
        <f>SUM(B72:B82)</f>
        <v>-117454.36999999965</v>
      </c>
      <c r="C83" s="16">
        <f>SUM(C72:C82)</f>
        <v>272372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3" workbookViewId="0">
      <selection activeCell="E40" sqref="E40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5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5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5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1">
        <v>23995</v>
      </c>
      <c r="J33" s="351">
        <v>22051</v>
      </c>
      <c r="K33" s="351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79">
        <v>-183967</v>
      </c>
      <c r="J34" s="579">
        <v>-149923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103881</v>
      </c>
      <c r="E35" s="11">
        <f>SUM(E4:E34)</f>
        <v>101958</v>
      </c>
      <c r="F35" s="11">
        <f>SUM(F4:F34)</f>
        <v>-1923</v>
      </c>
      <c r="G35" s="11"/>
      <c r="H35" s="49">
        <f>+A40</f>
        <v>37290</v>
      </c>
      <c r="I35" s="349">
        <f>+C36</f>
        <v>0</v>
      </c>
      <c r="J35" s="349">
        <f>+E36</f>
        <v>-1923</v>
      </c>
      <c r="K35" s="206"/>
      <c r="L35" s="14"/>
    </row>
    <row r="36" spans="1:13" x14ac:dyDescent="0.25">
      <c r="C36" s="25">
        <f>+C35-B35</f>
        <v>0</v>
      </c>
      <c r="E36" s="25">
        <f>+E35-D35</f>
        <v>-1923</v>
      </c>
      <c r="F36" s="25">
        <f>+E36+C36</f>
        <v>-1923</v>
      </c>
      <c r="H36" s="32"/>
      <c r="I36" s="14">
        <f>+I35+I34</f>
        <v>-183967</v>
      </c>
      <c r="J36" s="14">
        <f>+J35+J34</f>
        <v>-151846</v>
      </c>
      <c r="K36" s="14">
        <f>+J36+I36</f>
        <v>-335813</v>
      </c>
      <c r="L36" s="14"/>
    </row>
    <row r="37" spans="1:13" x14ac:dyDescent="0.25">
      <c r="C37" s="313">
        <f>+summary!G5</f>
        <v>2.06</v>
      </c>
      <c r="E37" s="104">
        <f>+C37</f>
        <v>2.06</v>
      </c>
      <c r="F37" s="138">
        <f>+F36*E37</f>
        <v>-3961.38</v>
      </c>
    </row>
    <row r="38" spans="1:13" x14ac:dyDescent="0.25">
      <c r="C38" s="138">
        <f>+C37*C36</f>
        <v>0</v>
      </c>
      <c r="E38" s="136">
        <f>+E37*E36</f>
        <v>-3961.38</v>
      </c>
      <c r="F38" s="138">
        <f>+E38+C38</f>
        <v>-3961.38</v>
      </c>
    </row>
    <row r="39" spans="1:13" x14ac:dyDescent="0.25">
      <c r="A39" s="57">
        <v>37287</v>
      </c>
      <c r="B39" s="2" t="s">
        <v>45</v>
      </c>
      <c r="C39" s="598">
        <v>-1035385.61</v>
      </c>
      <c r="D39" s="320"/>
      <c r="E39" s="585">
        <v>-616208.42000000004</v>
      </c>
      <c r="F39" s="319">
        <f>+E39+C39</f>
        <v>-1651594.03</v>
      </c>
    </row>
    <row r="40" spans="1:13" x14ac:dyDescent="0.25">
      <c r="A40" s="57">
        <v>37290</v>
      </c>
      <c r="B40" s="2" t="s">
        <v>45</v>
      </c>
      <c r="C40" s="314">
        <f>+C39+C38</f>
        <v>-1035385.61</v>
      </c>
      <c r="D40" s="252"/>
      <c r="E40" s="314">
        <f>+E39+E38</f>
        <v>-620169.80000000005</v>
      </c>
      <c r="F40" s="314">
        <f>+E40+C40</f>
        <v>-1655555.4100000001</v>
      </c>
      <c r="H40" s="131"/>
    </row>
    <row r="41" spans="1:13" x14ac:dyDescent="0.25">
      <c r="C41" s="329"/>
      <c r="D41" s="246"/>
      <c r="E41" s="246"/>
      <c r="H41" s="31">
        <f>+C39+E39+F45+F46+F47+F48</f>
        <v>-2823964.5600000005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  <c r="F43" s="596"/>
    </row>
    <row r="44" spans="1:13" x14ac:dyDescent="0.25">
      <c r="C44" s="246"/>
      <c r="D44" s="246"/>
      <c r="E44" s="12">
        <v>22864</v>
      </c>
      <c r="F44" s="595">
        <v>0</v>
      </c>
      <c r="G44" s="249" t="s">
        <v>47</v>
      </c>
      <c r="J44" s="12">
        <v>22864</v>
      </c>
      <c r="K44" s="443"/>
    </row>
    <row r="45" spans="1:13" x14ac:dyDescent="0.25">
      <c r="C45" s="246"/>
      <c r="D45" s="246"/>
      <c r="E45" s="12">
        <v>20379</v>
      </c>
      <c r="F45" s="595">
        <v>-51695.87</v>
      </c>
      <c r="G45" s="249" t="s">
        <v>122</v>
      </c>
      <c r="J45" s="12">
        <v>20379</v>
      </c>
      <c r="K45" s="597">
        <v>2979</v>
      </c>
      <c r="M45" s="14"/>
    </row>
    <row r="46" spans="1:13" x14ac:dyDescent="0.25">
      <c r="C46" s="246"/>
      <c r="D46" s="246"/>
      <c r="E46" s="12">
        <v>26357</v>
      </c>
      <c r="F46" s="600">
        <f>44144.84-58339.66</f>
        <v>-14194.820000000007</v>
      </c>
      <c r="G46" s="249" t="s">
        <v>123</v>
      </c>
      <c r="J46" s="12">
        <v>26357</v>
      </c>
      <c r="K46" s="597">
        <f>26521-24566</f>
        <v>1955</v>
      </c>
    </row>
    <row r="47" spans="1:13" x14ac:dyDescent="0.25">
      <c r="C47" s="246"/>
      <c r="D47" s="246"/>
      <c r="E47" s="12">
        <v>21544</v>
      </c>
      <c r="F47" s="595">
        <v>61340.160000000003</v>
      </c>
      <c r="G47" s="249" t="s">
        <v>124</v>
      </c>
      <c r="J47" s="12">
        <v>21544</v>
      </c>
      <c r="K47" s="597">
        <v>36108</v>
      </c>
    </row>
    <row r="48" spans="1:13" x14ac:dyDescent="0.25">
      <c r="C48" s="246"/>
      <c r="D48" s="246"/>
      <c r="E48" s="12">
        <v>24532</v>
      </c>
      <c r="F48" s="599">
        <v>-1167820</v>
      </c>
      <c r="G48" s="249" t="s">
        <v>121</v>
      </c>
      <c r="J48" s="12">
        <v>24532</v>
      </c>
      <c r="K48" s="579">
        <v>-154244</v>
      </c>
    </row>
    <row r="49" spans="3:13" x14ac:dyDescent="0.25">
      <c r="C49" s="246"/>
      <c r="D49" s="246"/>
      <c r="F49" s="330">
        <f>SUM(F40:F48)</f>
        <v>-2827925.9400000004</v>
      </c>
      <c r="G49" s="246"/>
      <c r="K49" s="14">
        <f>SUM(K36:K48)</f>
        <v>-449015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2710471.5700000003</v>
      </c>
      <c r="M51" s="14">
        <f>+Duke!I57</f>
        <v>721387</v>
      </c>
    </row>
    <row r="53" spans="3:13" x14ac:dyDescent="0.25">
      <c r="F53" s="104">
        <f>+F51+F49</f>
        <v>-117454.37000000011</v>
      </c>
      <c r="M53" s="16">
        <f>+M51+K49</f>
        <v>272372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4"/>
    </row>
    <row r="63" spans="3:13" x14ac:dyDescent="0.25">
      <c r="F63" s="344"/>
    </row>
    <row r="64" spans="3:13" x14ac:dyDescent="0.25">
      <c r="F64" s="344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-154244</v>
      </c>
      <c r="C69" s="247">
        <f>+F48</f>
        <v>-1167820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-183967</v>
      </c>
      <c r="C73" s="247">
        <f>+C40</f>
        <v>-1035385.61</v>
      </c>
    </row>
    <row r="74" spans="1:3" x14ac:dyDescent="0.25">
      <c r="A74">
        <v>22051</v>
      </c>
      <c r="B74" s="31">
        <f>+J36</f>
        <v>-151846</v>
      </c>
      <c r="C74" s="247">
        <f>+E40</f>
        <v>-620169.80000000005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195184</v>
      </c>
      <c r="C77" s="259">
        <f>+Duke!C48</f>
        <v>859479.03999999992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353013</v>
      </c>
      <c r="C79" s="259">
        <f>+Duke!C20</f>
        <v>1478621.3800000001</v>
      </c>
    </row>
    <row r="81" spans="2:3" x14ac:dyDescent="0.25">
      <c r="B81" s="31">
        <f>SUM(B68:B80)</f>
        <v>272372</v>
      </c>
      <c r="C81" s="259">
        <f>SUM(C68:C80)</f>
        <v>-117454.37000000011</v>
      </c>
    </row>
    <row r="82" spans="2:3" x14ac:dyDescent="0.25">
      <c r="C82">
        <f>+C81/B81</f>
        <v>-0.43122776937423857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13" workbookViewId="0">
      <selection activeCell="D17" sqref="D17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5415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-221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53828</v>
      </c>
      <c r="C39" s="11">
        <f t="shared" si="1"/>
        <v>57610</v>
      </c>
      <c r="D39" s="11">
        <f t="shared" si="1"/>
        <v>252</v>
      </c>
      <c r="E39" s="11">
        <f t="shared" si="1"/>
        <v>60</v>
      </c>
      <c r="F39" s="129">
        <f t="shared" si="1"/>
        <v>8993</v>
      </c>
      <c r="G39" s="11">
        <f t="shared" si="1"/>
        <v>5810</v>
      </c>
      <c r="H39" s="11">
        <f t="shared" si="1"/>
        <v>15117</v>
      </c>
      <c r="I39" s="11">
        <f t="shared" si="1"/>
        <v>8950</v>
      </c>
      <c r="J39" s="25">
        <f t="shared" si="1"/>
        <v>-5760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2.0499999999999998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-11807.999999999998</v>
      </c>
      <c r="L41"/>
      <c r="R41" s="138"/>
      <c r="X41" s="138"/>
    </row>
    <row r="42" spans="1:24" x14ac:dyDescent="0.25">
      <c r="A42" s="57">
        <v>37287</v>
      </c>
      <c r="C42" s="15"/>
      <c r="J42" s="582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37297</v>
      </c>
      <c r="C43" s="48"/>
      <c r="J43" s="138">
        <f>+J42+J41</f>
        <v>329470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37287</v>
      </c>
      <c r="B47" s="32"/>
      <c r="C47" s="32"/>
      <c r="D47" s="579">
        <v>135419</v>
      </c>
      <c r="L47"/>
    </row>
    <row r="48" spans="1:24" x14ac:dyDescent="0.25">
      <c r="A48" s="49">
        <f>+A43</f>
        <v>37297</v>
      </c>
      <c r="B48" s="32"/>
      <c r="C48" s="32"/>
      <c r="D48" s="349">
        <f>+J39</f>
        <v>-5760</v>
      </c>
      <c r="L48"/>
    </row>
    <row r="49" spans="1:12" x14ac:dyDescent="0.25">
      <c r="A49" s="32"/>
      <c r="B49" s="32"/>
      <c r="C49" s="32"/>
      <c r="D49" s="14">
        <f>+D48+D47</f>
        <v>129659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3" workbookViewId="0">
      <selection activeCell="D47" sqref="D47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29">
        <v>10</v>
      </c>
      <c r="B17" s="410"/>
      <c r="C17" s="410"/>
      <c r="D17" s="410"/>
      <c r="E17" s="410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29">
        <v>11</v>
      </c>
      <c r="B18" s="410"/>
      <c r="C18" s="410"/>
      <c r="D18" s="410"/>
      <c r="E18" s="410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29">
        <v>12</v>
      </c>
      <c r="B19" s="410"/>
      <c r="C19" s="410"/>
      <c r="D19" s="410"/>
      <c r="E19" s="410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29">
        <v>13</v>
      </c>
      <c r="B20" s="410"/>
      <c r="C20" s="410"/>
      <c r="D20" s="410"/>
      <c r="E20" s="410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29">
        <v>14</v>
      </c>
      <c r="B21" s="410"/>
      <c r="C21" s="410"/>
      <c r="D21" s="410"/>
      <c r="E21" s="410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29">
        <v>15</v>
      </c>
      <c r="B22" s="410"/>
      <c r="C22" s="410"/>
      <c r="D22" s="410"/>
      <c r="E22" s="410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29">
        <v>16</v>
      </c>
      <c r="B23" s="410"/>
      <c r="C23" s="410"/>
      <c r="D23" s="410"/>
      <c r="E23" s="410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29">
        <v>17</v>
      </c>
      <c r="B24" s="410"/>
      <c r="C24" s="410"/>
      <c r="D24" s="410"/>
      <c r="E24" s="410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29">
        <v>18</v>
      </c>
      <c r="B25" s="410"/>
      <c r="C25" s="410"/>
      <c r="D25" s="410"/>
      <c r="E25" s="410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29"/>
      <c r="B39" s="410">
        <f>SUM(B8:B38)</f>
        <v>0</v>
      </c>
      <c r="C39" s="410">
        <f>SUM(C8:C38)</f>
        <v>0</v>
      </c>
      <c r="D39" s="410">
        <f>SUM(D8:D38)</f>
        <v>-2130</v>
      </c>
      <c r="E39" s="410">
        <f>SUM(E8:E38)</f>
        <v>0</v>
      </c>
      <c r="F39" s="410">
        <f>SUM(F8:F38)</f>
        <v>2130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0"/>
      <c r="B40" s="285"/>
      <c r="C40" s="431"/>
      <c r="D40" s="431"/>
      <c r="E40" s="431"/>
      <c r="F40" s="432">
        <f>+summary!G4</f>
        <v>2.0499999999999998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3">
        <f>+F40*F39</f>
        <v>4366.5</v>
      </c>
      <c r="J41" s="138"/>
      <c r="N41" s="138"/>
      <c r="R41" s="138"/>
      <c r="V41" s="138"/>
      <c r="Z41" s="138"/>
    </row>
    <row r="42" spans="1:26" ht="15" customHeight="1" x14ac:dyDescent="0.25">
      <c r="A42" s="56">
        <v>37287</v>
      </c>
      <c r="B42" s="285"/>
      <c r="C42" s="434"/>
      <c r="D42" s="434"/>
      <c r="E42" s="434"/>
      <c r="F42" s="575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37296</v>
      </c>
      <c r="B43" s="285"/>
      <c r="C43" s="435"/>
      <c r="D43" s="435"/>
      <c r="E43" s="435"/>
      <c r="F43" s="416">
        <f>+F42+F41</f>
        <v>156601.13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37287</v>
      </c>
      <c r="B47" s="32"/>
      <c r="C47" s="32"/>
      <c r="D47" s="486">
        <v>-368359</v>
      </c>
      <c r="E47" s="11"/>
    </row>
    <row r="48" spans="1:26" x14ac:dyDescent="0.25">
      <c r="A48" s="49">
        <f>+A43</f>
        <v>37296</v>
      </c>
      <c r="B48" s="32"/>
      <c r="C48" s="32"/>
      <c r="D48" s="349">
        <f>+F39</f>
        <v>2130</v>
      </c>
      <c r="E48" s="11"/>
    </row>
    <row r="49" spans="1:5" x14ac:dyDescent="0.25">
      <c r="A49" s="32"/>
      <c r="B49" s="32"/>
      <c r="C49" s="32"/>
      <c r="D49" s="14">
        <f>+D48+D47</f>
        <v>-366229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topLeftCell="A3" workbookViewId="0">
      <selection activeCell="C50" sqref="C50"/>
    </sheetView>
  </sheetViews>
  <sheetFormatPr defaultColWidth="9.109375" defaultRowHeight="13.2" x14ac:dyDescent="0.25"/>
  <cols>
    <col min="1" max="1" width="25.88671875" style="285" customWidth="1"/>
    <col min="2" max="2" width="11.109375" style="555" bestFit="1" customWidth="1"/>
    <col min="3" max="3" width="9.6640625" style="556" customWidth="1"/>
    <col min="4" max="4" width="5.109375" style="557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59" bestFit="1" customWidth="1"/>
    <col min="15" max="15" width="9" style="560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2" t="s">
        <v>78</v>
      </c>
      <c r="G2" s="558"/>
    </row>
    <row r="3" spans="1:33" ht="15" customHeight="1" x14ac:dyDescent="0.25">
      <c r="F3" s="561" t="s">
        <v>29</v>
      </c>
      <c r="G3" s="562">
        <f>+'[3]1001'!$K$39</f>
        <v>2.06</v>
      </c>
      <c r="J3" s="373">
        <f ca="1">NOW()</f>
        <v>37299.690627314812</v>
      </c>
    </row>
    <row r="4" spans="1:33" ht="15" customHeight="1" x14ac:dyDescent="0.25">
      <c r="A4" s="34" t="s">
        <v>145</v>
      </c>
      <c r="C4" s="34" t="s">
        <v>5</v>
      </c>
      <c r="F4" s="563" t="s">
        <v>30</v>
      </c>
      <c r="G4" s="564">
        <f>+'[3]1001'!$M$39</f>
        <v>2.0499999999999998</v>
      </c>
    </row>
    <row r="5" spans="1:33" ht="15" customHeight="1" x14ac:dyDescent="0.25">
      <c r="B5" s="565"/>
      <c r="F5" s="561" t="s">
        <v>117</v>
      </c>
      <c r="G5" s="562">
        <f>+'[3]1001'!$H$39</f>
        <v>2.06</v>
      </c>
    </row>
    <row r="6" spans="1:33" ht="12" customHeight="1" x14ac:dyDescent="0.25">
      <c r="C6" s="439"/>
    </row>
    <row r="7" spans="1:33" ht="15" customHeight="1" x14ac:dyDescent="0.25">
      <c r="A7" s="334" t="s">
        <v>89</v>
      </c>
      <c r="B7" s="335" t="s">
        <v>16</v>
      </c>
      <c r="C7" s="336" t="s">
        <v>0</v>
      </c>
      <c r="D7" s="5" t="s">
        <v>146</v>
      </c>
      <c r="E7" s="334" t="s">
        <v>90</v>
      </c>
      <c r="F7" s="337" t="s">
        <v>299</v>
      </c>
      <c r="G7" s="337" t="s">
        <v>101</v>
      </c>
      <c r="H7" s="334" t="s">
        <v>98</v>
      </c>
    </row>
    <row r="8" spans="1:33" ht="15" customHeight="1" x14ac:dyDescent="0.25">
      <c r="A8" s="32" t="s">
        <v>82</v>
      </c>
      <c r="B8" s="345">
        <f>+PNM!$D$23</f>
        <v>886194.49</v>
      </c>
      <c r="C8" s="275">
        <f>+B8/$G$4</f>
        <v>432289.99512195127</v>
      </c>
      <c r="D8" s="364">
        <f>+PNM!A23</f>
        <v>37297</v>
      </c>
      <c r="E8" s="32" t="s">
        <v>85</v>
      </c>
      <c r="F8" s="32" t="s">
        <v>300</v>
      </c>
      <c r="G8" s="32" t="s">
        <v>115</v>
      </c>
      <c r="H8" s="32"/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32" t="s">
        <v>80</v>
      </c>
      <c r="B9" s="345">
        <f>+Conoco!$F$41</f>
        <v>452477.45</v>
      </c>
      <c r="C9" s="275">
        <f>+B9/$G$4</f>
        <v>220720.70731707319</v>
      </c>
      <c r="D9" s="363">
        <f>+Conoco!A41</f>
        <v>37297</v>
      </c>
      <c r="E9" s="32" t="s">
        <v>85</v>
      </c>
      <c r="F9" s="32" t="s">
        <v>301</v>
      </c>
      <c r="G9" s="32" t="s">
        <v>113</v>
      </c>
      <c r="H9" s="32" t="s">
        <v>143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94</v>
      </c>
      <c r="B10" s="345">
        <f>+C10*$G$4</f>
        <v>375660.44999999995</v>
      </c>
      <c r="C10" s="275">
        <f>+Mojave!D40</f>
        <v>183249</v>
      </c>
      <c r="D10" s="364">
        <f>+Mojave!A40</f>
        <v>37296</v>
      </c>
      <c r="E10" s="32" t="s">
        <v>84</v>
      </c>
      <c r="F10" s="32" t="s">
        <v>154</v>
      </c>
      <c r="G10" s="32" t="s">
        <v>100</v>
      </c>
      <c r="H10" s="32"/>
      <c r="I10" s="32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107</v>
      </c>
      <c r="B11" s="345">
        <f>+KN_Westar!F41</f>
        <v>329520.2</v>
      </c>
      <c r="C11" s="275">
        <f>+B11/$G$4</f>
        <v>160741.56097560978</v>
      </c>
      <c r="D11" s="364">
        <f>+KN_Westar!A41</f>
        <v>37287</v>
      </c>
      <c r="E11" s="32" t="s">
        <v>85</v>
      </c>
      <c r="F11" s="32" t="s">
        <v>154</v>
      </c>
      <c r="G11" s="32" t="s">
        <v>100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2</v>
      </c>
      <c r="B12" s="345">
        <f>+mewborne!$J$43</f>
        <v>329470</v>
      </c>
      <c r="C12" s="275">
        <f>+B12/$G$4</f>
        <v>160717.07317073172</v>
      </c>
      <c r="D12" s="364">
        <f>+mewborne!A43</f>
        <v>37297</v>
      </c>
      <c r="E12" s="32" t="s">
        <v>85</v>
      </c>
      <c r="F12" s="32" t="s">
        <v>300</v>
      </c>
      <c r="G12" s="32" t="s">
        <v>99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5">
      <c r="A13" s="32" t="s">
        <v>88</v>
      </c>
      <c r="B13" s="345">
        <f>+C13*$G$5</f>
        <v>253965.04</v>
      </c>
      <c r="C13" s="275">
        <f>+NGPL!H38</f>
        <v>123284</v>
      </c>
      <c r="D13" s="364">
        <f>+NGPL!A38</f>
        <v>37297</v>
      </c>
      <c r="E13" s="204" t="s">
        <v>84</v>
      </c>
      <c r="F13" s="32" t="s">
        <v>153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+#REF!+#REF!+B43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5">
      <c r="A14" s="32" t="s">
        <v>207</v>
      </c>
      <c r="B14" s="345">
        <f>+Dominion!D41</f>
        <v>173721.76</v>
      </c>
      <c r="C14" s="275">
        <f>+B14/$G$5</f>
        <v>84330.951456310679</v>
      </c>
      <c r="D14" s="364">
        <f>+Dominion!A41</f>
        <v>37296</v>
      </c>
      <c r="E14" s="32" t="s">
        <v>85</v>
      </c>
      <c r="F14" s="32" t="s">
        <v>300</v>
      </c>
      <c r="G14" s="32" t="s">
        <v>99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204" t="s">
        <v>33</v>
      </c>
      <c r="B15" s="345">
        <f>+'El Paso'!C39*summary!G4+'El Paso'!E39*summary!G3</f>
        <v>170716.34999999998</v>
      </c>
      <c r="C15" s="275">
        <f>+'El Paso'!H39</f>
        <v>83184</v>
      </c>
      <c r="D15" s="363">
        <f>+'El Paso'!A39</f>
        <v>37297</v>
      </c>
      <c r="E15" s="204" t="s">
        <v>84</v>
      </c>
      <c r="F15" s="204" t="s">
        <v>154</v>
      </c>
      <c r="G15" s="204" t="s">
        <v>100</v>
      </c>
      <c r="H15" s="204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204" t="s">
        <v>32</v>
      </c>
      <c r="B16" s="345">
        <f>+C16*$G$4</f>
        <v>170117.19999999998</v>
      </c>
      <c r="C16" s="206">
        <f>+SoCal!F40</f>
        <v>82984</v>
      </c>
      <c r="D16" s="363">
        <f>+SoCal!A40</f>
        <v>37297</v>
      </c>
      <c r="E16" s="204" t="s">
        <v>84</v>
      </c>
      <c r="F16" s="204" t="s">
        <v>153</v>
      </c>
      <c r="G16" s="204" t="s">
        <v>102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32" t="s">
        <v>3</v>
      </c>
      <c r="B17" s="345">
        <f>+'Amoco Abo'!$F$43</f>
        <v>156601.13</v>
      </c>
      <c r="C17" s="275">
        <f>+B17/$G$4</f>
        <v>76390.795121951232</v>
      </c>
      <c r="D17" s="364">
        <f>+'Amoco Abo'!A43</f>
        <v>37296</v>
      </c>
      <c r="E17" s="32" t="s">
        <v>85</v>
      </c>
      <c r="F17" s="32" t="s">
        <v>153</v>
      </c>
      <c r="G17" s="32" t="s">
        <v>115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32" t="s">
        <v>129</v>
      </c>
      <c r="B18" s="345">
        <f>+EPFS!D41</f>
        <v>139349.41999999998</v>
      </c>
      <c r="C18" s="206">
        <f>+B18/$G$5</f>
        <v>67645.349514563102</v>
      </c>
      <c r="D18" s="363">
        <f>+EPFS!A41</f>
        <v>37297</v>
      </c>
      <c r="E18" s="32" t="s">
        <v>85</v>
      </c>
      <c r="F18" s="32" t="s">
        <v>154</v>
      </c>
      <c r="G18" s="32" t="s">
        <v>102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442" t="s">
        <v>79</v>
      </c>
      <c r="B19" s="503">
        <f>+Agave!$D$24</f>
        <v>133025.22</v>
      </c>
      <c r="C19" s="462">
        <f>+B19/$G$4</f>
        <v>64890.351219512202</v>
      </c>
      <c r="D19" s="461">
        <f>+Agave!A24</f>
        <v>37297</v>
      </c>
      <c r="E19" s="442" t="s">
        <v>85</v>
      </c>
      <c r="F19" s="442" t="s">
        <v>301</v>
      </c>
      <c r="G19" s="442" t="s">
        <v>102</v>
      </c>
      <c r="H19" s="44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32" t="s">
        <v>210</v>
      </c>
      <c r="B20" s="345">
        <f>+Devon!D41</f>
        <v>132338.75</v>
      </c>
      <c r="C20" s="275">
        <f>+B20/$G$5</f>
        <v>64242.111650485436</v>
      </c>
      <c r="D20" s="364">
        <f>+Devon!A41</f>
        <v>37296</v>
      </c>
      <c r="E20" s="32" t="s">
        <v>85</v>
      </c>
      <c r="F20" s="32" t="s">
        <v>301</v>
      </c>
      <c r="G20" s="32" t="s">
        <v>99</v>
      </c>
      <c r="H20" s="32"/>
      <c r="I20" s="32"/>
      <c r="J20" s="32"/>
      <c r="K20" s="32"/>
      <c r="L20" s="32"/>
      <c r="M20" s="32" t="s">
        <v>244</v>
      </c>
      <c r="N20" s="379">
        <v>23995</v>
      </c>
      <c r="O20" s="70">
        <v>-1023166</v>
      </c>
      <c r="P20" s="32" t="s">
        <v>246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5">
      <c r="A21" s="32" t="s">
        <v>218</v>
      </c>
      <c r="B21" s="345">
        <f>+Amarillo!P41</f>
        <v>91858.28</v>
      </c>
      <c r="C21" s="275">
        <f>+B21/$G$4</f>
        <v>44808.917073170735</v>
      </c>
      <c r="D21" s="364">
        <f>+Amarillo!A41</f>
        <v>37296</v>
      </c>
      <c r="E21" s="32" t="s">
        <v>85</v>
      </c>
      <c r="F21" s="32" t="s">
        <v>301</v>
      </c>
      <c r="G21" s="32" t="s">
        <v>113</v>
      </c>
      <c r="H21" s="32"/>
      <c r="I21" s="32"/>
      <c r="J21" s="32"/>
      <c r="K21" s="32"/>
      <c r="L21" s="32"/>
      <c r="M21" s="32" t="s">
        <v>244</v>
      </c>
      <c r="N21" s="379">
        <v>22864</v>
      </c>
      <c r="O21" s="70">
        <v>-58339.66</v>
      </c>
      <c r="P21" s="32" t="s">
        <v>247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2.9" customHeight="1" x14ac:dyDescent="0.25">
      <c r="A22" s="32" t="s">
        <v>31</v>
      </c>
      <c r="B22" s="345">
        <f>+C22*$G$5</f>
        <v>86297.52</v>
      </c>
      <c r="C22" s="275">
        <f>+Lonestar!F43</f>
        <v>41892</v>
      </c>
      <c r="D22" s="363">
        <f>+Lonestar!A43</f>
        <v>37297</v>
      </c>
      <c r="E22" s="32" t="s">
        <v>84</v>
      </c>
      <c r="F22" s="32" t="s">
        <v>301</v>
      </c>
      <c r="G22" s="32" t="s">
        <v>102</v>
      </c>
      <c r="H22" s="32"/>
      <c r="I22" s="15"/>
      <c r="J22" s="32"/>
      <c r="K22" s="32"/>
      <c r="L22" s="32"/>
      <c r="M22" s="32" t="s">
        <v>244</v>
      </c>
      <c r="N22" s="379">
        <v>20379</v>
      </c>
      <c r="O22" s="70">
        <v>-51695.87</v>
      </c>
      <c r="P22" s="32" t="s">
        <v>247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32" t="s">
        <v>114</v>
      </c>
      <c r="B23" s="345">
        <f>+C23*$G$4</f>
        <v>79566.649999999994</v>
      </c>
      <c r="C23" s="206">
        <f>+'PG&amp;E'!D40</f>
        <v>38813</v>
      </c>
      <c r="D23" s="364">
        <f>+'PG&amp;E'!A40</f>
        <v>37296</v>
      </c>
      <c r="E23" s="32" t="s">
        <v>84</v>
      </c>
      <c r="F23" s="32" t="s">
        <v>154</v>
      </c>
      <c r="G23" s="32" t="s">
        <v>102</v>
      </c>
      <c r="H23" s="32"/>
      <c r="I23" s="204"/>
      <c r="J23" s="32"/>
      <c r="K23" s="32"/>
      <c r="L23" s="32"/>
      <c r="M23" s="32" t="s">
        <v>244</v>
      </c>
      <c r="N23" s="379">
        <v>26357</v>
      </c>
      <c r="O23" s="70">
        <v>44144.84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3.5" customHeight="1" x14ac:dyDescent="0.25">
      <c r="A24" s="204" t="s">
        <v>307</v>
      </c>
      <c r="B24" s="345">
        <f>+Plains!$N$43</f>
        <v>63241.56</v>
      </c>
      <c r="C24" s="206">
        <f>+B24/$G$4</f>
        <v>30849.541463414636</v>
      </c>
      <c r="D24" s="363">
        <f>+Plains!A43</f>
        <v>37287</v>
      </c>
      <c r="E24" s="204" t="s">
        <v>85</v>
      </c>
      <c r="F24" s="204"/>
      <c r="G24" s="204" t="s">
        <v>100</v>
      </c>
      <c r="H24" s="204" t="s">
        <v>308</v>
      </c>
      <c r="I24" s="32"/>
      <c r="J24" s="32"/>
      <c r="K24" s="32"/>
      <c r="L24" s="32"/>
      <c r="M24" s="32" t="s">
        <v>244</v>
      </c>
      <c r="N24" s="379">
        <v>21544</v>
      </c>
      <c r="O24" s="70">
        <v>61340.160000000003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s="566" customFormat="1" ht="13.5" customHeight="1" x14ac:dyDescent="0.25">
      <c r="A25" s="204" t="s">
        <v>139</v>
      </c>
      <c r="B25" s="345">
        <f>+'Citizens-Griffith'!D41</f>
        <v>50905.1</v>
      </c>
      <c r="C25" s="275">
        <f t="shared" ref="C25:C35" si="0">+B25/$G$4</f>
        <v>24831.756097560978</v>
      </c>
      <c r="D25" s="363">
        <f>+'Citizens-Griffith'!A41</f>
        <v>37293</v>
      </c>
      <c r="E25" s="204" t="s">
        <v>85</v>
      </c>
      <c r="F25" s="204" t="s">
        <v>301</v>
      </c>
      <c r="G25" s="204" t="s">
        <v>99</v>
      </c>
      <c r="H25" s="204"/>
      <c r="I25" s="204"/>
      <c r="J25" s="204"/>
      <c r="K25" s="204"/>
      <c r="L25" s="204"/>
      <c r="M25" s="204"/>
      <c r="N25" s="469"/>
      <c r="O25" s="273"/>
      <c r="P25" s="273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66" customFormat="1" ht="13.5" customHeight="1" x14ac:dyDescent="0.25">
      <c r="A26" s="32" t="s">
        <v>298</v>
      </c>
      <c r="B26" s="345">
        <f>+Stratland!$D$41</f>
        <v>48490.31</v>
      </c>
      <c r="C26" s="275">
        <f t="shared" si="0"/>
        <v>23653.809756097562</v>
      </c>
      <c r="D26" s="363">
        <f>+Stratland!A41</f>
        <v>37287</v>
      </c>
      <c r="E26" s="32" t="s">
        <v>85</v>
      </c>
      <c r="F26" s="32" t="s">
        <v>300</v>
      </c>
      <c r="G26" s="32" t="s">
        <v>102</v>
      </c>
      <c r="H26" s="32"/>
      <c r="I26" s="204"/>
      <c r="J26" s="204"/>
      <c r="K26" s="204"/>
      <c r="L26" s="204"/>
      <c r="M26" s="204" t="s">
        <v>245</v>
      </c>
      <c r="N26" s="469">
        <v>24361</v>
      </c>
      <c r="O26" s="273">
        <v>811179.69</v>
      </c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s="566" customFormat="1" ht="13.5" customHeight="1" x14ac:dyDescent="0.25">
      <c r="A27" s="204" t="s">
        <v>109</v>
      </c>
      <c r="B27" s="345">
        <f>+Continental!F43</f>
        <v>44498.090000000004</v>
      </c>
      <c r="C27" s="206">
        <f t="shared" si="0"/>
        <v>21706.385365853661</v>
      </c>
      <c r="D27" s="363">
        <f>+Continental!A43</f>
        <v>37297</v>
      </c>
      <c r="E27" s="204" t="s">
        <v>85</v>
      </c>
      <c r="F27" s="204" t="s">
        <v>154</v>
      </c>
      <c r="G27" s="204" t="s">
        <v>115</v>
      </c>
      <c r="H27" s="204"/>
      <c r="I27" s="204"/>
      <c r="J27" s="204"/>
      <c r="K27" s="204"/>
      <c r="L27" s="204"/>
      <c r="M27" s="204"/>
      <c r="N27" s="469"/>
      <c r="O27" s="273"/>
      <c r="P27" s="273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ht="13.5" customHeight="1" x14ac:dyDescent="0.25">
      <c r="A28" s="204" t="s">
        <v>142</v>
      </c>
      <c r="B28" s="346">
        <f>+C28*$G$4</f>
        <v>42129.549999999996</v>
      </c>
      <c r="C28" s="347">
        <f>+PEPL!D41</f>
        <v>20551</v>
      </c>
      <c r="D28" s="363">
        <f>+PEPL!A41</f>
        <v>37297</v>
      </c>
      <c r="E28" s="204" t="s">
        <v>84</v>
      </c>
      <c r="F28" s="204" t="s">
        <v>301</v>
      </c>
      <c r="G28" s="204" t="s">
        <v>100</v>
      </c>
      <c r="H28" s="32"/>
      <c r="I28" s="204"/>
      <c r="J28" s="32"/>
      <c r="K28" s="32"/>
      <c r="L28" s="32"/>
      <c r="M28" s="32" t="s">
        <v>244</v>
      </c>
      <c r="N28" s="379">
        <v>26357</v>
      </c>
      <c r="O28" s="70">
        <v>44144.84</v>
      </c>
      <c r="P28" s="32" t="s">
        <v>247</v>
      </c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</row>
    <row r="29" spans="1:33" s="566" customFormat="1" ht="13.5" customHeight="1" x14ac:dyDescent="0.25">
      <c r="A29" s="204" t="s">
        <v>127</v>
      </c>
      <c r="B29" s="345">
        <f>+Calpine!D41</f>
        <v>39997.699999999997</v>
      </c>
      <c r="C29" s="206">
        <f>+B29/$G$4</f>
        <v>19511.073170731706</v>
      </c>
      <c r="D29" s="363">
        <f>+Calpine!A41</f>
        <v>37297</v>
      </c>
      <c r="E29" s="204" t="s">
        <v>85</v>
      </c>
      <c r="F29" s="204" t="s">
        <v>153</v>
      </c>
      <c r="G29" s="204" t="s">
        <v>99</v>
      </c>
      <c r="H29" s="204"/>
      <c r="I29" s="204"/>
      <c r="J29" s="204"/>
      <c r="K29" s="204"/>
      <c r="L29" s="204"/>
      <c r="M29" s="204"/>
      <c r="N29" s="469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ht="15" customHeight="1" x14ac:dyDescent="0.25">
      <c r="A30" s="32" t="s">
        <v>110</v>
      </c>
      <c r="B30" s="345">
        <f>+C30*$G$4</f>
        <v>36053.35</v>
      </c>
      <c r="C30" s="275">
        <f>+CIG!D42</f>
        <v>17587</v>
      </c>
      <c r="D30" s="364">
        <f>+CIG!A42</f>
        <v>37290</v>
      </c>
      <c r="E30" s="204" t="s">
        <v>84</v>
      </c>
      <c r="F30" s="32" t="s">
        <v>154</v>
      </c>
      <c r="G30" s="32" t="s">
        <v>113</v>
      </c>
      <c r="H30" s="32"/>
      <c r="I30" s="32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3.5" customHeight="1" x14ac:dyDescent="0.25">
      <c r="A31" s="32" t="s">
        <v>23</v>
      </c>
      <c r="B31" s="345">
        <f>+C31*$G$3</f>
        <v>34377.279999999999</v>
      </c>
      <c r="C31" s="347">
        <f>+'Red C'!$F$45</f>
        <v>16688</v>
      </c>
      <c r="D31" s="363">
        <f>+'Red C'!A45</f>
        <v>37296</v>
      </c>
      <c r="E31" s="204" t="s">
        <v>84</v>
      </c>
      <c r="F31" s="32" t="s">
        <v>153</v>
      </c>
      <c r="G31" s="32" t="s">
        <v>115</v>
      </c>
      <c r="H31" s="32"/>
      <c r="I31" s="32"/>
      <c r="J31" s="32"/>
      <c r="K31" s="32"/>
      <c r="L31" s="32"/>
      <c r="M31" s="32"/>
      <c r="N31" s="379"/>
      <c r="O31" s="70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s="566" customFormat="1" ht="13.5" customHeight="1" x14ac:dyDescent="0.25">
      <c r="A32" s="32" t="s">
        <v>103</v>
      </c>
      <c r="B32" s="345">
        <f>+EOG!$J$41</f>
        <v>30994.91</v>
      </c>
      <c r="C32" s="275">
        <f t="shared" si="0"/>
        <v>15119.468292682928</v>
      </c>
      <c r="D32" s="363">
        <f>+EOG!A41</f>
        <v>37297</v>
      </c>
      <c r="E32" s="32" t="s">
        <v>85</v>
      </c>
      <c r="F32" s="32" t="s">
        <v>300</v>
      </c>
      <c r="G32" s="32" t="s">
        <v>102</v>
      </c>
      <c r="H32" s="32"/>
      <c r="I32" s="204"/>
      <c r="J32" s="204"/>
      <c r="K32" s="204"/>
      <c r="L32" s="204"/>
      <c r="M32" s="204"/>
      <c r="N32" s="469"/>
      <c r="O32" s="273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</row>
    <row r="33" spans="1:33" ht="13.5" customHeight="1" x14ac:dyDescent="0.25">
      <c r="A33" s="32" t="s">
        <v>6</v>
      </c>
      <c r="B33" s="345">
        <f>+Oasis!$D$40</f>
        <v>27079.23</v>
      </c>
      <c r="C33" s="206">
        <f>+B33/$G$5</f>
        <v>13145.257281553397</v>
      </c>
      <c r="D33" s="364">
        <f>+Oasis!A40</f>
        <v>37297</v>
      </c>
      <c r="E33" s="32" t="s">
        <v>85</v>
      </c>
      <c r="F33" s="32" t="s">
        <v>154</v>
      </c>
      <c r="G33" s="32" t="s">
        <v>102</v>
      </c>
      <c r="H33" s="32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5">
      <c r="A34" s="204" t="s">
        <v>71</v>
      </c>
      <c r="B34" s="346">
        <f>+transcol!$D$43</f>
        <v>26188.35</v>
      </c>
      <c r="C34" s="347">
        <f t="shared" si="0"/>
        <v>12774.804878048781</v>
      </c>
      <c r="D34" s="363">
        <f>+transcol!A43</f>
        <v>37296</v>
      </c>
      <c r="E34" s="204" t="s">
        <v>85</v>
      </c>
      <c r="F34" s="204" t="s">
        <v>153</v>
      </c>
      <c r="G34" s="204" t="s">
        <v>115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5">
      <c r="A35" s="32" t="s">
        <v>281</v>
      </c>
      <c r="B35" s="345">
        <f>+'WTG inc'!N43</f>
        <v>23978.959999999999</v>
      </c>
      <c r="C35" s="275">
        <f t="shared" si="0"/>
        <v>11697.053658536586</v>
      </c>
      <c r="D35" s="364">
        <f>+'WTG inc'!A43</f>
        <v>37296</v>
      </c>
      <c r="E35" s="32" t="s">
        <v>85</v>
      </c>
      <c r="F35" s="32" t="s">
        <v>153</v>
      </c>
      <c r="G35" s="32" t="s">
        <v>115</v>
      </c>
      <c r="H35" s="204"/>
      <c r="I35" s="32"/>
      <c r="J35" s="32"/>
      <c r="K35" s="32"/>
      <c r="L35" s="32"/>
      <c r="M35" s="32"/>
      <c r="N35" s="379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s="566" customFormat="1" ht="13.5" customHeight="1" x14ac:dyDescent="0.25">
      <c r="A36" s="204" t="s">
        <v>87</v>
      </c>
      <c r="B36" s="345">
        <f>+NNG!$D$24</f>
        <v>13519.85</v>
      </c>
      <c r="C36" s="275">
        <f>+B36/$G$4</f>
        <v>6595.0487804878057</v>
      </c>
      <c r="D36" s="363">
        <f>+NNG!A24</f>
        <v>37293</v>
      </c>
      <c r="E36" s="204" t="s">
        <v>85</v>
      </c>
      <c r="F36" s="204" t="s">
        <v>300</v>
      </c>
      <c r="G36" s="204" t="s">
        <v>100</v>
      </c>
      <c r="H36" s="204"/>
      <c r="I36" s="204"/>
      <c r="J36" s="204"/>
      <c r="K36" s="204"/>
      <c r="L36" s="204"/>
      <c r="M36" s="204"/>
      <c r="N36" s="469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3.5" customHeight="1" x14ac:dyDescent="0.25">
      <c r="A37" s="204" t="s">
        <v>147</v>
      </c>
      <c r="B37" s="345">
        <f>+PGETX!$H$39</f>
        <v>13077.3</v>
      </c>
      <c r="C37" s="275">
        <f>+B37/$G$4</f>
        <v>6379.1707317073169</v>
      </c>
      <c r="D37" s="363">
        <f>+PGETX!E39</f>
        <v>37296</v>
      </c>
      <c r="E37" s="204" t="s">
        <v>85</v>
      </c>
      <c r="F37" s="204" t="s">
        <v>154</v>
      </c>
      <c r="G37" s="204" t="s">
        <v>102</v>
      </c>
      <c r="H37" s="204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2.9" customHeight="1" x14ac:dyDescent="0.25">
      <c r="A38" s="32" t="s">
        <v>131</v>
      </c>
      <c r="B38" s="345">
        <f>+SidR!D41</f>
        <v>10238.459999999999</v>
      </c>
      <c r="C38" s="275">
        <f>+B38/$G$5</f>
        <v>4970.1262135922325</v>
      </c>
      <c r="D38" s="364">
        <f>+SidR!A41</f>
        <v>37292</v>
      </c>
      <c r="E38" s="32" t="s">
        <v>85</v>
      </c>
      <c r="F38" s="32" t="s">
        <v>152</v>
      </c>
      <c r="G38" s="32" t="s">
        <v>102</v>
      </c>
      <c r="H38" s="32"/>
      <c r="I38" s="32"/>
      <c r="J38" s="32"/>
      <c r="K38" s="32"/>
      <c r="L38" s="32"/>
      <c r="M38" s="32"/>
      <c r="N38" s="379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3.5" customHeight="1" x14ac:dyDescent="0.25">
      <c r="A39" s="32" t="s">
        <v>289</v>
      </c>
      <c r="B39" s="348">
        <f>+C39*$G$3</f>
        <v>1027.94</v>
      </c>
      <c r="C39" s="71">
        <f>+Amoco!D40</f>
        <v>499</v>
      </c>
      <c r="D39" s="364">
        <f>+Amoco!A40</f>
        <v>37296</v>
      </c>
      <c r="E39" s="32" t="s">
        <v>84</v>
      </c>
      <c r="F39" s="32" t="s">
        <v>153</v>
      </c>
      <c r="G39" s="32" t="s">
        <v>115</v>
      </c>
      <c r="H39" s="32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8" customHeight="1" x14ac:dyDescent="0.25">
      <c r="A40" s="32" t="s">
        <v>96</v>
      </c>
      <c r="B40" s="47">
        <f>SUM(B8:B39)</f>
        <v>4466677.8499999996</v>
      </c>
      <c r="C40" s="69">
        <f>SUM(C8:C39)</f>
        <v>2176742.3083116268</v>
      </c>
      <c r="D40" s="203"/>
      <c r="E40" s="32"/>
      <c r="F40" s="32"/>
      <c r="G40" s="32"/>
      <c r="H40" s="32"/>
      <c r="I40" s="32"/>
      <c r="J40" s="32"/>
      <c r="K40" s="32"/>
      <c r="L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5">
      <c r="A41" s="32"/>
      <c r="B41" s="47"/>
      <c r="C41" s="69"/>
      <c r="D41" s="203"/>
      <c r="E41" s="32"/>
      <c r="F41" s="350"/>
      <c r="G41" s="350"/>
      <c r="H41" s="32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5">
      <c r="A42" s="334" t="s">
        <v>89</v>
      </c>
      <c r="B42" s="335" t="s">
        <v>16</v>
      </c>
      <c r="C42" s="336" t="s">
        <v>0</v>
      </c>
      <c r="D42" s="343" t="s">
        <v>146</v>
      </c>
      <c r="E42" s="334" t="s">
        <v>90</v>
      </c>
      <c r="F42" s="337" t="s">
        <v>101</v>
      </c>
      <c r="G42" s="337" t="s">
        <v>101</v>
      </c>
      <c r="H42" s="334" t="s">
        <v>98</v>
      </c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5" customHeight="1" x14ac:dyDescent="0.25">
      <c r="A43" s="204" t="s">
        <v>135</v>
      </c>
      <c r="B43" s="345">
        <f>+Citizens!D18</f>
        <v>-550915.94000000006</v>
      </c>
      <c r="C43" s="206">
        <f>+B43/$G$4</f>
        <v>-268739.48292682931</v>
      </c>
      <c r="D43" s="363">
        <f>+Citizens!A18</f>
        <v>37297</v>
      </c>
      <c r="E43" s="204" t="s">
        <v>85</v>
      </c>
      <c r="F43" s="204" t="s">
        <v>301</v>
      </c>
      <c r="G43" s="204" t="s">
        <v>99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32" t="s">
        <v>133</v>
      </c>
      <c r="B44" s="345">
        <f>+'NS Steel'!D41</f>
        <v>-284231.3</v>
      </c>
      <c r="C44" s="206">
        <f>+B44/$G$4</f>
        <v>-138649.41463414635</v>
      </c>
      <c r="D44" s="364">
        <f>+'NS Steel'!A41</f>
        <v>37296</v>
      </c>
      <c r="E44" s="32" t="s">
        <v>85</v>
      </c>
      <c r="F44" s="32" t="s">
        <v>154</v>
      </c>
      <c r="G44" s="32" t="s">
        <v>100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" customHeight="1" x14ac:dyDescent="0.25">
      <c r="A45" s="204" t="s">
        <v>258</v>
      </c>
      <c r="B45" s="345">
        <f>+MiVida_Rich!D41</f>
        <v>-192285.66</v>
      </c>
      <c r="C45" s="206">
        <f>+B45/$G$5</f>
        <v>-93342.553398058255</v>
      </c>
      <c r="D45" s="363">
        <f>+MiVida_Rich!A41</f>
        <v>37287</v>
      </c>
      <c r="E45" s="204" t="s">
        <v>85</v>
      </c>
      <c r="F45" s="204" t="s">
        <v>152</v>
      </c>
      <c r="G45" s="204" t="s">
        <v>102</v>
      </c>
      <c r="H45" s="351"/>
      <c r="I45" s="32"/>
      <c r="J45" s="32"/>
      <c r="K45" s="32"/>
      <c r="L45" s="32"/>
      <c r="M45" s="32"/>
      <c r="N45" s="379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" customHeight="1" x14ac:dyDescent="0.25">
      <c r="A46" s="32" t="s">
        <v>216</v>
      </c>
      <c r="B46" s="345">
        <f>+crosstex!F41</f>
        <v>-134584.64000000001</v>
      </c>
      <c r="C46" s="206">
        <f>+B46/$G$4</f>
        <v>-65651.043902439036</v>
      </c>
      <c r="D46" s="364">
        <f>+crosstex!A41</f>
        <v>37296</v>
      </c>
      <c r="E46" s="32" t="s">
        <v>85</v>
      </c>
      <c r="F46" s="32" t="s">
        <v>152</v>
      </c>
      <c r="G46" s="32" t="s">
        <v>100</v>
      </c>
      <c r="H46" s="351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67" customFormat="1" ht="13.5" customHeight="1" x14ac:dyDescent="0.25">
      <c r="A47" s="204" t="s">
        <v>313</v>
      </c>
      <c r="B47" s="346">
        <f>+Duke!B83</f>
        <v>-117454.36999999965</v>
      </c>
      <c r="C47" s="347">
        <f>+B47/$G$5</f>
        <v>-57016.684466019244</v>
      </c>
      <c r="D47" s="363">
        <f>+DEFS!A40</f>
        <v>37290</v>
      </c>
      <c r="E47" s="204" t="s">
        <v>85</v>
      </c>
      <c r="F47" s="32" t="s">
        <v>153</v>
      </c>
      <c r="G47" s="32" t="s">
        <v>100</v>
      </c>
      <c r="H47" s="32" t="s">
        <v>309</v>
      </c>
      <c r="I47" s="249"/>
      <c r="J47" s="249"/>
      <c r="K47" s="249"/>
      <c r="L47" s="249"/>
      <c r="M47" s="32"/>
      <c r="N47" s="469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ht="13.5" customHeight="1" x14ac:dyDescent="0.25">
      <c r="A48" s="32" t="s">
        <v>1</v>
      </c>
      <c r="B48" s="345">
        <f>+C48*$G$3</f>
        <v>-89640.900000000009</v>
      </c>
      <c r="C48" s="206">
        <f>+NW!$F$41</f>
        <v>-43515</v>
      </c>
      <c r="D48" s="363">
        <f>+NW!B41</f>
        <v>37297</v>
      </c>
      <c r="E48" s="32" t="s">
        <v>84</v>
      </c>
      <c r="F48" s="32" t="s">
        <v>153</v>
      </c>
      <c r="G48" s="32" t="s">
        <v>115</v>
      </c>
      <c r="H48" s="351"/>
      <c r="I48" s="32"/>
      <c r="J48" s="32"/>
      <c r="K48" s="32"/>
      <c r="L48" s="32"/>
      <c r="M48" s="32"/>
      <c r="N48" s="379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66" customFormat="1" ht="13.5" customHeight="1" x14ac:dyDescent="0.25">
      <c r="A49" s="204" t="s">
        <v>204</v>
      </c>
      <c r="B49" s="346">
        <f>+WTGmktg!J43</f>
        <v>-34633.42</v>
      </c>
      <c r="C49" s="206">
        <f>+B49/$G$4</f>
        <v>-16894.351219512195</v>
      </c>
      <c r="D49" s="363">
        <f>+WTGmktg!A43</f>
        <v>37290</v>
      </c>
      <c r="E49" s="32" t="s">
        <v>85</v>
      </c>
      <c r="F49" s="204" t="s">
        <v>153</v>
      </c>
      <c r="G49" s="204" t="s">
        <v>115</v>
      </c>
      <c r="H49" s="204"/>
      <c r="I49" s="204"/>
      <c r="J49" s="204"/>
      <c r="K49" s="204"/>
      <c r="L49" s="204"/>
      <c r="M49" s="204"/>
      <c r="N49" s="469"/>
      <c r="O49" s="273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66" customFormat="1" ht="13.5" customHeight="1" x14ac:dyDescent="0.25">
      <c r="A50" s="32" t="s">
        <v>278</v>
      </c>
      <c r="B50" s="345">
        <f>+SWGasTrans!$D$41</f>
        <v>-26512.92</v>
      </c>
      <c r="C50" s="275">
        <f>+B50/$G$4</f>
        <v>-12933.131707317074</v>
      </c>
      <c r="D50" s="363">
        <f>+SWGasTrans!A41</f>
        <v>37297</v>
      </c>
      <c r="E50" s="32" t="s">
        <v>85</v>
      </c>
      <c r="F50" s="32" t="s">
        <v>153</v>
      </c>
      <c r="G50" s="32" t="s">
        <v>99</v>
      </c>
      <c r="H50" s="32"/>
      <c r="I50" s="204"/>
      <c r="J50" s="204"/>
      <c r="K50" s="204"/>
      <c r="L50" s="204"/>
      <c r="M50" s="204" t="s">
        <v>243</v>
      </c>
      <c r="N50" s="469">
        <v>24268</v>
      </c>
      <c r="O50" s="273">
        <v>1481856.66</v>
      </c>
      <c r="P50" s="273">
        <f>+O50</f>
        <v>1481856.66</v>
      </c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66" customFormat="1" ht="13.5" customHeight="1" x14ac:dyDescent="0.25">
      <c r="A51" s="204" t="s">
        <v>28</v>
      </c>
      <c r="B51" s="345">
        <f>+C51*$G$3</f>
        <v>-26059</v>
      </c>
      <c r="C51" s="275">
        <f>+williams!J40</f>
        <v>-12650</v>
      </c>
      <c r="D51" s="363">
        <f>+williams!A40</f>
        <v>37297</v>
      </c>
      <c r="E51" s="204" t="s">
        <v>85</v>
      </c>
      <c r="F51" s="204" t="s">
        <v>154</v>
      </c>
      <c r="G51" s="204" t="s">
        <v>291</v>
      </c>
      <c r="H51" s="204"/>
      <c r="I51" s="204"/>
      <c r="J51" s="204"/>
      <c r="K51" s="204"/>
      <c r="L51" s="204"/>
      <c r="M51" s="204"/>
      <c r="N51" s="469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66" customFormat="1" ht="13.5" customHeight="1" x14ac:dyDescent="0.25">
      <c r="A52" s="204" t="s">
        <v>95</v>
      </c>
      <c r="B52" s="348">
        <f>+burlington!D42</f>
        <v>-15598.96</v>
      </c>
      <c r="C52" s="71">
        <f>+B52/$G$3</f>
        <v>-7572.3106796116499</v>
      </c>
      <c r="D52" s="363">
        <f>+burlington!A42</f>
        <v>37290</v>
      </c>
      <c r="E52" s="204" t="s">
        <v>85</v>
      </c>
      <c r="F52" s="32" t="s">
        <v>154</v>
      </c>
      <c r="G52" s="32" t="s">
        <v>113</v>
      </c>
      <c r="H52" s="32"/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5">
      <c r="A53" s="32" t="s">
        <v>97</v>
      </c>
      <c r="B53" s="345">
        <f>SUM(B43:B52)</f>
        <v>-1471917.1099999994</v>
      </c>
      <c r="C53" s="206">
        <f>SUM(C43:C52)</f>
        <v>-716963.97293393314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5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8" thickBot="1" x14ac:dyDescent="0.3">
      <c r="A55" s="2" t="s">
        <v>91</v>
      </c>
      <c r="B55" s="353">
        <f>+B53+B40</f>
        <v>2994760.74</v>
      </c>
      <c r="C55" s="354">
        <f>+C53+C40</f>
        <v>1459778.3353776936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5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A70" s="2" t="s">
        <v>261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A71" s="32" t="s">
        <v>259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A72" s="32" t="s">
        <v>260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A74" s="2" t="s">
        <v>262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A75" s="32" t="s">
        <v>263</v>
      </c>
      <c r="B75" s="75">
        <v>16841.21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A76" s="32" t="s">
        <v>265</v>
      </c>
      <c r="B76" s="75">
        <v>-8065.83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A77" s="32" t="s">
        <v>266</v>
      </c>
      <c r="B77" s="601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A78" s="32" t="s">
        <v>267</v>
      </c>
      <c r="B78" s="601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A79" s="32" t="s">
        <v>268</v>
      </c>
      <c r="B79" s="601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A80" s="32" t="s">
        <v>269</v>
      </c>
      <c r="B80" s="601">
        <v>7679.44</v>
      </c>
      <c r="C80" s="492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5">
      <c r="A81" s="32" t="s">
        <v>271</v>
      </c>
      <c r="B81" s="606">
        <v>-1851.26</v>
      </c>
      <c r="C81" s="492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5">
      <c r="A82" s="32" t="s">
        <v>273</v>
      </c>
      <c r="B82" s="581">
        <v>-27278.52</v>
      </c>
      <c r="C82" s="492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5">
      <c r="A83" s="32" t="s">
        <v>274</v>
      </c>
      <c r="B83" s="517">
        <v>8356.0499999999993</v>
      </c>
      <c r="C83" s="568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5">
      <c r="A84" s="32" t="s">
        <v>275</v>
      </c>
      <c r="B84" s="607">
        <f>775*2.08</f>
        <v>1612</v>
      </c>
      <c r="C84" s="568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5">
      <c r="A85" s="32" t="s">
        <v>272</v>
      </c>
      <c r="B85" s="15">
        <f>44144.84-58339.66</f>
        <v>-14194.820000000007</v>
      </c>
      <c r="C85" s="568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5">
      <c r="A86" s="32" t="s">
        <v>272</v>
      </c>
      <c r="B86" s="15">
        <v>-51695.87</v>
      </c>
      <c r="C86" s="568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5">
      <c r="A87" s="32" t="s">
        <v>272</v>
      </c>
      <c r="B87" s="15">
        <v>61340.160000000003</v>
      </c>
      <c r="C87" s="568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5">
      <c r="A88" s="32" t="s">
        <v>293</v>
      </c>
      <c r="B88" s="581">
        <v>-1702.75</v>
      </c>
      <c r="C88" s="568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5">
      <c r="A89" s="32" t="s">
        <v>279</v>
      </c>
      <c r="B89" s="581">
        <v>-1664.28</v>
      </c>
      <c r="C89" s="568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5">
      <c r="A90" s="32" t="s">
        <v>264</v>
      </c>
      <c r="B90" s="519">
        <v>-35893</v>
      </c>
      <c r="C90" s="492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5">
      <c r="A91" s="32" t="s">
        <v>270</v>
      </c>
      <c r="B91" s="15">
        <v>3338.45</v>
      </c>
      <c r="C91" s="492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5">
      <c r="A92" s="32" t="s">
        <v>294</v>
      </c>
      <c r="B92" s="605">
        <v>4589.1400000000003</v>
      </c>
      <c r="C92" s="492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5">
      <c r="A93" s="32" t="s">
        <v>295</v>
      </c>
      <c r="B93" s="518">
        <v>-725.46</v>
      </c>
      <c r="C93" s="492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5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5">
      <c r="A95" s="32"/>
      <c r="B95" s="16">
        <f>SUM(B75:B94)</f>
        <v>-32293.820000000007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5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18" sqref="B18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-177490</v>
      </c>
      <c r="C7" s="80">
        <v>-72411</v>
      </c>
      <c r="D7" s="80">
        <f t="shared" si="0"/>
        <v>105079</v>
      </c>
    </row>
    <row r="8" spans="1:4" x14ac:dyDescent="0.2">
      <c r="A8" s="32">
        <v>60667</v>
      </c>
      <c r="B8" s="309">
        <v>-14</v>
      </c>
      <c r="C8" s="80">
        <v>-221407</v>
      </c>
      <c r="D8" s="80">
        <f t="shared" si="0"/>
        <v>-221393</v>
      </c>
    </row>
    <row r="9" spans="1:4" x14ac:dyDescent="0.2">
      <c r="A9" s="32">
        <v>60749</v>
      </c>
      <c r="B9" s="309">
        <v>48196</v>
      </c>
      <c r="C9" s="80">
        <v>6315</v>
      </c>
      <c r="D9" s="80">
        <f t="shared" si="0"/>
        <v>-41881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-159652</v>
      </c>
      <c r="C11" s="80"/>
      <c r="D11" s="80">
        <f t="shared" si="0"/>
        <v>159652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1457</v>
      </c>
    </row>
    <row r="19" spans="1:5" x14ac:dyDescent="0.2">
      <c r="A19" s="32" t="s">
        <v>81</v>
      </c>
      <c r="B19" s="69"/>
      <c r="C19" s="69"/>
      <c r="D19" s="73">
        <f>+summary!G4</f>
        <v>2.0499999999999998</v>
      </c>
    </row>
    <row r="20" spans="1:5" x14ac:dyDescent="0.2">
      <c r="B20" s="69"/>
      <c r="C20" s="69"/>
      <c r="D20" s="75">
        <f>+D19*D18</f>
        <v>2986.85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22">
        <v>10533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37293</v>
      </c>
      <c r="B24" s="69"/>
      <c r="C24" s="69"/>
      <c r="D24" s="331">
        <f>+D22+D20</f>
        <v>13519.85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23">
        <v>3422</v>
      </c>
    </row>
    <row r="33" spans="1:4" x14ac:dyDescent="0.2">
      <c r="A33" s="49">
        <f>+A24</f>
        <v>37293</v>
      </c>
      <c r="D33" s="349">
        <f>+D18</f>
        <v>1457</v>
      </c>
    </row>
    <row r="34" spans="1:4" x14ac:dyDescent="0.2">
      <c r="D34" s="14">
        <f>+D33+D32</f>
        <v>4879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3" workbookViewId="0">
      <selection activeCell="C14" sqref="C1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4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v>-44399</v>
      </c>
      <c r="C5" s="90">
        <v>-19545</v>
      </c>
      <c r="D5" s="90">
        <f t="shared" ref="D5:D13" si="0">+C5-B5</f>
        <v>24854</v>
      </c>
      <c r="E5" s="69"/>
      <c r="F5" s="201"/>
    </row>
    <row r="6" spans="1:13" x14ac:dyDescent="0.25">
      <c r="A6" s="87">
        <v>9238</v>
      </c>
      <c r="B6" s="90">
        <v>-10674</v>
      </c>
      <c r="C6" s="90">
        <v>-10000</v>
      </c>
      <c r="D6" s="90">
        <f t="shared" si="0"/>
        <v>674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f>-897353-84325</f>
        <v>-981678</v>
      </c>
      <c r="C7" s="90">
        <v>-837751</v>
      </c>
      <c r="D7" s="90">
        <f t="shared" si="0"/>
        <v>143927</v>
      </c>
      <c r="E7" s="275"/>
      <c r="F7" s="201"/>
    </row>
    <row r="8" spans="1:13" x14ac:dyDescent="0.25">
      <c r="A8" s="87">
        <v>58710</v>
      </c>
      <c r="B8" s="90">
        <v>-4936</v>
      </c>
      <c r="C8" s="90">
        <v>-31067</v>
      </c>
      <c r="D8" s="90">
        <f t="shared" si="0"/>
        <v>-26131</v>
      </c>
      <c r="E8" s="275"/>
      <c r="F8" s="201"/>
    </row>
    <row r="9" spans="1:13" x14ac:dyDescent="0.25">
      <c r="A9" s="87">
        <v>60921</v>
      </c>
      <c r="B9" s="90">
        <v>-780807</v>
      </c>
      <c r="C9" s="90">
        <v>-900879</v>
      </c>
      <c r="D9" s="90">
        <f t="shared" si="0"/>
        <v>-120072</v>
      </c>
      <c r="E9" s="275"/>
      <c r="F9" s="201"/>
    </row>
    <row r="10" spans="1:13" x14ac:dyDescent="0.25">
      <c r="A10" s="87">
        <v>78026</v>
      </c>
      <c r="B10" s="90"/>
      <c r="C10" s="90">
        <v>5500</v>
      </c>
      <c r="D10" s="90">
        <f t="shared" si="0"/>
        <v>5500</v>
      </c>
      <c r="E10" s="275"/>
      <c r="F10" s="465"/>
    </row>
    <row r="11" spans="1:13" x14ac:dyDescent="0.25">
      <c r="A11" s="87">
        <v>500084</v>
      </c>
      <c r="B11" s="90">
        <v>-23420</v>
      </c>
      <c r="C11" s="90">
        <v>-30000</v>
      </c>
      <c r="D11" s="90">
        <f t="shared" si="0"/>
        <v>-6580</v>
      </c>
      <c r="E11" s="276"/>
      <c r="F11" s="465"/>
    </row>
    <row r="12" spans="1:13" x14ac:dyDescent="0.25">
      <c r="A12" s="317">
        <v>500085</v>
      </c>
      <c r="B12" s="90">
        <v>-3589</v>
      </c>
      <c r="C12" s="90"/>
      <c r="D12" s="90">
        <f t="shared" si="0"/>
        <v>3589</v>
      </c>
      <c r="E12" s="275"/>
      <c r="F12" s="465"/>
    </row>
    <row r="13" spans="1:13" x14ac:dyDescent="0.25">
      <c r="A13" s="87">
        <v>500097</v>
      </c>
      <c r="B13" s="90">
        <v>-39044</v>
      </c>
      <c r="C13" s="90">
        <v>-40000</v>
      </c>
      <c r="D13" s="90">
        <f t="shared" si="0"/>
        <v>-956</v>
      </c>
      <c r="E13" s="275"/>
      <c r="F13" s="465"/>
    </row>
    <row r="14" spans="1:13" x14ac:dyDescent="0.25">
      <c r="A14" s="87"/>
      <c r="B14" s="90"/>
      <c r="C14" s="90"/>
      <c r="D14" s="90"/>
      <c r="E14" s="275"/>
      <c r="F14" s="465"/>
    </row>
    <row r="15" spans="1:13" x14ac:dyDescent="0.25">
      <c r="A15" s="87"/>
      <c r="B15" s="90"/>
      <c r="C15" s="90"/>
      <c r="D15" s="90"/>
      <c r="E15" s="275"/>
      <c r="F15" s="465"/>
    </row>
    <row r="16" spans="1:13" x14ac:dyDescent="0.25">
      <c r="A16" s="87"/>
      <c r="B16" s="88"/>
      <c r="C16" s="88"/>
      <c r="D16" s="94"/>
      <c r="E16" s="275"/>
      <c r="F16" s="465"/>
    </row>
    <row r="17" spans="1:7" x14ac:dyDescent="0.25">
      <c r="A17" s="87"/>
      <c r="B17" s="88"/>
      <c r="C17" s="88"/>
      <c r="D17" s="88">
        <f>SUM(D5:D16)</f>
        <v>24805</v>
      </c>
      <c r="E17" s="275"/>
      <c r="F17" s="465"/>
    </row>
    <row r="18" spans="1:7" x14ac:dyDescent="0.25">
      <c r="A18" s="87" t="s">
        <v>81</v>
      </c>
      <c r="B18" s="88"/>
      <c r="C18" s="88"/>
      <c r="D18" s="95">
        <f>+summary!G4</f>
        <v>2.0499999999999998</v>
      </c>
      <c r="E18" s="277"/>
      <c r="F18" s="465"/>
    </row>
    <row r="19" spans="1:7" x14ac:dyDescent="0.25">
      <c r="A19" s="87"/>
      <c r="B19" s="88"/>
      <c r="C19" s="88"/>
      <c r="D19" s="96">
        <f>+D18*D17</f>
        <v>50850.249999999993</v>
      </c>
      <c r="E19" s="207"/>
      <c r="F19" s="465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37287</v>
      </c>
      <c r="B21" s="88"/>
      <c r="C21" s="88"/>
      <c r="D21" s="574">
        <v>835344.24</v>
      </c>
      <c r="E21" s="207"/>
      <c r="F21" s="466"/>
    </row>
    <row r="22" spans="1:7" x14ac:dyDescent="0.25">
      <c r="A22" s="87"/>
      <c r="B22" s="88"/>
      <c r="C22" s="88"/>
      <c r="D22" s="308"/>
      <c r="E22" s="207"/>
      <c r="F22" s="466"/>
    </row>
    <row r="23" spans="1:7" ht="13.8" thickBot="1" x14ac:dyDescent="0.3">
      <c r="A23" s="99">
        <v>37297</v>
      </c>
      <c r="B23" s="88"/>
      <c r="C23" s="88"/>
      <c r="D23" s="318">
        <f>+D21+D19</f>
        <v>886194.49</v>
      </c>
      <c r="E23" s="207"/>
      <c r="F23" s="466"/>
    </row>
    <row r="24" spans="1:7" ht="13.8" thickTop="1" x14ac:dyDescent="0.25">
      <c r="E24" s="278"/>
    </row>
    <row r="25" spans="1:7" x14ac:dyDescent="0.25">
      <c r="E25" s="500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37287</v>
      </c>
      <c r="B28" s="32"/>
      <c r="C28" s="32"/>
      <c r="D28" s="486">
        <v>340221</v>
      </c>
    </row>
    <row r="29" spans="1:7" x14ac:dyDescent="0.25">
      <c r="A29" s="49">
        <f>+A23</f>
        <v>37297</v>
      </c>
      <c r="B29" s="32"/>
      <c r="C29" s="32"/>
      <c r="D29" s="349">
        <f>+D17</f>
        <v>24805</v>
      </c>
    </row>
    <row r="30" spans="1:7" x14ac:dyDescent="0.25">
      <c r="A30" s="32"/>
      <c r="B30" s="32"/>
      <c r="C30" s="32"/>
      <c r="D30" s="14">
        <f>+D29+D28</f>
        <v>365026</v>
      </c>
      <c r="E30" s="344"/>
    </row>
    <row r="31" spans="1:7" x14ac:dyDescent="0.25">
      <c r="A31" s="139"/>
      <c r="B31" s="119"/>
      <c r="C31" s="140"/>
      <c r="D31" s="530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5"/>
      <c r="G44" s="204"/>
    </row>
    <row r="45" spans="1:7" x14ac:dyDescent="0.25">
      <c r="B45" s="69"/>
      <c r="C45" s="69"/>
      <c r="D45" s="292"/>
      <c r="E45" s="275"/>
      <c r="F45" s="465"/>
      <c r="G45" s="204"/>
    </row>
    <row r="46" spans="1:7" x14ac:dyDescent="0.25">
      <c r="A46" s="32"/>
      <c r="B46" s="69"/>
      <c r="C46" s="69"/>
      <c r="D46" s="275"/>
      <c r="E46" s="275"/>
      <c r="F46" s="465"/>
      <c r="G46" s="204"/>
    </row>
    <row r="47" spans="1:7" x14ac:dyDescent="0.25">
      <c r="A47" s="32"/>
      <c r="B47" s="69"/>
      <c r="C47" s="69"/>
      <c r="D47" s="277"/>
      <c r="E47" s="277"/>
      <c r="F47" s="465"/>
      <c r="G47" s="204"/>
    </row>
    <row r="48" spans="1:7" x14ac:dyDescent="0.25">
      <c r="B48" s="69"/>
      <c r="C48" s="69"/>
      <c r="D48" s="275"/>
      <c r="E48" s="275"/>
      <c r="F48" s="465"/>
      <c r="G48" s="204"/>
    </row>
    <row r="49" spans="1:7" x14ac:dyDescent="0.25">
      <c r="B49" s="69"/>
      <c r="C49" s="69"/>
      <c r="D49" s="275"/>
      <c r="E49" s="275"/>
      <c r="F49" s="465"/>
      <c r="G49" s="204"/>
    </row>
    <row r="50" spans="1:7" x14ac:dyDescent="0.25">
      <c r="C50" s="289"/>
      <c r="D50" s="289"/>
      <c r="E50" s="289"/>
      <c r="F50" s="467"/>
      <c r="G50" s="290"/>
    </row>
    <row r="51" spans="1:7" x14ac:dyDescent="0.25">
      <c r="A51" s="32"/>
      <c r="C51" s="289"/>
      <c r="D51" s="289"/>
      <c r="E51" s="289"/>
      <c r="F51" s="467"/>
    </row>
    <row r="52" spans="1:7" x14ac:dyDescent="0.25">
      <c r="A52" s="32"/>
      <c r="C52" s="289"/>
      <c r="D52" s="289"/>
      <c r="E52" s="289"/>
      <c r="F52" s="467"/>
    </row>
    <row r="53" spans="1:7" x14ac:dyDescent="0.25">
      <c r="A53" s="32"/>
      <c r="C53" s="289"/>
      <c r="D53" s="289"/>
      <c r="E53" s="289"/>
      <c r="F53" s="467"/>
    </row>
    <row r="54" spans="1:7" x14ac:dyDescent="0.25">
      <c r="A54" s="32"/>
      <c r="C54" s="289"/>
      <c r="D54" s="289"/>
      <c r="E54" s="289"/>
      <c r="F54" s="467"/>
    </row>
    <row r="55" spans="1:7" x14ac:dyDescent="0.25">
      <c r="A55" s="32"/>
      <c r="C55" s="289"/>
      <c r="D55" s="289"/>
      <c r="E55" s="278"/>
      <c r="F55" s="421"/>
    </row>
    <row r="56" spans="1:7" x14ac:dyDescent="0.25">
      <c r="C56" s="289"/>
      <c r="D56" s="289"/>
      <c r="E56" s="278"/>
      <c r="F56" s="421"/>
    </row>
    <row r="57" spans="1:7" x14ac:dyDescent="0.25">
      <c r="C57" s="289"/>
      <c r="D57" s="289"/>
      <c r="E57" s="278"/>
      <c r="F57" s="421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68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6"/>
    </row>
    <row r="101" spans="1:6" x14ac:dyDescent="0.25">
      <c r="A101" s="32"/>
      <c r="E101" s="63"/>
      <c r="F101" s="466"/>
    </row>
    <row r="102" spans="1:6" ht="13.8" thickBot="1" x14ac:dyDescent="0.3">
      <c r="A102" s="32"/>
      <c r="D102" s="68"/>
      <c r="E102" s="68"/>
      <c r="F102" s="4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68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6"/>
    </row>
    <row r="127" spans="1:6" x14ac:dyDescent="0.25">
      <c r="A127" s="32"/>
      <c r="D127" s="75"/>
      <c r="E127" s="75"/>
      <c r="F127" s="466"/>
    </row>
    <row r="128" spans="1:6" ht="13.8" thickBot="1" x14ac:dyDescent="0.3">
      <c r="A128" s="32"/>
      <c r="D128" s="77"/>
      <c r="E128" s="77"/>
      <c r="F128" s="466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68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6"/>
    </row>
    <row r="152" spans="1:6" x14ac:dyDescent="0.25">
      <c r="A152" s="32"/>
      <c r="D152" s="75"/>
      <c r="E152" s="75"/>
      <c r="F152" s="466"/>
    </row>
    <row r="153" spans="1:6" ht="13.8" thickBot="1" x14ac:dyDescent="0.3">
      <c r="A153" s="32"/>
      <c r="D153" s="77"/>
      <c r="E153" s="77"/>
      <c r="F153" s="466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68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6"/>
    </row>
    <row r="177" spans="1:6" x14ac:dyDescent="0.25">
      <c r="A177" s="32"/>
      <c r="D177" s="75"/>
      <c r="E177" s="75"/>
      <c r="F177" s="466"/>
    </row>
    <row r="178" spans="1:6" ht="13.8" thickBot="1" x14ac:dyDescent="0.3">
      <c r="A178" s="32"/>
      <c r="D178" s="77"/>
      <c r="E178" s="77"/>
      <c r="F178" s="466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68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6"/>
    </row>
    <row r="201" spans="1:6" x14ac:dyDescent="0.25">
      <c r="A201" s="32"/>
      <c r="D201" s="75"/>
      <c r="E201" s="75"/>
      <c r="F201" s="466"/>
    </row>
    <row r="202" spans="1:6" ht="13.8" thickBot="1" x14ac:dyDescent="0.3">
      <c r="A202" s="32"/>
      <c r="D202" s="83"/>
      <c r="E202" s="77"/>
      <c r="F202" s="466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68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6"/>
    </row>
    <row r="227" spans="1:6" x14ac:dyDescent="0.25">
      <c r="A227" s="32"/>
      <c r="D227" s="75"/>
      <c r="E227" s="75"/>
      <c r="F227" s="466"/>
    </row>
    <row r="228" spans="1:6" ht="13.8" thickBot="1" x14ac:dyDescent="0.3">
      <c r="A228" s="32"/>
      <c r="D228" s="83"/>
      <c r="E228" s="77"/>
      <c r="F228" s="466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68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6"/>
    </row>
    <row r="251" spans="1:6" x14ac:dyDescent="0.25">
      <c r="A251" s="32"/>
      <c r="D251" s="75"/>
      <c r="E251" s="75"/>
      <c r="F251" s="466"/>
    </row>
    <row r="252" spans="1:6" ht="13.8" thickBot="1" x14ac:dyDescent="0.3">
      <c r="A252" s="32"/>
      <c r="D252" s="86"/>
      <c r="E252" s="77"/>
      <c r="F252" s="4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68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6"/>
    </row>
    <row r="275" spans="1:6" x14ac:dyDescent="0.25">
      <c r="A275" s="87"/>
      <c r="B275" s="88"/>
      <c r="C275" s="88"/>
      <c r="D275" s="96"/>
      <c r="E275" s="75"/>
      <c r="F275" s="466"/>
    </row>
    <row r="276" spans="1:6" ht="13.8" thickBot="1" x14ac:dyDescent="0.3">
      <c r="A276" s="87"/>
      <c r="B276" s="88"/>
      <c r="C276" s="88"/>
      <c r="D276" s="98"/>
      <c r="E276" s="77"/>
      <c r="F276" s="4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68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6"/>
    </row>
    <row r="300" spans="1:6" x14ac:dyDescent="0.25">
      <c r="A300" s="87"/>
      <c r="B300" s="88"/>
      <c r="C300" s="88"/>
      <c r="D300" s="96"/>
      <c r="E300" s="75"/>
      <c r="F300" s="466"/>
    </row>
    <row r="301" spans="1:6" ht="13.8" thickBot="1" x14ac:dyDescent="0.3">
      <c r="A301" s="87"/>
      <c r="B301" s="88"/>
      <c r="C301" s="88"/>
      <c r="D301" s="98"/>
      <c r="E301" s="77"/>
      <c r="F301" s="4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68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6"/>
    </row>
    <row r="327" spans="1:6" x14ac:dyDescent="0.25">
      <c r="A327" s="87"/>
      <c r="B327" s="88"/>
      <c r="C327" s="88"/>
      <c r="D327" s="96"/>
      <c r="E327" s="75"/>
      <c r="F327" s="466"/>
    </row>
    <row r="328" spans="1:6" ht="13.8" thickBot="1" x14ac:dyDescent="0.3">
      <c r="A328" s="87"/>
      <c r="B328" s="88"/>
      <c r="C328" s="88"/>
      <c r="D328" s="98"/>
      <c r="E328" s="77"/>
      <c r="F328" s="4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workbookViewId="0">
      <selection activeCell="F42" sqref="F42:F48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5" width="9.5546875" bestFit="1" customWidth="1"/>
    <col min="6" max="6" width="9.88671875" bestFit="1" customWidth="1"/>
    <col min="7" max="8" width="9.5546875" bestFit="1" customWidth="1"/>
    <col min="11" max="11" width="11.88671875" bestFit="1" customWidth="1"/>
    <col min="12" max="13" width="10" bestFit="1" customWidth="1"/>
    <col min="14" max="14" width="9.44140625" bestFit="1" customWidth="1"/>
    <col min="16" max="16" width="12" bestFit="1" customWidth="1"/>
    <col min="19" max="20" width="10.5546875" bestFit="1" customWidth="1"/>
    <col min="21" max="21" width="9.33203125" bestFit="1" customWidth="1"/>
    <col min="23" max="23" width="11.44140625" bestFit="1" customWidth="1"/>
  </cols>
  <sheetData>
    <row r="1" spans="1:26" x14ac:dyDescent="0.25">
      <c r="B1">
        <v>52862</v>
      </c>
      <c r="D1">
        <v>6828</v>
      </c>
      <c r="F1">
        <v>6838</v>
      </c>
    </row>
    <row r="2" spans="1:26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5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5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5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5">
      <c r="A6">
        <v>4</v>
      </c>
      <c r="B6" s="90">
        <v>40684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-2609</v>
      </c>
      <c r="K6" t="s">
        <v>235</v>
      </c>
      <c r="R6" t="s">
        <v>236</v>
      </c>
    </row>
    <row r="7" spans="1:26" x14ac:dyDescent="0.25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5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5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5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5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5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5">
      <c r="A13">
        <v>11</v>
      </c>
      <c r="B13" s="90"/>
      <c r="C13" s="90"/>
      <c r="D13" s="90"/>
      <c r="E13" s="90"/>
      <c r="F13" s="90"/>
      <c r="G13" s="90"/>
      <c r="H13" s="90">
        <f t="shared" si="0"/>
        <v>0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5">
      <c r="A14">
        <v>12</v>
      </c>
      <c r="B14" s="88"/>
      <c r="C14" s="90"/>
      <c r="D14" s="88"/>
      <c r="E14" s="88"/>
      <c r="F14" s="88"/>
      <c r="G14" s="88"/>
      <c r="H14" s="90">
        <f t="shared" si="0"/>
        <v>0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5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5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6" t="s">
        <v>237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237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5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5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K18" s="446" t="s">
        <v>238</v>
      </c>
      <c r="L18" s="327"/>
      <c r="M18" s="327"/>
      <c r="N18" s="327">
        <v>19880</v>
      </c>
      <c r="O18" s="445"/>
      <c r="P18" s="445"/>
      <c r="Q18" s="445"/>
      <c r="R18" s="446" t="s">
        <v>238</v>
      </c>
      <c r="S18" s="327"/>
      <c r="T18" s="327"/>
      <c r="U18" s="327">
        <v>37185</v>
      </c>
      <c r="V18" s="445"/>
      <c r="W18" s="445"/>
    </row>
    <row r="19" spans="1:23" x14ac:dyDescent="0.25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5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5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5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5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5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5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5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5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5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5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5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5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5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5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5">
      <c r="B34" s="287">
        <f t="shared" ref="B34:H34" si="2">SUM(B3:B33)</f>
        <v>404129</v>
      </c>
      <c r="C34" s="287">
        <f t="shared" si="2"/>
        <v>404495</v>
      </c>
      <c r="D34" s="14">
        <f t="shared" si="2"/>
        <v>0</v>
      </c>
      <c r="E34" s="14">
        <f t="shared" si="2"/>
        <v>-1752</v>
      </c>
      <c r="F34" s="14">
        <f t="shared" si="2"/>
        <v>257685</v>
      </c>
      <c r="G34" s="14">
        <f t="shared" si="2"/>
        <v>246889</v>
      </c>
      <c r="H34" s="14">
        <f t="shared" si="2"/>
        <v>-12182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5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5">
      <c r="H36" s="593"/>
      <c r="O36" s="259"/>
      <c r="P36" s="259"/>
      <c r="Q36" s="259"/>
      <c r="V36" s="259"/>
      <c r="W36" s="259"/>
    </row>
    <row r="37" spans="1:23" x14ac:dyDescent="0.25">
      <c r="A37" s="256">
        <v>37287</v>
      </c>
      <c r="B37" s="14"/>
      <c r="C37" s="14"/>
      <c r="D37" s="14"/>
      <c r="E37" s="14"/>
      <c r="F37" s="14"/>
      <c r="G37" s="14"/>
      <c r="H37" s="588">
        <f>8222+127244</f>
        <v>135466</v>
      </c>
      <c r="O37" s="259"/>
      <c r="P37" s="259"/>
      <c r="Q37" s="259"/>
      <c r="V37" s="259"/>
      <c r="W37" s="259"/>
    </row>
    <row r="38" spans="1:23" x14ac:dyDescent="0.25">
      <c r="A38" s="554">
        <v>37297</v>
      </c>
      <c r="B38" s="14"/>
      <c r="C38" s="14"/>
      <c r="D38" s="14"/>
      <c r="E38" s="14"/>
      <c r="F38" s="14"/>
      <c r="G38" s="14"/>
      <c r="H38" s="150">
        <f>+H37+H34</f>
        <v>123284</v>
      </c>
      <c r="O38" s="259"/>
      <c r="P38" s="259"/>
      <c r="Q38" s="259"/>
    </row>
    <row r="39" spans="1:23" x14ac:dyDescent="0.25">
      <c r="H39" s="290"/>
      <c r="O39" s="259"/>
      <c r="P39" s="259"/>
      <c r="Q39" s="259"/>
    </row>
    <row r="40" spans="1:23" x14ac:dyDescent="0.25">
      <c r="H40" s="290"/>
      <c r="K40" s="344"/>
      <c r="O40" s="259"/>
      <c r="P40" s="259"/>
      <c r="Q40" s="259"/>
    </row>
    <row r="41" spans="1:23" x14ac:dyDescent="0.25">
      <c r="H41" s="290"/>
      <c r="K41" s="344"/>
      <c r="O41" s="259"/>
      <c r="P41" s="259"/>
      <c r="Q41" s="259"/>
    </row>
    <row r="42" spans="1:23" x14ac:dyDescent="0.25">
      <c r="A42" s="32" t="s">
        <v>150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5">
      <c r="A43" s="49">
        <f>+A37</f>
        <v>37287</v>
      </c>
      <c r="B43" s="32"/>
      <c r="C43" s="32"/>
      <c r="D43" s="585">
        <f>139025.55+196742</f>
        <v>335767.55</v>
      </c>
      <c r="F43" s="485">
        <v>338741</v>
      </c>
      <c r="H43" s="290"/>
      <c r="I43" s="31"/>
      <c r="K43" s="344"/>
      <c r="O43" s="259"/>
      <c r="P43" s="259"/>
      <c r="Q43" s="259"/>
    </row>
    <row r="44" spans="1:23" x14ac:dyDescent="0.25">
      <c r="A44" s="49">
        <f>+A38</f>
        <v>37297</v>
      </c>
      <c r="B44" s="32"/>
      <c r="C44" s="32"/>
      <c r="D44" s="374">
        <f>+H34*'by type_area'!G4</f>
        <v>-24973.1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5">
      <c r="A45" s="32"/>
      <c r="B45" s="32"/>
      <c r="C45" s="32"/>
      <c r="D45" s="200">
        <f>+D44+D43</f>
        <v>310794.45</v>
      </c>
      <c r="F45" s="200">
        <f>+F44+F43</f>
        <v>338741</v>
      </c>
      <c r="H45" s="290"/>
      <c r="K45" s="499"/>
      <c r="O45" s="259"/>
      <c r="P45" s="259"/>
      <c r="Q45" s="259"/>
    </row>
    <row r="46" spans="1:23" x14ac:dyDescent="0.25">
      <c r="H46" s="290"/>
      <c r="K46" s="344"/>
      <c r="O46" s="259"/>
      <c r="P46" s="259"/>
      <c r="Q46" s="259"/>
    </row>
    <row r="47" spans="1:23" x14ac:dyDescent="0.25">
      <c r="H47" s="290"/>
      <c r="O47" s="259"/>
      <c r="P47" s="259"/>
      <c r="Q47" s="259"/>
    </row>
    <row r="48" spans="1:23" x14ac:dyDescent="0.25">
      <c r="H48" s="290"/>
      <c r="O48" s="259"/>
      <c r="P48" s="259"/>
      <c r="Q48" s="259"/>
    </row>
    <row r="49" spans="15:17" x14ac:dyDescent="0.25">
      <c r="O49" s="259"/>
      <c r="P49" s="259"/>
      <c r="Q49" s="259"/>
    </row>
    <row r="50" spans="15:17" x14ac:dyDescent="0.25">
      <c r="O50" s="259"/>
      <c r="P50" s="259"/>
      <c r="Q50" s="259"/>
    </row>
    <row r="51" spans="15:17" x14ac:dyDescent="0.25">
      <c r="O51" s="259"/>
      <c r="P51" s="259"/>
      <c r="Q51" s="259"/>
    </row>
    <row r="52" spans="15:17" x14ac:dyDescent="0.25">
      <c r="O52" s="259"/>
      <c r="P52" s="259"/>
      <c r="Q52" s="259"/>
    </row>
    <row r="53" spans="15:17" x14ac:dyDescent="0.25">
      <c r="O53" s="259"/>
      <c r="P53" s="259"/>
      <c r="Q53" s="259"/>
    </row>
    <row r="54" spans="15:17" x14ac:dyDescent="0.25">
      <c r="O54" s="259"/>
      <c r="P54" s="259"/>
      <c r="Q54" s="259"/>
    </row>
    <row r="55" spans="15:17" x14ac:dyDescent="0.25">
      <c r="O55" s="259"/>
      <c r="P55" s="259"/>
      <c r="Q55" s="259"/>
    </row>
    <row r="56" spans="15:17" x14ac:dyDescent="0.25">
      <c r="O56" s="259"/>
      <c r="P56" s="259"/>
      <c r="Q56" s="259"/>
    </row>
    <row r="57" spans="15:17" x14ac:dyDescent="0.25">
      <c r="O57" s="259"/>
      <c r="P57" s="259"/>
      <c r="Q57" s="259"/>
    </row>
    <row r="58" spans="15:17" x14ac:dyDescent="0.25">
      <c r="O58" s="259"/>
      <c r="P58" s="259"/>
      <c r="Q58" s="259"/>
    </row>
    <row r="59" spans="15:17" x14ac:dyDescent="0.25">
      <c r="O59" s="259"/>
      <c r="P59" s="259"/>
      <c r="Q59" s="259"/>
    </row>
    <row r="60" spans="15:17" x14ac:dyDescent="0.25">
      <c r="O60" s="259"/>
      <c r="P60" s="259"/>
      <c r="Q60" s="259"/>
    </row>
    <row r="61" spans="15:17" x14ac:dyDescent="0.25">
      <c r="O61" s="259"/>
      <c r="P61" s="259"/>
      <c r="Q61" s="259"/>
    </row>
    <row r="62" spans="15:17" x14ac:dyDescent="0.25">
      <c r="O62" s="259"/>
      <c r="P62" s="259"/>
      <c r="Q62" s="259"/>
    </row>
    <row r="63" spans="15:17" x14ac:dyDescent="0.25">
      <c r="O63" s="259"/>
      <c r="P63" s="259"/>
      <c r="Q63" s="259"/>
    </row>
    <row r="64" spans="15:17" x14ac:dyDescent="0.25">
      <c r="O64" s="259"/>
      <c r="P64" s="259"/>
      <c r="Q64" s="259"/>
    </row>
    <row r="65" spans="15:17" x14ac:dyDescent="0.25">
      <c r="O65" s="259"/>
      <c r="P65" s="259"/>
      <c r="Q65" s="259"/>
    </row>
    <row r="66" spans="15:17" x14ac:dyDescent="0.25">
      <c r="O66" s="259"/>
      <c r="P66" s="259"/>
      <c r="Q66" s="259"/>
    </row>
    <row r="67" spans="15:17" x14ac:dyDescent="0.25">
      <c r="O67" s="259"/>
      <c r="P67" s="259"/>
      <c r="Q67" s="259"/>
    </row>
    <row r="68" spans="15:17" x14ac:dyDescent="0.25">
      <c r="O68" s="259"/>
      <c r="P68" s="259"/>
      <c r="Q68" s="259"/>
    </row>
    <row r="69" spans="15:17" x14ac:dyDescent="0.25">
      <c r="O69" s="259"/>
      <c r="P69" s="259"/>
      <c r="Q69" s="259"/>
    </row>
    <row r="70" spans="15:17" x14ac:dyDescent="0.25">
      <c r="O70" s="259"/>
      <c r="P70" s="259"/>
      <c r="Q70" s="259"/>
    </row>
    <row r="71" spans="15:17" x14ac:dyDescent="0.25">
      <c r="O71" s="259"/>
      <c r="P71" s="259"/>
      <c r="Q71" s="259"/>
    </row>
    <row r="72" spans="15:17" x14ac:dyDescent="0.25">
      <c r="O72" s="259"/>
      <c r="P72" s="259"/>
      <c r="Q72" s="259"/>
    </row>
    <row r="73" spans="15:17" x14ac:dyDescent="0.25">
      <c r="O73" s="259"/>
      <c r="P73" s="259"/>
      <c r="Q73" s="259"/>
    </row>
    <row r="74" spans="15:17" x14ac:dyDescent="0.25">
      <c r="O74" s="259"/>
      <c r="P74" s="259"/>
      <c r="Q74" s="259"/>
    </row>
    <row r="75" spans="15:17" x14ac:dyDescent="0.25">
      <c r="O75" s="259"/>
      <c r="P75" s="259"/>
      <c r="Q75" s="259"/>
    </row>
    <row r="76" spans="15:17" x14ac:dyDescent="0.25">
      <c r="O76" s="259"/>
      <c r="P76" s="259"/>
      <c r="Q76" s="259"/>
    </row>
    <row r="77" spans="15:17" x14ac:dyDescent="0.25">
      <c r="O77" s="259"/>
      <c r="P77" s="259"/>
      <c r="Q77" s="259"/>
    </row>
    <row r="78" spans="15:17" x14ac:dyDescent="0.25">
      <c r="O78" s="259"/>
      <c r="P78" s="259"/>
      <c r="Q78" s="259"/>
    </row>
    <row r="79" spans="15:17" x14ac:dyDescent="0.25">
      <c r="O79" s="259"/>
      <c r="P79" s="259"/>
      <c r="Q79" s="259"/>
    </row>
    <row r="80" spans="15:17" x14ac:dyDescent="0.25">
      <c r="O80" s="259"/>
      <c r="P80" s="259"/>
      <c r="Q80" s="259"/>
    </row>
    <row r="81" spans="15:17" x14ac:dyDescent="0.25">
      <c r="O81" s="259"/>
      <c r="P81" s="259"/>
      <c r="Q81" s="259"/>
    </row>
    <row r="82" spans="15:17" x14ac:dyDescent="0.25">
      <c r="O82" s="259"/>
      <c r="P82" s="259"/>
      <c r="Q82" s="259"/>
    </row>
    <row r="83" spans="15:17" x14ac:dyDescent="0.25">
      <c r="O83" s="259"/>
      <c r="P83" s="259"/>
      <c r="Q83" s="259"/>
    </row>
    <row r="84" spans="15:17" x14ac:dyDescent="0.25">
      <c r="O84" s="259"/>
      <c r="P84" s="259"/>
      <c r="Q84" s="259"/>
    </row>
    <row r="85" spans="15:17" x14ac:dyDescent="0.25">
      <c r="O85" s="259"/>
      <c r="P85" s="259"/>
      <c r="Q85" s="259"/>
    </row>
    <row r="86" spans="15:17" x14ac:dyDescent="0.25">
      <c r="O86" s="259"/>
      <c r="P86" s="259"/>
      <c r="Q86" s="259"/>
    </row>
    <row r="87" spans="15:17" x14ac:dyDescent="0.25">
      <c r="O87" s="259"/>
      <c r="P87" s="259"/>
      <c r="Q87" s="259"/>
    </row>
    <row r="88" spans="15:17" x14ac:dyDescent="0.25">
      <c r="O88" s="259"/>
      <c r="P88" s="259"/>
      <c r="Q88" s="259"/>
    </row>
    <row r="89" spans="15:17" x14ac:dyDescent="0.25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9" workbookViewId="0">
      <selection activeCell="A49" sqref="A49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5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5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5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5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5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5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5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5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8" x14ac:dyDescent="0.25">
      <c r="A17" s="10">
        <v>14</v>
      </c>
      <c r="B17" s="11"/>
      <c r="C17" s="11"/>
      <c r="D17" s="25">
        <f t="shared" si="0"/>
        <v>0</v>
      </c>
    </row>
    <row r="18" spans="1:8" x14ac:dyDescent="0.25">
      <c r="A18" s="10">
        <v>15</v>
      </c>
      <c r="B18" s="11"/>
      <c r="C18" s="11"/>
      <c r="D18" s="25">
        <f t="shared" si="0"/>
        <v>0</v>
      </c>
    </row>
    <row r="19" spans="1:8" x14ac:dyDescent="0.25">
      <c r="A19" s="10">
        <v>16</v>
      </c>
      <c r="B19" s="11"/>
      <c r="C19" s="11"/>
      <c r="D19" s="25">
        <f t="shared" si="0"/>
        <v>0</v>
      </c>
    </row>
    <row r="20" spans="1:8" x14ac:dyDescent="0.25">
      <c r="A20" s="10">
        <v>17</v>
      </c>
      <c r="B20" s="11"/>
      <c r="C20" s="11"/>
      <c r="D20" s="25">
        <f t="shared" si="0"/>
        <v>0</v>
      </c>
    </row>
    <row r="21" spans="1:8" x14ac:dyDescent="0.25">
      <c r="A21" s="10">
        <v>18</v>
      </c>
      <c r="B21" s="11"/>
      <c r="C21" s="11"/>
      <c r="D21" s="25">
        <f t="shared" si="0"/>
        <v>0</v>
      </c>
    </row>
    <row r="22" spans="1:8" x14ac:dyDescent="0.25">
      <c r="A22" s="10">
        <v>19</v>
      </c>
      <c r="B22" s="11"/>
      <c r="C22" s="11"/>
      <c r="D22" s="25">
        <f t="shared" si="0"/>
        <v>0</v>
      </c>
    </row>
    <row r="23" spans="1:8" x14ac:dyDescent="0.25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5">
      <c r="A24" s="10">
        <v>21</v>
      </c>
      <c r="B24" s="11"/>
      <c r="C24" s="11"/>
      <c r="D24" s="25">
        <f t="shared" si="0"/>
        <v>0</v>
      </c>
      <c r="F24" s="25"/>
    </row>
    <row r="25" spans="1:8" x14ac:dyDescent="0.25">
      <c r="A25" s="10">
        <v>22</v>
      </c>
      <c r="B25" s="11"/>
      <c r="C25" s="11"/>
      <c r="D25" s="25">
        <f t="shared" si="0"/>
        <v>0</v>
      </c>
      <c r="F25" s="25"/>
    </row>
    <row r="26" spans="1:8" x14ac:dyDescent="0.25">
      <c r="A26" s="10">
        <v>23</v>
      </c>
      <c r="B26" s="11"/>
      <c r="C26" s="11"/>
      <c r="D26" s="25">
        <f t="shared" si="0"/>
        <v>0</v>
      </c>
      <c r="F26" s="25"/>
    </row>
    <row r="27" spans="1:8" x14ac:dyDescent="0.25">
      <c r="A27" s="10">
        <v>24</v>
      </c>
      <c r="B27" s="11"/>
      <c r="C27" s="11"/>
      <c r="D27" s="25">
        <f t="shared" si="0"/>
        <v>0</v>
      </c>
    </row>
    <row r="28" spans="1:8" x14ac:dyDescent="0.25">
      <c r="A28" s="10">
        <v>25</v>
      </c>
      <c r="B28" s="11"/>
      <c r="C28" s="11"/>
      <c r="D28" s="25">
        <f t="shared" si="0"/>
        <v>0</v>
      </c>
    </row>
    <row r="29" spans="1:8" x14ac:dyDescent="0.25">
      <c r="A29" s="10">
        <v>26</v>
      </c>
      <c r="B29" s="11"/>
      <c r="C29" s="11"/>
      <c r="D29" s="25">
        <f t="shared" si="0"/>
        <v>0</v>
      </c>
    </row>
    <row r="30" spans="1:8" x14ac:dyDescent="0.25">
      <c r="A30" s="10">
        <v>27</v>
      </c>
      <c r="B30" s="11"/>
      <c r="C30" s="11"/>
      <c r="D30" s="25">
        <f t="shared" si="0"/>
        <v>0</v>
      </c>
    </row>
    <row r="31" spans="1:8" x14ac:dyDescent="0.25">
      <c r="A31" s="10">
        <v>28</v>
      </c>
      <c r="B31" s="11"/>
      <c r="C31" s="11"/>
      <c r="D31" s="25">
        <f t="shared" si="0"/>
        <v>0</v>
      </c>
    </row>
    <row r="32" spans="1:8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-184374</v>
      </c>
      <c r="C35" s="11">
        <f>SUM(C4:C34)</f>
        <v>-179084</v>
      </c>
      <c r="D35" s="11">
        <f>SUM(D4:D34)</f>
        <v>5290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37287</v>
      </c>
      <c r="D38" s="489">
        <v>177959</v>
      </c>
    </row>
    <row r="39" spans="1:4" x14ac:dyDescent="0.25">
      <c r="A39" s="2"/>
      <c r="D39" s="24"/>
    </row>
    <row r="40" spans="1:4" x14ac:dyDescent="0.25">
      <c r="A40" s="57">
        <v>37296</v>
      </c>
      <c r="D40" s="51">
        <f>+D38+D35</f>
        <v>183249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37287</v>
      </c>
      <c r="B45" s="32"/>
      <c r="C45" s="32"/>
      <c r="D45" s="488">
        <v>181376</v>
      </c>
    </row>
    <row r="46" spans="1:4" x14ac:dyDescent="0.25">
      <c r="A46" s="49">
        <f>+A40</f>
        <v>37296</v>
      </c>
      <c r="B46" s="32"/>
      <c r="C46" s="32"/>
      <c r="D46" s="374">
        <f>+D35*'by type_area'!G4</f>
        <v>10844.499999999998</v>
      </c>
    </row>
    <row r="47" spans="1:4" x14ac:dyDescent="0.25">
      <c r="A47" s="32"/>
      <c r="B47" s="32"/>
      <c r="C47" s="32"/>
      <c r="D47" s="200">
        <f>+D46+D45</f>
        <v>192220.5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2" workbookViewId="0">
      <selection activeCell="C52" sqref="C5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/>
      <c r="G8" s="11"/>
      <c r="H8" s="11">
        <v>6285</v>
      </c>
      <c r="I8" s="11">
        <v>7000</v>
      </c>
      <c r="J8" s="11">
        <f t="shared" si="0"/>
        <v>787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78872</v>
      </c>
      <c r="C35" s="11">
        <f t="shared" ref="C35:I35" si="1">SUM(C4:C34)</f>
        <v>77000</v>
      </c>
      <c r="D35" s="11">
        <f t="shared" si="1"/>
        <v>77593</v>
      </c>
      <c r="E35" s="11">
        <f t="shared" si="1"/>
        <v>80000</v>
      </c>
      <c r="F35" s="11">
        <f t="shared" si="1"/>
        <v>0</v>
      </c>
      <c r="G35" s="11">
        <f t="shared" si="1"/>
        <v>3500</v>
      </c>
      <c r="H35" s="11">
        <f t="shared" si="1"/>
        <v>36609</v>
      </c>
      <c r="I35" s="11">
        <f t="shared" si="1"/>
        <v>38500</v>
      </c>
      <c r="J35" s="11">
        <f>SUM(J4:J34)</f>
        <v>5926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2.0499999999999998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12148.3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37287</v>
      </c>
      <c r="C39" s="25"/>
      <c r="E39" s="25"/>
      <c r="G39" s="25"/>
      <c r="I39" s="25"/>
      <c r="J39" s="485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37297</v>
      </c>
      <c r="J41" s="319">
        <f>+J39+J37</f>
        <v>30994.91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37287</v>
      </c>
      <c r="B46" s="32"/>
      <c r="C46" s="32"/>
      <c r="D46" s="486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37297</v>
      </c>
      <c r="B47" s="32"/>
      <c r="C47" s="32"/>
      <c r="D47" s="349">
        <f>+J35</f>
        <v>5926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-112732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D46" sqref="D46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305</v>
      </c>
      <c r="H4" s="14" t="s">
        <v>304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303</v>
      </c>
      <c r="I5" s="14" t="s">
        <v>306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-12127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-3520</v>
      </c>
      <c r="H9" s="14">
        <v>-19935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>
        <v>0</v>
      </c>
      <c r="H10" s="14">
        <v>-14532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0</v>
      </c>
      <c r="H11" s="14">
        <v>-10057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>
        <v>0</v>
      </c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>
        <v>0</v>
      </c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0</v>
      </c>
      <c r="H16" s="14">
        <v>-25098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0</v>
      </c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-2931</v>
      </c>
      <c r="H18" s="14">
        <v>-11558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0</v>
      </c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-14217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-28277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-28905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-19350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-14323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-18186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-13798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23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-14811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-16076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2.0499999999999998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80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37287</v>
      </c>
      <c r="E41" s="14"/>
      <c r="F41" s="104">
        <f>+F40+F39</f>
        <v>329520.2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79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37287</v>
      </c>
      <c r="B47" s="32"/>
      <c r="C47" s="32"/>
      <c r="D47" s="349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-36982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4" workbookViewId="0">
      <selection activeCell="E18" sqref="E18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5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5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5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5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5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5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5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833</v>
      </c>
      <c r="F39" s="25">
        <f>SUM(F8:F38)</f>
        <v>833</v>
      </c>
    </row>
    <row r="40" spans="1:6" x14ac:dyDescent="0.25">
      <c r="A40" s="26"/>
      <c r="C40" s="14"/>
      <c r="F40" s="253">
        <f>+summary!G4</f>
        <v>2.0499999999999998</v>
      </c>
    </row>
    <row r="41" spans="1:6" x14ac:dyDescent="0.25">
      <c r="F41" s="138">
        <f>+F40*F39</f>
        <v>1707.6499999999999</v>
      </c>
    </row>
    <row r="42" spans="1:6" x14ac:dyDescent="0.25">
      <c r="A42" s="57">
        <v>37287</v>
      </c>
      <c r="C42" s="15"/>
      <c r="F42" s="582">
        <v>42790.44</v>
      </c>
    </row>
    <row r="43" spans="1:6" x14ac:dyDescent="0.25">
      <c r="A43" s="57">
        <v>37297</v>
      </c>
      <c r="C43" s="48"/>
      <c r="F43" s="138">
        <f>+F42+F41</f>
        <v>44498.090000000004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37287</v>
      </c>
      <c r="B48" s="32"/>
      <c r="C48" s="32"/>
      <c r="D48" s="486">
        <v>4581</v>
      </c>
    </row>
    <row r="49" spans="1:4" x14ac:dyDescent="0.25">
      <c r="A49" s="49">
        <f>+A43</f>
        <v>37297</v>
      </c>
      <c r="B49" s="32"/>
      <c r="C49" s="32"/>
      <c r="D49" s="349">
        <f>+F39</f>
        <v>833</v>
      </c>
    </row>
    <row r="50" spans="1:4" x14ac:dyDescent="0.25">
      <c r="A50" s="32"/>
      <c r="B50" s="32"/>
      <c r="C50" s="32"/>
      <c r="D50" s="14">
        <f>+D49+D48</f>
        <v>5414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49"/>
    </row>
    <row r="41" spans="1:4" x14ac:dyDescent="0.25">
      <c r="A41" s="57">
        <v>37287</v>
      </c>
      <c r="C41" s="15"/>
      <c r="D41" s="456">
        <v>17587</v>
      </c>
    </row>
    <row r="42" spans="1:4" x14ac:dyDescent="0.25">
      <c r="A42" s="57">
        <v>37290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37287</v>
      </c>
      <c r="B47" s="32"/>
      <c r="C47" s="32"/>
      <c r="D47" s="459">
        <v>385897</v>
      </c>
    </row>
    <row r="48" spans="1:4" x14ac:dyDescent="0.25">
      <c r="A48" s="49">
        <f>+A42</f>
        <v>37290</v>
      </c>
      <c r="B48" s="32"/>
      <c r="C48" s="32"/>
      <c r="D48" s="374">
        <f>+D39*summary!G4</f>
        <v>0</v>
      </c>
    </row>
    <row r="49" spans="1:4" x14ac:dyDescent="0.25">
      <c r="A49" s="32"/>
      <c r="B49" s="32"/>
      <c r="C49" s="32"/>
      <c r="D49" s="200">
        <f>+D48+D47</f>
        <v>385897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3" workbookViewId="0">
      <selection activeCell="B38" sqref="B38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5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-42172</v>
      </c>
      <c r="C11" s="11">
        <v>-42972</v>
      </c>
      <c r="D11" s="25">
        <f t="shared" si="0"/>
        <v>-800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5">
      <c r="A16" s="10">
        <v>11</v>
      </c>
      <c r="B16" s="11"/>
      <c r="C16" s="11"/>
      <c r="D16" s="25">
        <f t="shared" si="0"/>
        <v>0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-543166</v>
      </c>
      <c r="I19" s="119">
        <f>+C37</f>
        <v>-522572</v>
      </c>
      <c r="J19" s="119">
        <f>+I19-H19</f>
        <v>20594</v>
      </c>
      <c r="K19" s="411">
        <f>+D38</f>
        <v>2.0499999999999998</v>
      </c>
      <c r="L19" s="416">
        <f>+K19*J19</f>
        <v>42217.7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151086</v>
      </c>
      <c r="K24" s="407"/>
      <c r="L24" s="110">
        <f>+L19+L17</f>
        <v>123902.79999999983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07"/>
      <c r="L26" s="24">
        <f>+L24/K19</f>
        <v>60440.390243902359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-543166</v>
      </c>
      <c r="C37" s="11">
        <f>SUM(C6:C36)</f>
        <v>-522572</v>
      </c>
      <c r="D37" s="25">
        <f>SUM(D6:D36)</f>
        <v>20594</v>
      </c>
    </row>
    <row r="38" spans="1:4" x14ac:dyDescent="0.25">
      <c r="A38" s="26"/>
      <c r="C38" s="14"/>
      <c r="D38" s="326">
        <f>+summary!G4</f>
        <v>2.0499999999999998</v>
      </c>
    </row>
    <row r="39" spans="1:4" x14ac:dyDescent="0.25">
      <c r="D39" s="138">
        <f>+D38*D37</f>
        <v>42217.7</v>
      </c>
    </row>
    <row r="40" spans="1:4" x14ac:dyDescent="0.25">
      <c r="A40" s="57">
        <v>37287</v>
      </c>
      <c r="C40" s="15"/>
      <c r="D40" s="602">
        <v>-2220</v>
      </c>
    </row>
    <row r="41" spans="1:4" x14ac:dyDescent="0.25">
      <c r="A41" s="57">
        <v>37297</v>
      </c>
      <c r="C41" s="48"/>
      <c r="D41" s="138">
        <f>+D40+D39</f>
        <v>39997.699999999997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603">
        <v>86032</v>
      </c>
    </row>
    <row r="46" spans="1:4" x14ac:dyDescent="0.25">
      <c r="A46" s="49">
        <f>+A41</f>
        <v>37297</v>
      </c>
      <c r="B46" s="32"/>
      <c r="C46" s="32"/>
      <c r="D46" s="349">
        <f>+D37</f>
        <v>20594</v>
      </c>
    </row>
    <row r="47" spans="1:4" x14ac:dyDescent="0.25">
      <c r="A47" s="32"/>
      <c r="B47" s="32"/>
      <c r="C47" s="32"/>
      <c r="D47" s="14">
        <f>+D46+D45</f>
        <v>106626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2" workbookViewId="0">
      <selection activeCell="A42" sqref="A42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/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5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5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5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5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5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5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5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5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5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336399</v>
      </c>
      <c r="C37" s="11">
        <f>SUM(C6:C36)</f>
        <v>355056</v>
      </c>
      <c r="D37" s="25">
        <f>SUM(D6:D36)</f>
        <v>18657</v>
      </c>
    </row>
    <row r="38" spans="1:4" x14ac:dyDescent="0.25">
      <c r="A38" s="26"/>
      <c r="B38" s="31"/>
      <c r="C38" s="14"/>
      <c r="D38" s="326">
        <f>+summary!G5</f>
        <v>2.06</v>
      </c>
    </row>
    <row r="39" spans="1:4" x14ac:dyDescent="0.25">
      <c r="D39" s="138">
        <f>+D38*D37</f>
        <v>38433.42</v>
      </c>
    </row>
    <row r="40" spans="1:4" x14ac:dyDescent="0.25">
      <c r="A40" s="57">
        <v>37287</v>
      </c>
      <c r="C40" s="15"/>
      <c r="D40" s="602">
        <v>100916</v>
      </c>
    </row>
    <row r="41" spans="1:4" x14ac:dyDescent="0.25">
      <c r="A41" s="57">
        <v>37297</v>
      </c>
      <c r="C41" s="48"/>
      <c r="D41" s="138">
        <f>+D40+D39</f>
        <v>139349.41999999998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603">
        <v>62232</v>
      </c>
    </row>
    <row r="46" spans="1:4" x14ac:dyDescent="0.25">
      <c r="A46" s="49">
        <f>+A41</f>
        <v>37297</v>
      </c>
      <c r="B46" s="32"/>
      <c r="C46" s="32"/>
      <c r="D46" s="349">
        <f>+D37</f>
        <v>18657</v>
      </c>
    </row>
    <row r="47" spans="1:4" x14ac:dyDescent="0.25">
      <c r="A47" s="32"/>
      <c r="B47" s="32"/>
      <c r="C47" s="32"/>
      <c r="D47" s="14">
        <f>+D46+D45</f>
        <v>80889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4" workbookViewId="0">
      <selection activeCell="D47" sqref="D47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6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249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80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3166713</v>
      </c>
      <c r="C35" s="11">
        <f t="shared" ref="C35:I35" si="3">SUM(C4:C34)</f>
        <v>3180603</v>
      </c>
      <c r="D35" s="11">
        <f t="shared" si="3"/>
        <v>322205</v>
      </c>
      <c r="E35" s="11">
        <f t="shared" si="3"/>
        <v>321957</v>
      </c>
      <c r="F35" s="11">
        <f t="shared" si="3"/>
        <v>395908</v>
      </c>
      <c r="G35" s="11">
        <f t="shared" si="3"/>
        <v>392772</v>
      </c>
      <c r="H35" s="11">
        <f t="shared" si="3"/>
        <v>1243048</v>
      </c>
      <c r="I35" s="11">
        <f t="shared" si="3"/>
        <v>1219892</v>
      </c>
      <c r="J35" s="11">
        <f>SUM(J4:J34)</f>
        <v>-12650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5">
      <c r="A38" s="56">
        <v>37287</v>
      </c>
      <c r="C38" s="25"/>
      <c r="E38" s="25"/>
      <c r="G38" s="25"/>
      <c r="I38" s="25"/>
      <c r="J38" s="583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5">
      <c r="A40" s="33">
        <v>37297</v>
      </c>
      <c r="J40" s="51">
        <f>+J38+J35</f>
        <v>-12650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37287</v>
      </c>
      <c r="B46" s="32"/>
      <c r="C46" s="32"/>
      <c r="D46" s="586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37297</v>
      </c>
      <c r="B47" s="32"/>
      <c r="C47" s="32"/>
      <c r="D47" s="374">
        <f>+J35*'by type_area'!G3</f>
        <v>-26059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-26059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5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5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8"/>
      <c r="S295" s="1"/>
    </row>
    <row r="296" spans="9:21" x14ac:dyDescent="0.25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8"/>
      <c r="S337" s="1"/>
    </row>
    <row r="338" spans="11:21" x14ac:dyDescent="0.25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8"/>
      <c r="S379" s="1"/>
    </row>
    <row r="380" spans="11:21" x14ac:dyDescent="0.25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8"/>
      <c r="S423" s="1"/>
    </row>
    <row r="424" spans="11:21" x14ac:dyDescent="0.25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4" workbookViewId="0">
      <selection activeCell="A17" sqref="A17"/>
    </sheetView>
  </sheetViews>
  <sheetFormatPr defaultRowHeight="13.2" x14ac:dyDescent="0.25"/>
  <sheetData>
    <row r="3" spans="1:6" ht="13.8" x14ac:dyDescent="0.25">
      <c r="A3" s="134"/>
      <c r="B3" s="34" t="s">
        <v>131</v>
      </c>
    </row>
    <row r="4" spans="1:6" x14ac:dyDescent="0.25">
      <c r="A4" s="3"/>
      <c r="B4" s="59" t="s">
        <v>132</v>
      </c>
      <c r="D4" s="1"/>
    </row>
    <row r="5" spans="1:6" x14ac:dyDescent="0.25">
      <c r="A5" s="5" t="s">
        <v>10</v>
      </c>
      <c r="B5" s="6" t="s">
        <v>19</v>
      </c>
      <c r="C5" s="6" t="s">
        <v>20</v>
      </c>
    </row>
    <row r="6" spans="1:6" x14ac:dyDescent="0.25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5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5">
      <c r="A8" s="10">
        <v>3</v>
      </c>
      <c r="B8" s="11">
        <v>45365</v>
      </c>
      <c r="C8" s="11">
        <v>45393</v>
      </c>
      <c r="D8" s="25">
        <f t="shared" si="0"/>
        <v>28</v>
      </c>
      <c r="F8" s="570"/>
    </row>
    <row r="9" spans="1:6" x14ac:dyDescent="0.25">
      <c r="A9" s="10">
        <v>4</v>
      </c>
      <c r="B9" s="11">
        <v>45289</v>
      </c>
      <c r="C9" s="11">
        <v>45501</v>
      </c>
      <c r="D9" s="25">
        <f t="shared" si="0"/>
        <v>212</v>
      </c>
      <c r="F9" s="570"/>
    </row>
    <row r="10" spans="1:6" x14ac:dyDescent="0.25">
      <c r="A10" s="10">
        <v>5</v>
      </c>
      <c r="B10" s="11">
        <v>29956</v>
      </c>
      <c r="C10" s="11">
        <v>32422</v>
      </c>
      <c r="D10" s="25">
        <f t="shared" si="0"/>
        <v>2466</v>
      </c>
      <c r="F10" s="571"/>
    </row>
    <row r="11" spans="1:6" x14ac:dyDescent="0.25">
      <c r="A11" s="10">
        <v>6</v>
      </c>
      <c r="B11" s="11"/>
      <c r="C11" s="11"/>
      <c r="D11" s="25">
        <f t="shared" si="0"/>
        <v>0</v>
      </c>
      <c r="F11" s="571"/>
    </row>
    <row r="12" spans="1:6" x14ac:dyDescent="0.25">
      <c r="A12" s="10">
        <v>7</v>
      </c>
      <c r="B12" s="11"/>
      <c r="C12" s="11"/>
      <c r="D12" s="25">
        <f t="shared" si="0"/>
        <v>0</v>
      </c>
      <c r="F12" s="571"/>
    </row>
    <row r="13" spans="1:6" x14ac:dyDescent="0.25">
      <c r="A13" s="10">
        <v>8</v>
      </c>
      <c r="B13" s="11"/>
      <c r="C13" s="11"/>
      <c r="D13" s="25">
        <f t="shared" si="0"/>
        <v>0</v>
      </c>
      <c r="F13" s="571"/>
    </row>
    <row r="14" spans="1:6" x14ac:dyDescent="0.25">
      <c r="A14" s="10">
        <v>9</v>
      </c>
      <c r="B14" s="11"/>
      <c r="C14" s="11"/>
      <c r="D14" s="25">
        <f t="shared" si="0"/>
        <v>0</v>
      </c>
    </row>
    <row r="15" spans="1:6" x14ac:dyDescent="0.25">
      <c r="A15" s="10">
        <v>10</v>
      </c>
      <c r="B15" s="11"/>
      <c r="C15" s="11"/>
      <c r="D15" s="25">
        <f t="shared" si="0"/>
        <v>0</v>
      </c>
    </row>
    <row r="16" spans="1:6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212101</v>
      </c>
      <c r="C37" s="11">
        <f>SUM(C6:C36)</f>
        <v>214942</v>
      </c>
      <c r="D37" s="25">
        <f>SUM(D6:D36)</f>
        <v>2841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5852.46</v>
      </c>
    </row>
    <row r="40" spans="1:4" x14ac:dyDescent="0.25">
      <c r="A40" s="57">
        <v>37287</v>
      </c>
      <c r="C40" s="15"/>
      <c r="D40" s="521">
        <v>4386</v>
      </c>
    </row>
    <row r="41" spans="1:4" x14ac:dyDescent="0.25">
      <c r="A41" s="57">
        <v>37292</v>
      </c>
      <c r="C41" s="48"/>
      <c r="D41" s="138">
        <f>+D40+D39</f>
        <v>10238.459999999999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16">
        <v>1925</v>
      </c>
    </row>
    <row r="47" spans="1:4" x14ac:dyDescent="0.25">
      <c r="A47" s="49">
        <f>+A41</f>
        <v>37292</v>
      </c>
      <c r="B47" s="32"/>
      <c r="C47" s="32"/>
      <c r="D47" s="349">
        <f>+D37</f>
        <v>2841</v>
      </c>
    </row>
    <row r="48" spans="1:4" x14ac:dyDescent="0.25">
      <c r="A48" s="32"/>
      <c r="B48" s="32"/>
      <c r="C48" s="32"/>
      <c r="D48" s="14">
        <f>+D47+D46</f>
        <v>4766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2" workbookViewId="0">
      <selection activeCell="D48" sqref="D48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5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5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5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5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5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5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5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174</v>
      </c>
      <c r="M13" s="189"/>
    </row>
    <row r="14" spans="1:13" x14ac:dyDescent="0.25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5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-9442</v>
      </c>
      <c r="C37" s="11">
        <f>SUM(C6:C36)</f>
        <v>-5248</v>
      </c>
      <c r="D37" s="25">
        <f>SUM(D6:D36)</f>
        <v>4194</v>
      </c>
    </row>
    <row r="38" spans="1:4" x14ac:dyDescent="0.25">
      <c r="A38" s="26"/>
      <c r="C38" s="14"/>
      <c r="D38" s="326">
        <f>+summary!G4</f>
        <v>2.0499999999999998</v>
      </c>
    </row>
    <row r="39" spans="1:4" x14ac:dyDescent="0.25">
      <c r="D39" s="138">
        <f>+D38*D37</f>
        <v>8597.6999999999989</v>
      </c>
    </row>
    <row r="40" spans="1:4" x14ac:dyDescent="0.25">
      <c r="A40" s="57">
        <v>37287</v>
      </c>
      <c r="C40" s="15"/>
      <c r="D40" s="582">
        <v>-292829</v>
      </c>
    </row>
    <row r="41" spans="1:4" x14ac:dyDescent="0.25">
      <c r="A41" s="57">
        <v>37296</v>
      </c>
      <c r="C41" s="48"/>
      <c r="D41" s="138">
        <f>+D40+D39</f>
        <v>-284231.3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37287</v>
      </c>
      <c r="B48" s="32"/>
      <c r="C48" s="32"/>
      <c r="D48" s="579">
        <v>-14344</v>
      </c>
    </row>
    <row r="49" spans="1:4" x14ac:dyDescent="0.25">
      <c r="A49" s="49">
        <f>+A41</f>
        <v>37296</v>
      </c>
      <c r="B49" s="32"/>
      <c r="C49" s="32"/>
      <c r="D49" s="349">
        <f>+D37</f>
        <v>4194</v>
      </c>
    </row>
    <row r="50" spans="1:4" x14ac:dyDescent="0.25">
      <c r="A50" s="32"/>
      <c r="B50" s="32"/>
      <c r="C50" s="32"/>
      <c r="D50" s="14">
        <f>+D49+D48</f>
        <v>-10150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2" workbookViewId="0">
      <selection activeCell="D46" sqref="D4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5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5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5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5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5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-362603</v>
      </c>
      <c r="C37" s="11">
        <f>SUM(C6:C36)</f>
        <v>-349297</v>
      </c>
      <c r="D37" s="25">
        <f>SUM(D6:D36)</f>
        <v>13306</v>
      </c>
    </row>
    <row r="38" spans="1:4" x14ac:dyDescent="0.25">
      <c r="A38" s="26"/>
      <c r="C38" s="14"/>
      <c r="D38" s="326">
        <f>+summary!G4</f>
        <v>2.0499999999999998</v>
      </c>
    </row>
    <row r="39" spans="1:4" x14ac:dyDescent="0.25">
      <c r="D39" s="138">
        <f>+D38*D37</f>
        <v>27277.3</v>
      </c>
    </row>
    <row r="40" spans="1:4" x14ac:dyDescent="0.25">
      <c r="A40" s="57">
        <v>37287</v>
      </c>
      <c r="C40" s="15"/>
      <c r="D40" s="582">
        <v>23627.8</v>
      </c>
    </row>
    <row r="41" spans="1:4" x14ac:dyDescent="0.25">
      <c r="A41" s="57">
        <v>37293</v>
      </c>
      <c r="C41" s="48"/>
      <c r="D41" s="138">
        <f>+D40+D39</f>
        <v>50905.1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79">
        <v>14942</v>
      </c>
    </row>
    <row r="47" spans="1:4" x14ac:dyDescent="0.25">
      <c r="A47" s="49">
        <f>+A41</f>
        <v>37293</v>
      </c>
      <c r="B47" s="32"/>
      <c r="C47" s="32"/>
      <c r="D47" s="349">
        <f>+D37</f>
        <v>13306</v>
      </c>
    </row>
    <row r="48" spans="1:4" x14ac:dyDescent="0.25">
      <c r="A48" s="32"/>
      <c r="B48" s="32"/>
      <c r="C48" s="32"/>
      <c r="D48" s="14">
        <f>+D47+D46</f>
        <v>28248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C6" sqref="C6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>
        <v>-3</v>
      </c>
      <c r="C5" s="90">
        <v>-1260</v>
      </c>
      <c r="D5" s="90">
        <f>+C5-B5</f>
        <v>-1257</v>
      </c>
      <c r="E5" s="275"/>
      <c r="F5" s="273"/>
    </row>
    <row r="6" spans="1:13" x14ac:dyDescent="0.25">
      <c r="A6" s="87">
        <v>500046</v>
      </c>
      <c r="B6" s="90">
        <v>-6064</v>
      </c>
      <c r="C6" s="90"/>
      <c r="D6" s="90">
        <f t="shared" ref="D6:D11" si="0">+C6-B6</f>
        <v>6064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f>-9480-1050</f>
        <v>-10530</v>
      </c>
      <c r="C8" s="90">
        <v>-17120</v>
      </c>
      <c r="D8" s="90">
        <f t="shared" si="0"/>
        <v>-6590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-1783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2.0499999999999998</v>
      </c>
      <c r="E13" s="277"/>
      <c r="F13" s="273"/>
    </row>
    <row r="14" spans="1:13" x14ac:dyDescent="0.25">
      <c r="A14" s="87"/>
      <c r="B14" s="88"/>
      <c r="C14" s="88"/>
      <c r="D14" s="96">
        <f>+D13*D12</f>
        <v>-3655.1499999999996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37287</v>
      </c>
      <c r="B16" s="88"/>
      <c r="C16" s="88"/>
      <c r="D16" s="520">
        <v>-547260.79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37297</v>
      </c>
      <c r="B18" s="88"/>
      <c r="C18" s="88"/>
      <c r="D18" s="318">
        <f>+D16+D14</f>
        <v>-550915.94000000006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37287</v>
      </c>
      <c r="B22" s="32"/>
      <c r="C22" s="32"/>
      <c r="D22" s="579">
        <v>-41423</v>
      </c>
    </row>
    <row r="23" spans="1:7" x14ac:dyDescent="0.25">
      <c r="A23" s="49"/>
      <c r="B23" s="32"/>
      <c r="C23" s="32"/>
      <c r="D23" s="349">
        <f>+D12</f>
        <v>-1783</v>
      </c>
    </row>
    <row r="24" spans="1:7" x14ac:dyDescent="0.25">
      <c r="A24" s="49">
        <f>+A18</f>
        <v>37297</v>
      </c>
      <c r="B24" s="32"/>
      <c r="C24" s="32"/>
      <c r="D24" s="14">
        <f>+D23+D22</f>
        <v>-43206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2" workbookViewId="0">
      <selection activeCell="B37" sqref="B37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5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5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5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5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5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5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5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5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5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-447036</v>
      </c>
      <c r="C37" s="11">
        <f>SUM(C6:C36)</f>
        <v>-446077</v>
      </c>
      <c r="D37" s="25">
        <f>SUM(D6:D36)</f>
        <v>959</v>
      </c>
    </row>
    <row r="38" spans="1:4" x14ac:dyDescent="0.25">
      <c r="A38" s="26"/>
      <c r="C38" s="14"/>
      <c r="D38" s="338"/>
    </row>
    <row r="39" spans="1:4" x14ac:dyDescent="0.25">
      <c r="D39" s="138"/>
    </row>
    <row r="40" spans="1:4" x14ac:dyDescent="0.25">
      <c r="A40" s="57">
        <v>37287</v>
      </c>
      <c r="C40" s="15"/>
      <c r="D40" s="583">
        <v>19592</v>
      </c>
    </row>
    <row r="41" spans="1:4" x14ac:dyDescent="0.25">
      <c r="A41" s="57">
        <v>37297</v>
      </c>
      <c r="C41" s="48"/>
      <c r="D41" s="25">
        <f>+D40+D37</f>
        <v>20551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37287</v>
      </c>
      <c r="B45" s="32"/>
      <c r="C45" s="32"/>
      <c r="D45" s="484">
        <v>186633</v>
      </c>
    </row>
    <row r="46" spans="1:4" x14ac:dyDescent="0.25">
      <c r="A46" s="49">
        <f>+A41</f>
        <v>37297</v>
      </c>
      <c r="B46" s="32"/>
      <c r="C46" s="32"/>
      <c r="D46" s="374">
        <f>+D37*'by type_area'!G4</f>
        <v>1965.9499999999998</v>
      </c>
    </row>
    <row r="47" spans="1:4" x14ac:dyDescent="0.25">
      <c r="A47" s="32"/>
      <c r="B47" s="32"/>
      <c r="C47" s="32"/>
      <c r="D47" s="200">
        <f>+D46+D45</f>
        <v>188598.95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D40" sqref="D4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240</v>
      </c>
      <c r="C3" s="87"/>
      <c r="D3" s="87"/>
    </row>
    <row r="4" spans="1:4" x14ac:dyDescent="0.25">
      <c r="A4" s="3"/>
      <c r="B4" s="328" t="s">
        <v>239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0</v>
      </c>
    </row>
    <row r="40" spans="1:4" x14ac:dyDescent="0.25">
      <c r="A40" s="57">
        <v>37287</v>
      </c>
      <c r="C40" s="15"/>
      <c r="D40" s="602">
        <v>-192285.66</v>
      </c>
    </row>
    <row r="41" spans="1:4" x14ac:dyDescent="0.25">
      <c r="A41" s="57">
        <v>37287</v>
      </c>
      <c r="C41" s="48"/>
      <c r="D41" s="138">
        <f>+D40+D39</f>
        <v>-192285.66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603">
        <v>-45949</v>
      </c>
    </row>
    <row r="47" spans="1:4" x14ac:dyDescent="0.25">
      <c r="A47" s="49">
        <f>+A41</f>
        <v>37287</v>
      </c>
      <c r="B47" s="32"/>
      <c r="C47" s="32"/>
      <c r="D47" s="457">
        <f>+D37</f>
        <v>0</v>
      </c>
    </row>
    <row r="48" spans="1:4" x14ac:dyDescent="0.25">
      <c r="A48" s="32"/>
      <c r="B48" s="32"/>
      <c r="C48" s="32"/>
      <c r="D48" s="14">
        <f>+D47+D46</f>
        <v>-45949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3" workbookViewId="0">
      <selection activeCell="J41" sqref="J41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58" t="s">
        <v>241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-541</v>
      </c>
      <c r="C37" s="11">
        <f t="shared" ref="C37:I37" si="1">SUM(C6:C36)</f>
        <v>-429</v>
      </c>
      <c r="D37" s="11">
        <f t="shared" si="1"/>
        <v>0</v>
      </c>
      <c r="E37" s="11">
        <f t="shared" si="1"/>
        <v>0</v>
      </c>
      <c r="F37" s="11">
        <f t="shared" si="1"/>
        <v>-3493</v>
      </c>
      <c r="G37" s="11">
        <f t="shared" si="1"/>
        <v>-2358</v>
      </c>
      <c r="H37" s="11">
        <f t="shared" si="1"/>
        <v>0</v>
      </c>
      <c r="I37" s="11">
        <f t="shared" si="1"/>
        <v>0</v>
      </c>
      <c r="J37" s="11">
        <f>SUM(J6:J36)</f>
        <v>1247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2.0499999999999998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2556.35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37287</v>
      </c>
      <c r="C41" s="25"/>
      <c r="E41" s="25"/>
      <c r="G41" s="25"/>
      <c r="I41" s="25"/>
      <c r="J41" s="585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37290</v>
      </c>
      <c r="J43" s="319">
        <f>+J41+J39</f>
        <v>-34633.42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37287</v>
      </c>
      <c r="B48" s="32"/>
      <c r="C48" s="32"/>
      <c r="D48" s="579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37290</v>
      </c>
      <c r="B49" s="32"/>
      <c r="C49" s="32"/>
      <c r="D49" s="349">
        <f>+J37</f>
        <v>1247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-2980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F35" workbookViewId="0">
      <selection activeCell="N41" sqref="N41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280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282</v>
      </c>
      <c r="C4" s="4"/>
      <c r="D4" s="38" t="s">
        <v>283</v>
      </c>
      <c r="E4" s="4"/>
      <c r="F4" s="38" t="s">
        <v>284</v>
      </c>
      <c r="G4" s="4"/>
      <c r="H4" s="38" t="s">
        <v>285</v>
      </c>
      <c r="I4" s="4"/>
      <c r="J4" s="38" t="s">
        <v>286</v>
      </c>
      <c r="K4" s="4"/>
      <c r="L4" s="38" t="s">
        <v>287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4"/>
      <c r="C6" s="11"/>
      <c r="D6" s="494"/>
      <c r="E6" s="11"/>
      <c r="F6" s="494"/>
      <c r="G6" s="11"/>
      <c r="H6" s="494"/>
      <c r="I6" s="11"/>
      <c r="J6" s="494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4"/>
      <c r="C7" s="11"/>
      <c r="D7" s="494"/>
      <c r="E7" s="11"/>
      <c r="F7" s="494"/>
      <c r="G7" s="11"/>
      <c r="H7" s="494"/>
      <c r="I7" s="11"/>
      <c r="J7" s="494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4"/>
      <c r="C8" s="11"/>
      <c r="D8" s="494"/>
      <c r="E8" s="11"/>
      <c r="F8" s="494"/>
      <c r="G8" s="11"/>
      <c r="H8" s="494"/>
      <c r="I8" s="11"/>
      <c r="J8" s="494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4"/>
      <c r="C9" s="11"/>
      <c r="D9" s="494"/>
      <c r="E9" s="11"/>
      <c r="F9" s="494"/>
      <c r="G9" s="11"/>
      <c r="H9" s="494"/>
      <c r="I9" s="11"/>
      <c r="J9" s="494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4"/>
      <c r="C10" s="11"/>
      <c r="D10" s="494"/>
      <c r="E10" s="11"/>
      <c r="F10" s="494"/>
      <c r="G10" s="11"/>
      <c r="H10" s="494"/>
      <c r="I10" s="11"/>
      <c r="J10" s="494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4"/>
      <c r="C11" s="11"/>
      <c r="D11" s="494"/>
      <c r="E11" s="11"/>
      <c r="F11" s="494"/>
      <c r="G11" s="11"/>
      <c r="H11" s="494"/>
      <c r="I11" s="11"/>
      <c r="J11" s="494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4"/>
      <c r="C12" s="11"/>
      <c r="D12" s="494"/>
      <c r="E12" s="11"/>
      <c r="F12" s="494"/>
      <c r="G12" s="11"/>
      <c r="H12" s="494"/>
      <c r="I12" s="11"/>
      <c r="J12" s="494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4"/>
      <c r="C13" s="11"/>
      <c r="D13" s="494"/>
      <c r="E13" s="11"/>
      <c r="F13" s="494"/>
      <c r="G13" s="11"/>
      <c r="H13" s="494"/>
      <c r="I13" s="11"/>
      <c r="J13" s="494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4"/>
      <c r="C14" s="11"/>
      <c r="D14" s="494"/>
      <c r="E14" s="11"/>
      <c r="F14" s="494"/>
      <c r="G14" s="11"/>
      <c r="H14" s="494"/>
      <c r="I14" s="11"/>
      <c r="J14" s="494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4"/>
      <c r="C15" s="11"/>
      <c r="D15" s="494"/>
      <c r="E15" s="11"/>
      <c r="F15" s="494"/>
      <c r="G15" s="11"/>
      <c r="H15" s="494"/>
      <c r="I15" s="11"/>
      <c r="J15" s="494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4"/>
      <c r="C16" s="11"/>
      <c r="D16" s="494"/>
      <c r="E16" s="11"/>
      <c r="F16" s="494"/>
      <c r="G16" s="11"/>
      <c r="H16" s="494"/>
      <c r="I16" s="11"/>
      <c r="J16" s="494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4"/>
      <c r="C17" s="11"/>
      <c r="D17" s="494"/>
      <c r="E17" s="11"/>
      <c r="F17" s="494"/>
      <c r="G17" s="11"/>
      <c r="H17" s="494"/>
      <c r="I17" s="11"/>
      <c r="J17" s="494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4"/>
      <c r="C18" s="11"/>
      <c r="D18" s="494"/>
      <c r="E18" s="11"/>
      <c r="F18" s="494"/>
      <c r="G18" s="11"/>
      <c r="H18" s="494"/>
      <c r="I18" s="11"/>
      <c r="J18" s="494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4"/>
      <c r="C19" s="11"/>
      <c r="D19" s="494"/>
      <c r="E19" s="11"/>
      <c r="F19" s="494"/>
      <c r="G19" s="11"/>
      <c r="H19" s="494"/>
      <c r="I19" s="11"/>
      <c r="J19" s="494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4"/>
      <c r="C20" s="11"/>
      <c r="D20" s="494"/>
      <c r="E20" s="11"/>
      <c r="F20" s="494"/>
      <c r="G20" s="11"/>
      <c r="H20" s="494"/>
      <c r="I20" s="11"/>
      <c r="J20" s="494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4"/>
      <c r="C21" s="11"/>
      <c r="D21" s="494"/>
      <c r="E21" s="11"/>
      <c r="F21" s="494"/>
      <c r="G21" s="11"/>
      <c r="H21" s="494"/>
      <c r="I21" s="11"/>
      <c r="J21" s="494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4"/>
      <c r="C22" s="11"/>
      <c r="D22" s="494"/>
      <c r="E22" s="11"/>
      <c r="F22" s="494"/>
      <c r="G22" s="11"/>
      <c r="H22" s="494"/>
      <c r="I22" s="11"/>
      <c r="J22" s="494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4"/>
      <c r="C23" s="11"/>
      <c r="D23" s="494"/>
      <c r="E23" s="11"/>
      <c r="F23" s="494"/>
      <c r="G23" s="11"/>
      <c r="H23" s="494"/>
      <c r="I23" s="11"/>
      <c r="J23" s="494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4"/>
      <c r="C24" s="11"/>
      <c r="D24" s="494"/>
      <c r="E24" s="11"/>
      <c r="F24" s="494"/>
      <c r="G24" s="11"/>
      <c r="H24" s="494"/>
      <c r="I24" s="11"/>
      <c r="J24" s="494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4"/>
      <c r="C25" s="11"/>
      <c r="D25" s="494"/>
      <c r="E25" s="11"/>
      <c r="F25" s="494"/>
      <c r="G25" s="11"/>
      <c r="H25" s="494"/>
      <c r="I25" s="11"/>
      <c r="J25" s="494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4"/>
      <c r="C26" s="11"/>
      <c r="D26" s="494"/>
      <c r="E26" s="11"/>
      <c r="F26" s="494"/>
      <c r="G26" s="11"/>
      <c r="H26" s="494"/>
      <c r="I26" s="11"/>
      <c r="J26" s="494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4"/>
      <c r="C27" s="11"/>
      <c r="D27" s="494"/>
      <c r="E27" s="11"/>
      <c r="F27" s="494"/>
      <c r="G27" s="11"/>
      <c r="H27" s="494"/>
      <c r="I27" s="11"/>
      <c r="J27" s="494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4"/>
      <c r="C28" s="11"/>
      <c r="D28" s="494"/>
      <c r="E28" s="11"/>
      <c r="F28" s="494"/>
      <c r="G28" s="11"/>
      <c r="H28" s="494"/>
      <c r="I28" s="11"/>
      <c r="J28" s="494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4"/>
      <c r="C29" s="11"/>
      <c r="D29" s="494"/>
      <c r="E29" s="11"/>
      <c r="F29" s="494"/>
      <c r="G29" s="11"/>
      <c r="H29" s="494"/>
      <c r="I29" s="11"/>
      <c r="J29" s="494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4"/>
      <c r="C30" s="11"/>
      <c r="D30" s="494"/>
      <c r="E30" s="11"/>
      <c r="F30" s="494"/>
      <c r="G30" s="11"/>
      <c r="H30" s="494"/>
      <c r="I30" s="11"/>
      <c r="J30" s="494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-6827</v>
      </c>
      <c r="M37" s="11">
        <f>SUM(M6:M36)</f>
        <v>-7416</v>
      </c>
      <c r="N37" s="11">
        <f t="shared" si="1"/>
        <v>-589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2.0499999999999998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-1207.4499999999998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37287</v>
      </c>
      <c r="C41" s="25"/>
      <c r="E41" s="25"/>
      <c r="G41" s="25"/>
      <c r="I41" s="25"/>
      <c r="K41" s="25"/>
      <c r="M41" s="25"/>
      <c r="N41" s="485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37296</v>
      </c>
      <c r="N43" s="319">
        <f>+N41+N39</f>
        <v>23978.959999999999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37287</v>
      </c>
      <c r="B48" s="32"/>
      <c r="C48" s="32"/>
      <c r="D48" s="486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37296</v>
      </c>
      <c r="B49" s="32"/>
      <c r="C49" s="32"/>
      <c r="D49" s="349">
        <f>+N37</f>
        <v>-589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7966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3" workbookViewId="0">
      <selection activeCell="D46" sqref="D4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205</v>
      </c>
      <c r="C3" s="87"/>
      <c r="D3" s="87"/>
    </row>
    <row r="4" spans="1:4" x14ac:dyDescent="0.25">
      <c r="A4" s="3"/>
      <c r="B4" s="328" t="s">
        <v>206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>
        <v>150</v>
      </c>
      <c r="D6" s="25">
        <f>+C6-B6</f>
        <v>150</v>
      </c>
    </row>
    <row r="7" spans="1:4" x14ac:dyDescent="0.25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5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5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5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5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5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5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5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1773</v>
      </c>
      <c r="C37" s="11">
        <f>SUM(C6:C36)</f>
        <v>1350</v>
      </c>
      <c r="D37" s="25">
        <f>SUM(D6:D36)</f>
        <v>-423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-871.38</v>
      </c>
    </row>
    <row r="40" spans="1:4" x14ac:dyDescent="0.25">
      <c r="A40" s="57">
        <v>37287</v>
      </c>
      <c r="C40" s="15"/>
      <c r="D40" s="602">
        <v>174593.14</v>
      </c>
    </row>
    <row r="41" spans="1:4" x14ac:dyDescent="0.25">
      <c r="A41" s="57">
        <v>37296</v>
      </c>
      <c r="C41" s="48"/>
      <c r="D41" s="138">
        <f>+D40+D39</f>
        <v>173721.76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603">
        <v>76390</v>
      </c>
    </row>
    <row r="47" spans="1:4" x14ac:dyDescent="0.25">
      <c r="A47" s="49">
        <f>+A41</f>
        <v>37296</v>
      </c>
      <c r="B47" s="32"/>
      <c r="C47" s="32"/>
      <c r="D47" s="349">
        <f>+D37</f>
        <v>-423</v>
      </c>
    </row>
    <row r="48" spans="1:4" x14ac:dyDescent="0.25">
      <c r="A48" s="32"/>
      <c r="B48" s="32"/>
      <c r="C48" s="32"/>
      <c r="D48" s="14">
        <f>+D47+D46</f>
        <v>75967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2" workbookViewId="0">
      <selection activeCell="G47" sqref="G47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208</v>
      </c>
      <c r="C3" s="87"/>
      <c r="D3" s="87"/>
    </row>
    <row r="4" spans="1:4" x14ac:dyDescent="0.25">
      <c r="A4" s="3"/>
      <c r="B4" s="328" t="s">
        <v>209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5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5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5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5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5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5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5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5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8581</v>
      </c>
      <c r="C37" s="11">
        <f>SUM(C6:C36)</f>
        <v>1620</v>
      </c>
      <c r="D37" s="25">
        <f>SUM(D6:D36)</f>
        <v>-6961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-14339.66</v>
      </c>
    </row>
    <row r="40" spans="1:4" x14ac:dyDescent="0.25">
      <c r="A40" s="57">
        <v>37287</v>
      </c>
      <c r="C40" s="15"/>
      <c r="D40" s="602">
        <v>146678.41</v>
      </c>
    </row>
    <row r="41" spans="1:4" x14ac:dyDescent="0.25">
      <c r="A41" s="57">
        <v>37296</v>
      </c>
      <c r="C41" s="48"/>
      <c r="D41" s="138">
        <f>+D40+D39</f>
        <v>132338.75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603">
        <v>26945</v>
      </c>
    </row>
    <row r="47" spans="1:4" x14ac:dyDescent="0.25">
      <c r="A47" s="49">
        <f>+A41</f>
        <v>37296</v>
      </c>
      <c r="B47" s="32"/>
      <c r="C47" s="32"/>
      <c r="D47" s="349">
        <f>+D37</f>
        <v>-6961</v>
      </c>
    </row>
    <row r="48" spans="1:4" x14ac:dyDescent="0.25">
      <c r="A48" s="32"/>
      <c r="B48" s="32"/>
      <c r="C48" s="32"/>
      <c r="D48" s="14">
        <f>+D47+D46</f>
        <v>19984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10" workbookViewId="0">
      <selection activeCell="D14" sqref="D14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  <col min="11" max="11" width="9.5546875" bestFit="1" customWidth="1"/>
    <col min="12" max="12" width="10.44140625" bestFit="1" customWidth="1"/>
    <col min="13" max="14" width="9.5546875" bestFit="1" customWidth="1"/>
    <col min="16" max="16" width="9.88671875" style="2" bestFit="1" customWidth="1"/>
  </cols>
  <sheetData>
    <row r="2" spans="1:33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5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5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5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5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311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4.4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72" t="s">
        <v>49</v>
      </c>
      <c r="P9" s="573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5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310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5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5">
      <c r="A12" s="41">
        <v>8</v>
      </c>
      <c r="B12" s="11">
        <v>-10723</v>
      </c>
      <c r="C12" s="11">
        <v>-10000</v>
      </c>
      <c r="D12" s="129">
        <v>-34718</v>
      </c>
      <c r="E12" s="11">
        <v>-35326</v>
      </c>
      <c r="F12" s="11">
        <f t="shared" si="0"/>
        <v>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5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5">
      <c r="A14" s="41">
        <v>10</v>
      </c>
      <c r="B14" s="11">
        <v>-9867</v>
      </c>
      <c r="C14" s="11">
        <v>-10000</v>
      </c>
      <c r="D14" s="129"/>
      <c r="E14" s="11"/>
      <c r="F14" s="11">
        <f t="shared" si="0"/>
        <v>-133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312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5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5">
      <c r="A36" s="41"/>
      <c r="B36" s="11">
        <f>SUM(B5:B35)</f>
        <v>-94997</v>
      </c>
      <c r="C36" s="44">
        <f>SUM(C5:C35)</f>
        <v>-90000</v>
      </c>
      <c r="D36" s="43">
        <f>SUM(D5:D35)</f>
        <v>-420685</v>
      </c>
      <c r="E36" s="43">
        <f>SUM(E5:E35)</f>
        <v>-418470</v>
      </c>
      <c r="F36" s="11">
        <f>SUM(F5:F35)</f>
        <v>7212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5">
      <c r="A39" s="32"/>
      <c r="B39" s="32"/>
      <c r="C39" s="15"/>
      <c r="D39" s="15"/>
      <c r="E39" s="15"/>
      <c r="F39" s="490">
        <f>+summary!G5</f>
        <v>2.06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5">
      <c r="A40" s="32"/>
      <c r="B40" s="32"/>
      <c r="C40" s="48"/>
      <c r="D40" s="47"/>
      <c r="E40" s="48"/>
      <c r="F40" s="46">
        <f>+F39*F36</f>
        <v>14856.720000000001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5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5">
      <c r="A42" s="57">
        <v>37287</v>
      </c>
      <c r="B42" s="32"/>
      <c r="C42" s="460"/>
      <c r="D42" s="111"/>
      <c r="E42" s="460"/>
      <c r="F42" s="577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5">
      <c r="A43" s="57">
        <v>37297</v>
      </c>
      <c r="B43" s="32"/>
      <c r="C43" s="106"/>
      <c r="D43" s="106"/>
      <c r="E43" s="106"/>
      <c r="F43" s="24">
        <f>+F42+F36</f>
        <v>41892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5">
      <c r="A47" s="32" t="s">
        <v>292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5">
      <c r="A48" s="49">
        <f>+A42</f>
        <v>37287</v>
      </c>
      <c r="B48" s="32"/>
      <c r="C48" s="32"/>
      <c r="D48" s="578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5">
      <c r="A49" s="49">
        <f>+A43</f>
        <v>37297</v>
      </c>
      <c r="B49" s="32"/>
      <c r="C49" s="32"/>
      <c r="D49" s="76">
        <f>+F36</f>
        <v>7212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5">
      <c r="A50" s="32"/>
      <c r="B50" s="32"/>
      <c r="C50" s="32"/>
      <c r="D50" s="75">
        <f>+D49+D48</f>
        <v>79140.960000000006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5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5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5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5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5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5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5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5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5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5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5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5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5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5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5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5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5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5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5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5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5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5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5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5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5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5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5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5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5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5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5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5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5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5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5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5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5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5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5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5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5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5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5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5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5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5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5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5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5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5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5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5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5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5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5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5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5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5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5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5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5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5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5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5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5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5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5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5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5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5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5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5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5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5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5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5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5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5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5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5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5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5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5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5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5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5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5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5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5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5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5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5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5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5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5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5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5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5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5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5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5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5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5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5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5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5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5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5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5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5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5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5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5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5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5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5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5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5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5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5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5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5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5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5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5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5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5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5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5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5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5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5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5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5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5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5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5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5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5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5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5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5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5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5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5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5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5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5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5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5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5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5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5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5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5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5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5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5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5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5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5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5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5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5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5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5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5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5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5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5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5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5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5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F40" sqref="F40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213</v>
      </c>
      <c r="C3" s="208"/>
      <c r="D3" s="444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-19611</v>
      </c>
      <c r="C37" s="24">
        <f>SUM(C6:C36)</f>
        <v>-25439</v>
      </c>
      <c r="D37" s="24">
        <f>SUM(D6:D36)</f>
        <v>-15151</v>
      </c>
      <c r="E37" s="24">
        <f>SUM(E6:E36)</f>
        <v>-18000</v>
      </c>
      <c r="F37" s="24">
        <f>SUM(F6:F36)</f>
        <v>-8677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2.0499999999999998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-17787.849999999999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80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37296</v>
      </c>
      <c r="C41" s="319"/>
      <c r="D41" s="262"/>
      <c r="E41" s="262"/>
      <c r="F41" s="104">
        <f>+F40+F39</f>
        <v>-134584.64000000001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79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37296</v>
      </c>
      <c r="B47" s="32"/>
      <c r="C47" s="32"/>
      <c r="D47" s="349">
        <f>+F37</f>
        <v>-8677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-41644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H33" workbookViewId="0">
      <selection activeCell="P40" sqref="P40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221</v>
      </c>
      <c r="C3" s="208"/>
      <c r="D3" s="444" t="s">
        <v>223</v>
      </c>
      <c r="E3" s="207"/>
      <c r="F3" s="444" t="s">
        <v>225</v>
      </c>
      <c r="G3" s="207"/>
      <c r="H3" s="444" t="s">
        <v>227</v>
      </c>
      <c r="I3" s="207"/>
      <c r="J3" s="444" t="s">
        <v>229</v>
      </c>
      <c r="K3" s="207"/>
      <c r="L3" s="444" t="s">
        <v>231</v>
      </c>
      <c r="M3" s="207"/>
      <c r="N3" s="444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-2010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-115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/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37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-20145</v>
      </c>
      <c r="C37" s="24">
        <f t="shared" si="1"/>
        <v>-18900</v>
      </c>
      <c r="D37" s="24">
        <f t="shared" si="1"/>
        <v>0</v>
      </c>
      <c r="E37" s="24">
        <f t="shared" si="1"/>
        <v>-225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1020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2.0499999999999998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1"/>
      <c r="P39" s="104">
        <f>+P38*P37</f>
        <v>2091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1">
        <v>37287</v>
      </c>
      <c r="E40" s="14"/>
      <c r="O40" s="441"/>
      <c r="P40" s="580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1">
        <v>37296</v>
      </c>
      <c r="E41" s="14"/>
      <c r="O41" s="441"/>
      <c r="P41" s="104">
        <f>+P40+P39</f>
        <v>91858.28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79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37296</v>
      </c>
      <c r="B47" s="32"/>
      <c r="C47" s="32"/>
      <c r="D47" s="349">
        <f>+P37</f>
        <v>1020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38061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5" workbookViewId="0">
      <selection activeCell="C32" sqref="C3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277</v>
      </c>
      <c r="C3" s="87"/>
      <c r="D3" s="87"/>
    </row>
    <row r="4" spans="1:4" x14ac:dyDescent="0.25">
      <c r="A4" s="3"/>
      <c r="B4" s="328" t="s">
        <v>276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5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5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5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5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5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5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5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5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5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29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-185288</v>
      </c>
      <c r="C37" s="11">
        <f>SUM(C6:C36)</f>
        <v>-184963</v>
      </c>
      <c r="D37" s="25">
        <f>SUM(D6:D36)</f>
        <v>325</v>
      </c>
    </row>
    <row r="38" spans="1:4" x14ac:dyDescent="0.25">
      <c r="A38" s="26"/>
      <c r="C38" s="14"/>
      <c r="D38" s="326">
        <f>+summary!G4</f>
        <v>2.0499999999999998</v>
      </c>
    </row>
    <row r="39" spans="1:4" x14ac:dyDescent="0.25">
      <c r="D39" s="138">
        <f>+D38*D37</f>
        <v>666.24999999999989</v>
      </c>
    </row>
    <row r="40" spans="1:4" x14ac:dyDescent="0.25">
      <c r="A40" s="57">
        <v>37287</v>
      </c>
      <c r="C40" s="15"/>
      <c r="D40" s="602">
        <v>-27179.17</v>
      </c>
    </row>
    <row r="41" spans="1:4" x14ac:dyDescent="0.25">
      <c r="A41" s="57">
        <v>37297</v>
      </c>
      <c r="C41" s="48"/>
      <c r="D41" s="138">
        <f>+D40+D39</f>
        <v>-26512.92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603">
        <v>-12</v>
      </c>
    </row>
    <row r="47" spans="1:4" x14ac:dyDescent="0.25">
      <c r="A47" s="49">
        <f>+A41</f>
        <v>37297</v>
      </c>
      <c r="B47" s="32"/>
      <c r="C47" s="32"/>
      <c r="D47" s="349">
        <f>+D37</f>
        <v>325</v>
      </c>
    </row>
    <row r="48" spans="1:4" x14ac:dyDescent="0.25">
      <c r="A48" s="32"/>
      <c r="B48" s="32"/>
      <c r="C48" s="32"/>
      <c r="D48" s="14">
        <f>+D47+D46</f>
        <v>313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8" workbookViewId="0">
      <selection activeCell="D46" sqref="D46:E4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296</v>
      </c>
      <c r="C3" s="87"/>
      <c r="D3" s="87"/>
    </row>
    <row r="4" spans="1:4" x14ac:dyDescent="0.25">
      <c r="A4" s="3"/>
      <c r="B4" s="328" t="s">
        <v>297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5" x14ac:dyDescent="0.25">
      <c r="A33" s="10">
        <v>28</v>
      </c>
      <c r="B33" s="11"/>
      <c r="C33" s="11"/>
      <c r="D33" s="25">
        <f t="shared" si="0"/>
        <v>0</v>
      </c>
    </row>
    <row r="34" spans="1:5" x14ac:dyDescent="0.25">
      <c r="A34" s="10">
        <v>29</v>
      </c>
      <c r="B34" s="11"/>
      <c r="C34" s="11"/>
      <c r="D34" s="25">
        <f t="shared" si="0"/>
        <v>0</v>
      </c>
    </row>
    <row r="35" spans="1:5" x14ac:dyDescent="0.25">
      <c r="A35" s="10">
        <v>30</v>
      </c>
      <c r="B35" s="11"/>
      <c r="C35" s="11"/>
      <c r="D35" s="25">
        <f t="shared" si="0"/>
        <v>0</v>
      </c>
    </row>
    <row r="36" spans="1:5" x14ac:dyDescent="0.25">
      <c r="A36" s="10">
        <v>31</v>
      </c>
      <c r="B36" s="11"/>
      <c r="C36" s="11"/>
      <c r="D36" s="25">
        <f t="shared" si="0"/>
        <v>0</v>
      </c>
    </row>
    <row r="37" spans="1:5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5">
      <c r="A38" s="26"/>
      <c r="C38" s="14"/>
      <c r="D38" s="326">
        <f>+summary!G5</f>
        <v>2.06</v>
      </c>
    </row>
    <row r="39" spans="1:5" x14ac:dyDescent="0.25">
      <c r="D39" s="138">
        <f>+D38*D37</f>
        <v>0</v>
      </c>
    </row>
    <row r="40" spans="1:5" x14ac:dyDescent="0.25">
      <c r="A40" s="57">
        <v>37287</v>
      </c>
      <c r="C40" s="15"/>
      <c r="D40" s="602">
        <v>48490.31</v>
      </c>
    </row>
    <row r="41" spans="1:5" x14ac:dyDescent="0.25">
      <c r="A41" s="57">
        <v>37287</v>
      </c>
      <c r="C41" s="48"/>
      <c r="D41" s="138">
        <f>+D40+D39</f>
        <v>48490.31</v>
      </c>
    </row>
    <row r="42" spans="1:5" x14ac:dyDescent="0.25">
      <c r="D42" s="24"/>
    </row>
    <row r="45" spans="1:5" x14ac:dyDescent="0.25">
      <c r="A45" s="32" t="s">
        <v>149</v>
      </c>
      <c r="B45" s="32"/>
      <c r="C45" s="32"/>
      <c r="D45" s="32"/>
    </row>
    <row r="46" spans="1:5" x14ac:dyDescent="0.25">
      <c r="A46" s="49">
        <f>+A40</f>
        <v>37287</v>
      </c>
      <c r="B46" s="32"/>
      <c r="C46" s="32"/>
      <c r="D46" s="603">
        <v>17403</v>
      </c>
      <c r="E46" s="604"/>
    </row>
    <row r="47" spans="1:5" x14ac:dyDescent="0.25">
      <c r="A47" s="49">
        <f>+A41</f>
        <v>37287</v>
      </c>
      <c r="B47" s="32"/>
      <c r="C47" s="32"/>
      <c r="D47" s="349">
        <f>+D37</f>
        <v>0</v>
      </c>
    </row>
    <row r="48" spans="1:5" x14ac:dyDescent="0.25">
      <c r="A48" s="32"/>
      <c r="B48" s="32"/>
      <c r="C48" s="32"/>
      <c r="D48" s="14">
        <f>+D47+D46</f>
        <v>17403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31" t="s">
        <v>280</v>
      </c>
    </row>
    <row r="3" spans="1:37" x14ac:dyDescent="0.25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5">
      <c r="B4" s="532" t="s">
        <v>282</v>
      </c>
      <c r="C4" s="533"/>
      <c r="D4" s="534" t="s">
        <v>283</v>
      </c>
      <c r="E4" s="533"/>
      <c r="F4" s="534" t="s">
        <v>284</v>
      </c>
      <c r="G4" s="533"/>
      <c r="H4" s="534" t="s">
        <v>285</v>
      </c>
      <c r="I4" s="533"/>
      <c r="J4" s="534" t="s">
        <v>286</v>
      </c>
      <c r="K4" s="533"/>
      <c r="L4" s="534" t="s">
        <v>287</v>
      </c>
      <c r="M4" s="533"/>
      <c r="N4" s="533"/>
    </row>
    <row r="5" spans="1:37" x14ac:dyDescent="0.25">
      <c r="A5" s="535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36"/>
      <c r="Q5" s="536"/>
      <c r="R5" s="536"/>
      <c r="S5" s="536"/>
      <c r="T5" s="536"/>
      <c r="V5" s="537"/>
      <c r="AA5" s="538"/>
      <c r="AB5" s="536"/>
      <c r="AC5" s="536"/>
      <c r="AD5" s="536"/>
      <c r="AE5" s="536"/>
      <c r="AF5" s="536"/>
      <c r="AH5" s="537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36"/>
      <c r="Q6" s="536"/>
      <c r="R6" s="536"/>
      <c r="S6" s="536"/>
      <c r="T6" s="536"/>
      <c r="U6" s="539"/>
      <c r="V6" s="537"/>
      <c r="Y6" s="540"/>
      <c r="AA6" s="538"/>
      <c r="AB6" s="536"/>
      <c r="AC6" s="536"/>
      <c r="AD6" s="536"/>
      <c r="AE6" s="536"/>
      <c r="AF6" s="536"/>
      <c r="AG6" s="539"/>
      <c r="AH6" s="537"/>
      <c r="AK6" s="540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41"/>
      <c r="AB7" s="542"/>
      <c r="AC7" s="542"/>
      <c r="AD7" s="542"/>
      <c r="AE7" s="542"/>
      <c r="AF7" s="542"/>
      <c r="AG7" s="19"/>
      <c r="AH7" s="543"/>
      <c r="AI7" s="252"/>
      <c r="AJ7" s="264"/>
      <c r="AK7" s="540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42"/>
      <c r="Q8" s="542"/>
      <c r="R8" s="542"/>
      <c r="S8" s="542"/>
      <c r="T8" s="542"/>
      <c r="U8" s="19"/>
      <c r="V8" s="543"/>
      <c r="W8" s="252"/>
      <c r="X8" s="264"/>
      <c r="Y8" s="540"/>
      <c r="AA8" s="541"/>
      <c r="AB8" s="542"/>
      <c r="AC8" s="542"/>
      <c r="AD8" s="542"/>
      <c r="AE8" s="542"/>
      <c r="AF8" s="542"/>
      <c r="AG8" s="19"/>
      <c r="AH8" s="543"/>
      <c r="AI8" s="252"/>
      <c r="AJ8" s="264"/>
      <c r="AK8" s="540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42"/>
      <c r="S9" s="28"/>
      <c r="T9" s="542"/>
      <c r="U9" s="19"/>
      <c r="V9" s="543"/>
      <c r="W9" s="252"/>
      <c r="X9" s="264"/>
      <c r="Y9" s="540"/>
      <c r="AA9" s="541"/>
      <c r="AB9" s="542"/>
      <c r="AC9" s="542"/>
      <c r="AD9" s="542"/>
      <c r="AE9" s="542"/>
      <c r="AF9" s="542"/>
      <c r="AG9" s="19"/>
      <c r="AH9" s="543"/>
      <c r="AI9" s="252"/>
      <c r="AJ9" s="264"/>
      <c r="AK9" s="540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42"/>
      <c r="S10" s="28"/>
      <c r="T10" s="542"/>
      <c r="U10" s="19"/>
      <c r="V10" s="543"/>
      <c r="W10" s="252"/>
      <c r="X10" s="264"/>
      <c r="Y10" s="540"/>
      <c r="AA10" s="541"/>
      <c r="AB10" s="542"/>
      <c r="AC10" s="542"/>
      <c r="AD10" s="542"/>
      <c r="AE10" s="542"/>
      <c r="AF10" s="542"/>
      <c r="AG10" s="19"/>
      <c r="AH10" s="543"/>
      <c r="AI10" s="252"/>
      <c r="AJ10" s="264"/>
      <c r="AK10" s="540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42"/>
      <c r="S11" s="28"/>
      <c r="T11" s="542"/>
      <c r="U11" s="19"/>
      <c r="V11" s="543"/>
      <c r="W11" s="252"/>
      <c r="X11" s="264"/>
      <c r="Y11" s="540"/>
      <c r="AA11" s="541"/>
      <c r="AB11" s="542"/>
      <c r="AC11" s="542"/>
      <c r="AD11" s="542"/>
      <c r="AE11" s="542"/>
      <c r="AF11" s="542"/>
      <c r="AG11" s="19"/>
      <c r="AH11" s="543"/>
      <c r="AI11" s="252"/>
      <c r="AJ11" s="264"/>
      <c r="AK11" s="540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42"/>
      <c r="S12" s="28"/>
      <c r="T12" s="542"/>
      <c r="U12" s="19"/>
      <c r="V12" s="543"/>
      <c r="W12" s="252"/>
      <c r="X12" s="264"/>
      <c r="Y12" s="540"/>
      <c r="AA12" s="541"/>
      <c r="AB12" s="542"/>
      <c r="AC12" s="542"/>
      <c r="AD12" s="542"/>
      <c r="AE12" s="542"/>
      <c r="AF12" s="542"/>
      <c r="AG12" s="19"/>
      <c r="AH12" s="543"/>
      <c r="AI12" s="252"/>
      <c r="AJ12" s="264"/>
      <c r="AK12" s="540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42"/>
      <c r="S13" s="544"/>
      <c r="T13" s="542"/>
      <c r="U13" s="19"/>
      <c r="V13" s="543"/>
      <c r="W13" s="252"/>
      <c r="X13" s="264"/>
      <c r="Y13" s="540"/>
      <c r="AA13" s="541"/>
      <c r="AB13" s="542"/>
      <c r="AC13" s="542"/>
      <c r="AD13" s="542"/>
      <c r="AE13" s="542"/>
      <c r="AF13" s="542"/>
      <c r="AG13" s="19"/>
      <c r="AH13" s="543"/>
      <c r="AI13" s="252"/>
      <c r="AJ13" s="264"/>
      <c r="AK13" s="540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42"/>
      <c r="S14" s="544"/>
      <c r="T14" s="542"/>
      <c r="U14" s="19"/>
      <c r="V14" s="543"/>
      <c r="W14" s="252"/>
      <c r="X14" s="264"/>
      <c r="Y14" s="540"/>
      <c r="AA14" s="541"/>
      <c r="AB14" s="542"/>
      <c r="AC14" s="542"/>
      <c r="AD14" s="542"/>
      <c r="AE14" s="542"/>
      <c r="AF14" s="542"/>
      <c r="AG14" s="19"/>
      <c r="AH14" s="543"/>
      <c r="AI14" s="252"/>
      <c r="AJ14" s="264"/>
      <c r="AK14" s="540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42"/>
      <c r="S15" s="544"/>
      <c r="T15" s="542"/>
      <c r="U15" s="19"/>
      <c r="V15" s="543"/>
      <c r="W15" s="252"/>
      <c r="X15" s="264"/>
      <c r="Y15" s="540"/>
      <c r="AA15" s="541"/>
      <c r="AB15" s="542"/>
      <c r="AC15" s="542"/>
      <c r="AD15" s="542"/>
      <c r="AE15" s="542"/>
      <c r="AF15" s="542"/>
      <c r="AG15" s="19"/>
      <c r="AH15" s="543"/>
      <c r="AI15" s="252"/>
      <c r="AJ15" s="264"/>
      <c r="AK15" s="540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42"/>
      <c r="S16" s="544"/>
      <c r="T16" s="542"/>
      <c r="U16" s="19"/>
      <c r="V16" s="543"/>
      <c r="W16" s="252"/>
      <c r="X16" s="264"/>
      <c r="Y16" s="540"/>
      <c r="AA16" s="541"/>
      <c r="AB16" s="542"/>
      <c r="AC16" s="542"/>
      <c r="AD16" s="542"/>
      <c r="AE16" s="542"/>
      <c r="AF16" s="542"/>
      <c r="AG16" s="19"/>
      <c r="AH16" s="543"/>
      <c r="AI16" s="252"/>
      <c r="AJ16" s="264"/>
      <c r="AK16" s="540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42"/>
      <c r="S17" s="544"/>
      <c r="T17" s="542"/>
      <c r="U17" s="19"/>
      <c r="V17" s="543"/>
      <c r="W17" s="252"/>
      <c r="X17" s="264"/>
      <c r="Y17" s="540"/>
      <c r="AA17" s="541"/>
      <c r="AB17" s="542"/>
      <c r="AC17" s="542"/>
      <c r="AD17" s="542"/>
      <c r="AE17" s="542"/>
      <c r="AF17" s="542"/>
      <c r="AG17" s="19"/>
      <c r="AH17" s="543"/>
      <c r="AI17" s="252"/>
      <c r="AJ17" s="264"/>
      <c r="AK17" s="540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42"/>
      <c r="S18" s="544"/>
      <c r="T18" s="542"/>
      <c r="U18" s="19"/>
      <c r="V18" s="543"/>
      <c r="W18" s="252"/>
      <c r="X18" s="264"/>
      <c r="Y18" s="540"/>
      <c r="AA18" s="541"/>
      <c r="AB18" s="542"/>
      <c r="AF18" s="542"/>
      <c r="AG18" s="19"/>
      <c r="AH18" s="543"/>
      <c r="AI18" s="252"/>
      <c r="AJ18" s="264"/>
      <c r="AK18" s="540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42"/>
      <c r="T19" s="542"/>
      <c r="U19" s="19"/>
      <c r="V19" s="543"/>
      <c r="W19" s="252"/>
      <c r="X19" s="264"/>
      <c r="Y19" s="540"/>
      <c r="AA19" s="541"/>
      <c r="AB19" s="542"/>
      <c r="AF19" s="542"/>
      <c r="AG19" s="19"/>
      <c r="AH19" s="543"/>
      <c r="AI19" s="252"/>
      <c r="AJ19" s="264"/>
      <c r="AK19" s="540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42"/>
      <c r="T20" s="542"/>
      <c r="U20" s="19"/>
      <c r="V20" s="543"/>
      <c r="W20" s="252"/>
      <c r="X20" s="264"/>
      <c r="Y20" s="540"/>
      <c r="AA20" s="541"/>
      <c r="AB20" s="542"/>
      <c r="AF20" s="542"/>
      <c r="AG20" s="19"/>
      <c r="AH20" s="543"/>
      <c r="AI20" s="252"/>
      <c r="AJ20" s="264"/>
      <c r="AK20" s="540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41"/>
      <c r="AB21" s="542"/>
      <c r="AF21" s="542"/>
      <c r="AG21" s="19"/>
      <c r="AH21" s="543"/>
      <c r="AI21" s="252"/>
      <c r="AJ21" s="264"/>
      <c r="AK21" s="540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41"/>
      <c r="AB22" s="51"/>
      <c r="AF22" s="542"/>
      <c r="AG22" s="19"/>
      <c r="AH22" s="543"/>
      <c r="AI22" s="252"/>
      <c r="AJ22" s="264"/>
      <c r="AK22" s="540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42"/>
      <c r="Q23" s="542"/>
      <c r="R23" s="542"/>
      <c r="S23" s="542"/>
      <c r="T23" s="542"/>
      <c r="U23" s="19"/>
      <c r="V23" s="543"/>
      <c r="W23" s="252"/>
      <c r="X23" s="264"/>
      <c r="Y23" s="540"/>
      <c r="AA23" s="541"/>
      <c r="AB23" s="51"/>
      <c r="AF23" s="542"/>
      <c r="AG23" s="19"/>
      <c r="AH23" s="543"/>
      <c r="AI23" s="252"/>
      <c r="AJ23" s="264"/>
      <c r="AK23" s="540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42"/>
      <c r="Q24" s="542"/>
      <c r="R24" s="542"/>
      <c r="S24" s="542"/>
      <c r="T24" s="542"/>
      <c r="U24" s="19"/>
      <c r="V24" s="543"/>
      <c r="W24" s="252"/>
      <c r="X24" s="264"/>
      <c r="Y24" s="540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42"/>
      <c r="Q25" s="542"/>
      <c r="R25" s="542"/>
      <c r="S25" s="542"/>
      <c r="T25" s="542"/>
      <c r="U25" s="19"/>
      <c r="V25" s="543"/>
      <c r="W25" s="252"/>
      <c r="X25" s="264"/>
      <c r="Y25" s="540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42"/>
      <c r="Q26" s="542"/>
      <c r="R26" s="542"/>
      <c r="S26" s="542"/>
      <c r="T26" s="542"/>
      <c r="U26" s="19"/>
      <c r="V26" s="543"/>
      <c r="W26" s="252"/>
      <c r="X26" s="264"/>
      <c r="Y26" s="540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42"/>
      <c r="Q27" s="542"/>
      <c r="R27" s="542"/>
      <c r="S27" s="542"/>
      <c r="T27" s="542"/>
      <c r="U27" s="19"/>
      <c r="V27" s="543"/>
      <c r="W27" s="252"/>
      <c r="X27" s="264"/>
      <c r="Y27" s="540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42"/>
      <c r="Q28" s="542"/>
      <c r="R28" s="542"/>
      <c r="S28" s="542"/>
      <c r="T28" s="542"/>
      <c r="U28" s="19"/>
      <c r="V28" s="543"/>
      <c r="W28" s="252"/>
      <c r="X28" s="264"/>
      <c r="Y28" s="540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42"/>
      <c r="Q29" s="542"/>
      <c r="R29" s="542"/>
      <c r="S29" s="542"/>
      <c r="T29" s="542"/>
      <c r="U29" s="19"/>
      <c r="V29" s="543"/>
      <c r="W29" s="252"/>
      <c r="X29" s="264"/>
      <c r="Y29" s="540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42"/>
      <c r="Q30" s="542"/>
      <c r="R30" s="542"/>
      <c r="S30" s="542"/>
      <c r="T30" s="542"/>
      <c r="U30" s="19"/>
      <c r="V30" s="543"/>
      <c r="W30" s="252"/>
      <c r="X30" s="264"/>
      <c r="Y30" s="540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42"/>
      <c r="Q31" s="542"/>
      <c r="R31" s="542"/>
      <c r="S31" s="542"/>
      <c r="T31" s="542"/>
      <c r="U31" s="19"/>
      <c r="V31" s="543"/>
      <c r="W31" s="252"/>
      <c r="X31" s="264"/>
      <c r="Y31" s="540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42"/>
      <c r="Q32" s="542"/>
      <c r="R32" s="542"/>
      <c r="S32" s="542"/>
      <c r="T32" s="542"/>
      <c r="U32" s="19"/>
      <c r="V32" s="543"/>
      <c r="W32" s="252"/>
      <c r="X32" s="264"/>
      <c r="Y32" s="540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42"/>
      <c r="Q33" s="542"/>
      <c r="R33" s="542"/>
      <c r="S33" s="542"/>
      <c r="T33" s="542"/>
      <c r="U33" s="19"/>
      <c r="V33" s="543"/>
      <c r="W33" s="252"/>
      <c r="X33" s="264"/>
      <c r="Y33" s="540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42"/>
      <c r="T34" s="542"/>
      <c r="U34" s="19"/>
      <c r="V34" s="543"/>
      <c r="W34" s="252"/>
      <c r="X34" s="264"/>
      <c r="Y34" s="540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42"/>
      <c r="T35" s="542"/>
      <c r="U35" s="19"/>
      <c r="V35" s="543"/>
      <c r="W35" s="252"/>
      <c r="X35" s="264"/>
      <c r="Y35" s="540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42"/>
      <c r="T36" s="542"/>
      <c r="U36" s="19"/>
      <c r="V36" s="543"/>
      <c r="W36" s="252"/>
      <c r="X36" s="264"/>
      <c r="Y36" s="540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42"/>
      <c r="T37" s="542"/>
      <c r="U37" s="19"/>
      <c r="V37" s="543"/>
      <c r="W37" s="252"/>
      <c r="X37" s="264"/>
      <c r="Y37" s="540"/>
    </row>
    <row r="38" spans="1:25" x14ac:dyDescent="0.25">
      <c r="N38" s="264">
        <f>+summary!G4</f>
        <v>2.0499999999999998</v>
      </c>
      <c r="P38" s="51"/>
      <c r="T38" s="542"/>
      <c r="U38" s="19"/>
      <c r="V38" s="543"/>
      <c r="W38" s="252"/>
      <c r="X38" s="264"/>
      <c r="Y38" s="540"/>
    </row>
    <row r="39" spans="1:25" x14ac:dyDescent="0.25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42"/>
      <c r="U39" s="19"/>
      <c r="V39" s="543"/>
      <c r="W39" s="252"/>
      <c r="X39" s="264"/>
      <c r="Y39" s="540"/>
    </row>
    <row r="40" spans="1:25" x14ac:dyDescent="0.25">
      <c r="N40" s="329"/>
      <c r="P40" s="542"/>
      <c r="T40" s="542"/>
      <c r="U40" s="19"/>
      <c r="V40" s="543"/>
      <c r="W40" s="252"/>
      <c r="X40" s="264"/>
      <c r="Y40" s="540"/>
    </row>
    <row r="41" spans="1:25" x14ac:dyDescent="0.25">
      <c r="A41" s="263">
        <v>37287</v>
      </c>
      <c r="C41" s="131"/>
      <c r="E41" s="131"/>
      <c r="G41" s="131"/>
      <c r="I41" s="131"/>
      <c r="K41" s="131"/>
      <c r="M41" s="131"/>
      <c r="N41" s="585">
        <f>121241.56-58000</f>
        <v>63241.56</v>
      </c>
      <c r="P41" s="542"/>
      <c r="T41" s="542"/>
      <c r="U41" s="19"/>
      <c r="V41" s="543"/>
      <c r="W41" s="252"/>
      <c r="X41" s="264"/>
      <c r="Y41" s="540"/>
    </row>
    <row r="42" spans="1:25" x14ac:dyDescent="0.25">
      <c r="N42" s="319"/>
      <c r="P42" s="542"/>
      <c r="T42" s="542"/>
      <c r="U42" s="19"/>
      <c r="V42" s="543"/>
      <c r="W42" s="252"/>
      <c r="X42" s="264"/>
      <c r="Y42" s="540"/>
    </row>
    <row r="43" spans="1:25" x14ac:dyDescent="0.25">
      <c r="A43" s="263">
        <v>37287</v>
      </c>
      <c r="N43" s="319">
        <f>+N41+N39</f>
        <v>63241.56</v>
      </c>
      <c r="P43" s="542"/>
      <c r="T43" s="542"/>
      <c r="U43" s="19"/>
      <c r="V43" s="543"/>
      <c r="W43" s="252"/>
      <c r="X43" s="264"/>
      <c r="Y43" s="540"/>
    </row>
    <row r="44" spans="1:25" x14ac:dyDescent="0.25">
      <c r="N44" s="329"/>
      <c r="P44" s="542"/>
      <c r="T44" s="542"/>
      <c r="U44" s="19"/>
      <c r="V44" s="543"/>
      <c r="W44" s="252"/>
      <c r="X44" s="264"/>
      <c r="Y44" s="540"/>
    </row>
    <row r="45" spans="1:25" x14ac:dyDescent="0.25">
      <c r="P45" s="542"/>
      <c r="T45" s="542"/>
      <c r="U45" s="19"/>
      <c r="V45" s="543"/>
      <c r="W45" s="252"/>
      <c r="X45" s="264"/>
      <c r="Y45" s="540"/>
    </row>
    <row r="46" spans="1:25" x14ac:dyDescent="0.25">
      <c r="B46" s="463"/>
      <c r="D46" s="463"/>
      <c r="F46" s="463"/>
      <c r="H46" s="463"/>
      <c r="J46" s="463"/>
      <c r="L46" s="463"/>
      <c r="O46" s="541"/>
      <c r="P46" s="51"/>
      <c r="T46" s="542"/>
      <c r="U46" s="19"/>
      <c r="V46" s="543"/>
      <c r="W46" s="252"/>
      <c r="X46" s="264"/>
      <c r="Y46" s="540"/>
    </row>
    <row r="47" spans="1:25" x14ac:dyDescent="0.25">
      <c r="A47" s="249" t="s">
        <v>149</v>
      </c>
      <c r="B47" s="249"/>
      <c r="C47" s="249"/>
      <c r="D47" s="249"/>
      <c r="E47" s="533"/>
      <c r="F47" s="533"/>
      <c r="G47" s="533"/>
      <c r="H47" s="533"/>
      <c r="I47" s="533"/>
      <c r="J47" s="533"/>
      <c r="K47" s="533"/>
      <c r="L47" s="533"/>
      <c r="M47" s="533"/>
      <c r="N47" s="533"/>
      <c r="O47" s="541"/>
      <c r="P47" s="51"/>
      <c r="T47" s="542"/>
      <c r="U47" s="19"/>
      <c r="V47" s="543"/>
      <c r="W47" s="252"/>
      <c r="X47" s="264"/>
      <c r="Y47" s="540"/>
    </row>
    <row r="48" spans="1:25" x14ac:dyDescent="0.25">
      <c r="A48" s="545">
        <f>+A41</f>
        <v>37287</v>
      </c>
      <c r="B48" s="249"/>
      <c r="C48" s="249"/>
      <c r="D48" s="579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41"/>
      <c r="T48" s="542"/>
      <c r="U48" s="19"/>
      <c r="V48" s="543"/>
      <c r="W48" s="252"/>
      <c r="X48" s="264"/>
      <c r="Y48" s="540"/>
    </row>
    <row r="49" spans="1:25" x14ac:dyDescent="0.25">
      <c r="A49" s="545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41"/>
      <c r="T49" s="542"/>
      <c r="U49" s="19"/>
      <c r="V49" s="543"/>
      <c r="W49" s="252"/>
      <c r="X49" s="264"/>
      <c r="Y49" s="540"/>
    </row>
    <row r="50" spans="1:25" x14ac:dyDescent="0.25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41"/>
      <c r="U50" s="19"/>
    </row>
    <row r="51" spans="1:25" x14ac:dyDescent="0.25">
      <c r="A51" s="546"/>
      <c r="B51" s="547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41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41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41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41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41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41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41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41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41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41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41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41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41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41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41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41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41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41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41"/>
      <c r="P70" s="542"/>
      <c r="Q70" s="542"/>
      <c r="R70" s="542"/>
      <c r="S70" s="542"/>
      <c r="T70" s="542"/>
      <c r="U70" s="28"/>
      <c r="V70" s="548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41"/>
      <c r="P71" s="542"/>
      <c r="Q71" s="542"/>
      <c r="R71" s="542"/>
      <c r="S71" s="542"/>
      <c r="T71" s="542"/>
      <c r="U71" s="28"/>
      <c r="V71" s="548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41"/>
      <c r="P72" s="542"/>
      <c r="Q72" s="542"/>
      <c r="R72" s="542"/>
      <c r="S72" s="542"/>
      <c r="T72" s="542"/>
      <c r="U72" s="28"/>
      <c r="V72" s="548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41"/>
      <c r="P73" s="542"/>
      <c r="Q73" s="542"/>
      <c r="R73" s="542"/>
      <c r="S73" s="542"/>
      <c r="T73" s="542"/>
      <c r="U73" s="28"/>
      <c r="V73" s="548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41"/>
      <c r="P74" s="542"/>
      <c r="Q74" s="542"/>
      <c r="R74" s="542"/>
      <c r="S74" s="542"/>
      <c r="T74" s="542"/>
      <c r="U74" s="28"/>
      <c r="V74" s="548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41"/>
      <c r="P75" s="542"/>
      <c r="Q75" s="542"/>
      <c r="R75" s="542"/>
      <c r="S75" s="542"/>
      <c r="T75" s="542"/>
      <c r="U75" s="28"/>
      <c r="V75" s="548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41"/>
      <c r="P76" s="542"/>
      <c r="Q76" s="542"/>
      <c r="R76" s="542"/>
      <c r="S76" s="542"/>
      <c r="T76" s="542"/>
      <c r="U76" s="28"/>
      <c r="V76" s="548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41"/>
      <c r="P77" s="542"/>
      <c r="Q77" s="542"/>
      <c r="R77" s="542"/>
      <c r="S77" s="542"/>
      <c r="T77" s="542"/>
      <c r="U77" s="28"/>
      <c r="V77" s="548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41"/>
      <c r="P78" s="542"/>
      <c r="Q78" s="542"/>
      <c r="R78" s="542"/>
      <c r="S78" s="542"/>
      <c r="T78" s="542"/>
      <c r="U78" s="28"/>
      <c r="V78" s="548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41"/>
      <c r="P79" s="542"/>
      <c r="Q79" s="542"/>
      <c r="R79" s="542"/>
      <c r="S79" s="542"/>
      <c r="T79" s="542"/>
      <c r="U79" s="28"/>
      <c r="V79" s="548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41"/>
      <c r="P80" s="542"/>
      <c r="Q80" s="542"/>
      <c r="R80" s="542"/>
      <c r="S80" s="542"/>
      <c r="T80" s="542"/>
      <c r="U80" s="28"/>
      <c r="V80" s="548"/>
    </row>
    <row r="81" spans="1:22" x14ac:dyDescent="0.25">
      <c r="A81" s="261"/>
      <c r="C81" s="131"/>
      <c r="E81" s="131"/>
      <c r="G81" s="131"/>
      <c r="I81" s="131"/>
      <c r="K81" s="131"/>
      <c r="M81" s="131"/>
      <c r="O81" s="541"/>
      <c r="P81" s="542"/>
      <c r="Q81" s="542"/>
      <c r="R81" s="542"/>
      <c r="S81" s="542"/>
      <c r="T81" s="542"/>
      <c r="U81" s="28"/>
      <c r="V81" s="548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41"/>
      <c r="P82" s="542"/>
      <c r="Q82" s="542"/>
      <c r="R82" s="542"/>
      <c r="S82" s="542"/>
      <c r="T82" s="542"/>
      <c r="U82" s="28"/>
      <c r="V82" s="548"/>
    </row>
    <row r="83" spans="1:22" x14ac:dyDescent="0.25">
      <c r="A83" s="261"/>
      <c r="C83" s="131"/>
      <c r="E83" s="131"/>
      <c r="H83" s="549"/>
      <c r="I83" s="549"/>
      <c r="J83" s="549"/>
      <c r="K83" s="549"/>
      <c r="L83" s="549"/>
      <c r="M83" s="549"/>
      <c r="N83" s="131"/>
      <c r="O83" s="541"/>
      <c r="P83" s="542"/>
      <c r="Q83" s="542"/>
      <c r="R83" s="542"/>
      <c r="S83" s="542"/>
      <c r="T83" s="542"/>
      <c r="V83" s="548"/>
    </row>
    <row r="84" spans="1:22" x14ac:dyDescent="0.25">
      <c r="A84" s="261"/>
      <c r="O84" s="541"/>
      <c r="P84" s="542"/>
      <c r="Q84" s="542"/>
      <c r="R84" s="542"/>
      <c r="S84" s="542"/>
      <c r="T84" s="542"/>
      <c r="V84" s="548"/>
    </row>
    <row r="85" spans="1:22" x14ac:dyDescent="0.25">
      <c r="A85" s="261"/>
      <c r="O85" s="541"/>
      <c r="P85" s="542"/>
      <c r="Q85" s="542"/>
      <c r="R85" s="542"/>
      <c r="S85" s="542"/>
      <c r="T85" s="542"/>
      <c r="V85" s="548"/>
    </row>
    <row r="86" spans="1:22" x14ac:dyDescent="0.25">
      <c r="A86" s="261"/>
      <c r="O86" s="541"/>
      <c r="P86" s="542"/>
      <c r="Q86" s="542"/>
      <c r="R86" s="542"/>
      <c r="S86" s="542"/>
      <c r="T86" s="542"/>
      <c r="V86" s="548"/>
    </row>
    <row r="87" spans="1:22" x14ac:dyDescent="0.25">
      <c r="A87" s="261"/>
      <c r="O87" s="541"/>
      <c r="P87" s="542"/>
      <c r="Q87" s="542"/>
      <c r="R87" s="542"/>
      <c r="S87" s="542"/>
      <c r="T87" s="542"/>
      <c r="V87" s="548"/>
    </row>
    <row r="88" spans="1:22" x14ac:dyDescent="0.25">
      <c r="A88" s="261"/>
      <c r="O88" s="541"/>
      <c r="P88" s="542"/>
      <c r="Q88" s="542"/>
      <c r="R88" s="542"/>
      <c r="S88" s="542"/>
      <c r="T88" s="542"/>
      <c r="V88" s="548"/>
    </row>
    <row r="89" spans="1:22" x14ac:dyDescent="0.25">
      <c r="A89" s="261"/>
      <c r="O89" s="541"/>
      <c r="P89" s="542"/>
      <c r="Q89" s="542"/>
      <c r="R89" s="542"/>
      <c r="S89" s="542"/>
      <c r="T89" s="542"/>
      <c r="V89" s="548"/>
    </row>
    <row r="90" spans="1:22" x14ac:dyDescent="0.25">
      <c r="B90" s="463"/>
      <c r="D90" s="463"/>
      <c r="F90" s="463"/>
      <c r="H90" s="463"/>
      <c r="J90" s="463"/>
      <c r="L90" s="463"/>
      <c r="O90" s="541"/>
      <c r="P90" s="542"/>
      <c r="Q90" s="542"/>
      <c r="R90" s="542"/>
      <c r="S90" s="542"/>
      <c r="T90" s="542"/>
      <c r="V90" s="548"/>
    </row>
    <row r="91" spans="1:22" x14ac:dyDescent="0.25">
      <c r="A91" s="550"/>
      <c r="B91" s="533"/>
      <c r="C91" s="533"/>
      <c r="D91" s="533"/>
      <c r="E91" s="533"/>
      <c r="F91" s="533"/>
      <c r="G91" s="533"/>
      <c r="H91" s="533"/>
      <c r="I91" s="533"/>
      <c r="J91" s="533"/>
      <c r="K91" s="533"/>
      <c r="L91" s="533"/>
      <c r="M91" s="533"/>
      <c r="N91" s="533"/>
      <c r="O91" s="541"/>
      <c r="P91" s="542"/>
      <c r="Q91" s="542"/>
      <c r="R91" s="542"/>
      <c r="S91" s="542"/>
      <c r="T91" s="542"/>
      <c r="V91" s="548"/>
    </row>
    <row r="92" spans="1:22" x14ac:dyDescent="0.25">
      <c r="A92" s="535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41"/>
      <c r="P92" s="549"/>
      <c r="Q92" s="549"/>
      <c r="R92" s="549"/>
      <c r="S92" s="549"/>
      <c r="T92" s="549"/>
      <c r="V92" s="536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49"/>
      <c r="I127" s="549"/>
      <c r="J127" s="549"/>
      <c r="K127" s="549"/>
      <c r="L127" s="549"/>
      <c r="M127" s="549"/>
      <c r="N127" s="131"/>
    </row>
    <row r="128" spans="1:14" x14ac:dyDescent="0.25">
      <c r="A128" s="261"/>
    </row>
    <row r="129" spans="1:14" x14ac:dyDescent="0.25">
      <c r="B129" s="463"/>
      <c r="D129" s="463"/>
      <c r="F129" s="463"/>
      <c r="H129" s="463"/>
      <c r="J129" s="463"/>
      <c r="L129" s="463"/>
    </row>
    <row r="130" spans="1:14" x14ac:dyDescent="0.25">
      <c r="B130" s="532"/>
      <c r="C130" s="533"/>
      <c r="D130" s="533"/>
      <c r="E130" s="533"/>
      <c r="F130" s="533"/>
      <c r="G130" s="533"/>
      <c r="H130" s="533"/>
      <c r="I130" s="533"/>
      <c r="J130" s="533"/>
      <c r="K130" s="533"/>
      <c r="L130" s="533"/>
      <c r="M130" s="533"/>
      <c r="N130" s="533"/>
    </row>
    <row r="131" spans="1:14" x14ac:dyDescent="0.25">
      <c r="A131" s="535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51"/>
      <c r="K166" s="551"/>
      <c r="M166" s="551"/>
      <c r="N166" s="51"/>
    </row>
    <row r="167" spans="1:14" x14ac:dyDescent="0.25">
      <c r="N167" s="51"/>
    </row>
    <row r="171" spans="1:14" x14ac:dyDescent="0.25">
      <c r="B171" s="463"/>
      <c r="D171" s="463"/>
      <c r="F171" s="463"/>
      <c r="H171" s="463"/>
      <c r="J171" s="463"/>
      <c r="L171" s="463"/>
    </row>
    <row r="172" spans="1:14" x14ac:dyDescent="0.25">
      <c r="B172" s="532"/>
      <c r="C172" s="533"/>
      <c r="D172" s="533"/>
      <c r="E172" s="533"/>
      <c r="F172" s="533"/>
      <c r="G172" s="533"/>
      <c r="H172" s="533"/>
      <c r="I172" s="533"/>
      <c r="J172" s="533"/>
      <c r="K172" s="533"/>
      <c r="L172" s="533"/>
      <c r="M172" s="533"/>
    </row>
    <row r="173" spans="1:14" x14ac:dyDescent="0.25">
      <c r="A173" s="535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51"/>
      <c r="K208" s="551"/>
      <c r="M208" s="551"/>
    </row>
    <row r="214" spans="1:13" x14ac:dyDescent="0.25">
      <c r="B214" s="463"/>
      <c r="D214" s="463"/>
      <c r="F214" s="463"/>
      <c r="H214" s="463"/>
      <c r="J214" s="463"/>
      <c r="L214" s="463"/>
    </row>
    <row r="215" spans="1:13" x14ac:dyDescent="0.25">
      <c r="B215" s="532"/>
      <c r="C215" s="533"/>
      <c r="D215" s="533"/>
      <c r="E215" s="533"/>
      <c r="F215" s="533"/>
      <c r="G215" s="533"/>
      <c r="H215" s="533"/>
      <c r="I215" s="533"/>
      <c r="J215" s="533"/>
      <c r="K215" s="533"/>
      <c r="L215" s="533"/>
      <c r="M215" s="533"/>
    </row>
    <row r="216" spans="1:13" x14ac:dyDescent="0.25">
      <c r="A216" s="535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51"/>
      <c r="K251" s="551"/>
      <c r="M251" s="551"/>
    </row>
    <row r="256" spans="1:21" x14ac:dyDescent="0.25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5">
      <c r="B257" s="532"/>
      <c r="C257" s="533"/>
      <c r="D257" s="533"/>
      <c r="E257" s="533"/>
      <c r="F257" s="533"/>
      <c r="G257" s="533"/>
      <c r="H257" s="533"/>
      <c r="I257" s="533"/>
      <c r="J257" s="533"/>
      <c r="K257" s="533"/>
      <c r="L257" s="533"/>
      <c r="M257" s="533"/>
      <c r="O257" s="532"/>
      <c r="P257" s="533"/>
      <c r="Q257" s="533"/>
      <c r="R257" s="533"/>
      <c r="S257" s="533"/>
      <c r="T257" s="533"/>
      <c r="U257" s="533"/>
      <c r="V257" s="533"/>
      <c r="W257" s="533"/>
    </row>
    <row r="258" spans="1:23" x14ac:dyDescent="0.25">
      <c r="A258" s="535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35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51"/>
      <c r="K293" s="551"/>
      <c r="M293" s="551"/>
      <c r="V293" s="551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3"/>
      <c r="Q297" s="463"/>
      <c r="S297" s="463"/>
      <c r="U297" s="463"/>
    </row>
    <row r="298" spans="1:23" x14ac:dyDescent="0.25">
      <c r="O298" s="532"/>
      <c r="P298" s="533"/>
      <c r="Q298" s="533"/>
      <c r="R298" s="533"/>
      <c r="S298" s="533"/>
      <c r="T298" s="533"/>
      <c r="U298" s="533"/>
      <c r="V298" s="533"/>
      <c r="W298" s="533"/>
    </row>
    <row r="299" spans="1:23" x14ac:dyDescent="0.25">
      <c r="N299" s="535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52"/>
      <c r="W336" s="51"/>
    </row>
    <row r="339" spans="14:23" x14ac:dyDescent="0.25">
      <c r="O339" s="463"/>
      <c r="Q339" s="463"/>
      <c r="S339" s="463"/>
      <c r="U339" s="463"/>
    </row>
    <row r="340" spans="14:23" x14ac:dyDescent="0.25">
      <c r="O340" s="532"/>
      <c r="P340" s="533"/>
      <c r="Q340" s="533"/>
      <c r="R340" s="533"/>
      <c r="S340" s="533"/>
      <c r="T340" s="533"/>
      <c r="U340" s="533"/>
      <c r="V340" s="533"/>
      <c r="W340" s="533"/>
    </row>
    <row r="341" spans="14:23" x14ac:dyDescent="0.25">
      <c r="N341" s="535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31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52"/>
      <c r="W378" s="553"/>
    </row>
    <row r="381" spans="14:23" x14ac:dyDescent="0.25">
      <c r="O381" s="463"/>
      <c r="Q381" s="463"/>
      <c r="S381" s="463"/>
      <c r="U381" s="463"/>
    </row>
    <row r="382" spans="14:23" x14ac:dyDescent="0.25">
      <c r="O382" s="532"/>
      <c r="P382" s="533"/>
      <c r="Q382" s="533"/>
      <c r="R382" s="533"/>
      <c r="S382" s="533"/>
      <c r="T382" s="533"/>
      <c r="U382" s="533"/>
      <c r="V382" s="533"/>
      <c r="W382" s="533"/>
    </row>
    <row r="383" spans="14:23" x14ac:dyDescent="0.25">
      <c r="N383" s="535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31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52"/>
      <c r="W420" s="553"/>
    </row>
    <row r="425" spans="14:23" x14ac:dyDescent="0.25">
      <c r="O425" s="463"/>
      <c r="Q425" s="463"/>
      <c r="S425" s="463"/>
      <c r="U425" s="463"/>
    </row>
    <row r="426" spans="14:23" x14ac:dyDescent="0.25">
      <c r="O426" s="532"/>
      <c r="P426" s="533"/>
      <c r="Q426" s="533"/>
      <c r="R426" s="533"/>
      <c r="S426" s="533"/>
      <c r="T426" s="533"/>
      <c r="U426" s="533"/>
      <c r="V426" s="533"/>
      <c r="W426" s="533"/>
    </row>
    <row r="427" spans="14:23" x14ac:dyDescent="0.25">
      <c r="N427" s="535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31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52"/>
      <c r="W464" s="51"/>
    </row>
    <row r="467" spans="14:33" x14ac:dyDescent="0.25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5">
      <c r="O468" s="532"/>
      <c r="P468" s="533"/>
      <c r="Q468" s="533"/>
      <c r="R468" s="533"/>
      <c r="S468" s="533"/>
      <c r="T468" s="533"/>
      <c r="U468" s="533"/>
      <c r="V468" s="533"/>
      <c r="W468" s="533"/>
      <c r="Y468" s="532"/>
      <c r="Z468" s="533"/>
      <c r="AA468" s="533"/>
      <c r="AB468" s="533"/>
      <c r="AC468" s="533"/>
      <c r="AD468" s="533"/>
      <c r="AE468" s="533"/>
      <c r="AF468" s="533"/>
      <c r="AG468" s="533"/>
    </row>
    <row r="469" spans="14:33" x14ac:dyDescent="0.25">
      <c r="N469" s="535"/>
      <c r="O469" s="464"/>
      <c r="P469" s="464"/>
      <c r="Q469" s="464"/>
      <c r="R469" s="464"/>
      <c r="S469" s="464"/>
      <c r="T469" s="464"/>
      <c r="U469" s="464"/>
      <c r="V469" s="464"/>
      <c r="W469" s="464"/>
      <c r="X469" s="535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31"/>
      <c r="P504" s="131"/>
      <c r="R504" s="131"/>
      <c r="T504" s="131"/>
      <c r="V504" s="131"/>
      <c r="W504" s="51"/>
      <c r="X504" s="531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52"/>
      <c r="W506" s="51"/>
      <c r="X506" s="552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workbookViewId="0">
      <selection activeCell="C10" sqref="C10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5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5">
      <c r="A9" s="10">
        <v>3</v>
      </c>
      <c r="B9" s="11">
        <v>142965</v>
      </c>
      <c r="C9" s="11">
        <v>142375</v>
      </c>
      <c r="D9" s="25">
        <f t="shared" ref="D9:D37" si="0">+C9-B9</f>
        <v>-590</v>
      </c>
    </row>
    <row r="10" spans="1:4" x14ac:dyDescent="0.25">
      <c r="A10" s="10">
        <v>4</v>
      </c>
      <c r="B10" s="11"/>
      <c r="C10" s="11"/>
      <c r="D10" s="25">
        <f t="shared" si="0"/>
        <v>0</v>
      </c>
    </row>
    <row r="11" spans="1:4" x14ac:dyDescent="0.25">
      <c r="A11" s="10">
        <v>5</v>
      </c>
      <c r="B11" s="129"/>
      <c r="C11" s="11"/>
      <c r="D11" s="25">
        <f t="shared" si="0"/>
        <v>0</v>
      </c>
    </row>
    <row r="12" spans="1:4" x14ac:dyDescent="0.25">
      <c r="A12" s="10">
        <v>6</v>
      </c>
      <c r="B12" s="11"/>
      <c r="C12" s="11"/>
      <c r="D12" s="25">
        <f t="shared" si="0"/>
        <v>0</v>
      </c>
    </row>
    <row r="13" spans="1:4" x14ac:dyDescent="0.25">
      <c r="A13" s="10">
        <v>7</v>
      </c>
      <c r="B13" s="129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420773</v>
      </c>
      <c r="C38" s="11">
        <f>SUM(C7:C37)</f>
        <v>419857</v>
      </c>
      <c r="D38" s="11">
        <f>SUM(D7:D37)</f>
        <v>-916</v>
      </c>
    </row>
    <row r="39" spans="1:8" x14ac:dyDescent="0.25">
      <c r="A39" s="26"/>
      <c r="C39" s="14"/>
      <c r="D39" s="106">
        <f>+summary!G3</f>
        <v>2.06</v>
      </c>
    </row>
    <row r="40" spans="1:8" x14ac:dyDescent="0.25">
      <c r="D40" s="138">
        <f>+D39*D38</f>
        <v>-1886.96</v>
      </c>
      <c r="H40">
        <v>20</v>
      </c>
    </row>
    <row r="41" spans="1:8" x14ac:dyDescent="0.25">
      <c r="A41" s="57">
        <v>37287</v>
      </c>
      <c r="C41" s="15"/>
      <c r="D41" s="524">
        <v>-13712</v>
      </c>
      <c r="H41">
        <v>530</v>
      </c>
    </row>
    <row r="42" spans="1:8" x14ac:dyDescent="0.25">
      <c r="A42" s="57">
        <v>37290</v>
      </c>
      <c r="D42" s="319">
        <f>+D41+D40</f>
        <v>-15598.96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37287</v>
      </c>
      <c r="B47" s="32"/>
      <c r="C47" s="32"/>
      <c r="D47" s="516">
        <v>-9206</v>
      </c>
    </row>
    <row r="48" spans="1:8" x14ac:dyDescent="0.25">
      <c r="A48" s="49">
        <f>+A42</f>
        <v>37290</v>
      </c>
      <c r="B48" s="32"/>
      <c r="C48" s="32"/>
      <c r="D48" s="349">
        <f>+D38</f>
        <v>-916</v>
      </c>
    </row>
    <row r="49" spans="1:4" x14ac:dyDescent="0.25">
      <c r="A49" s="32"/>
      <c r="B49" s="32"/>
      <c r="C49" s="32"/>
      <c r="D49" s="14">
        <f>+D48+D47</f>
        <v>-10122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D45" sqref="D45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5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5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5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5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5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5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5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5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-2243484</v>
      </c>
      <c r="C35" s="11">
        <f>SUM(C4:C34)</f>
        <v>-2233393</v>
      </c>
      <c r="D35" s="11">
        <f>SUM(D4:D34)</f>
        <v>10091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37287</v>
      </c>
      <c r="D38" s="587">
        <v>28722</v>
      </c>
    </row>
    <row r="39" spans="1:30" x14ac:dyDescent="0.25">
      <c r="A39" s="12"/>
      <c r="D39" s="51"/>
    </row>
    <row r="40" spans="1:30" x14ac:dyDescent="0.25">
      <c r="A40" s="245">
        <v>37296</v>
      </c>
      <c r="D40" s="51">
        <f>+D38+D35</f>
        <v>38813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71"/>
      <c r="K44"/>
    </row>
    <row r="45" spans="1:30" x14ac:dyDescent="0.25">
      <c r="A45" s="49">
        <f>+A38</f>
        <v>37287</v>
      </c>
      <c r="B45" s="32"/>
      <c r="C45" s="32"/>
      <c r="D45" s="586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37296</v>
      </c>
      <c r="B46" s="32"/>
      <c r="C46" s="32"/>
      <c r="D46" s="374">
        <f>+D35*'by type_area'!G4</f>
        <v>20686.55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-122982.45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31" workbookViewId="0">
      <selection activeCell="C34" sqref="C34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5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5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5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5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5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5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5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5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5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-6073008</v>
      </c>
      <c r="C35" s="11">
        <f>SUM(C4:C34)</f>
        <v>-6084036</v>
      </c>
      <c r="D35" s="11">
        <f>SUM(D4:D34)</f>
        <v>0</v>
      </c>
      <c r="E35" s="11">
        <f>SUM(E4:E34)</f>
        <v>0</v>
      </c>
      <c r="F35" s="11">
        <f>SUM(F4:F34)</f>
        <v>-11028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37287</v>
      </c>
      <c r="D38" s="246"/>
      <c r="E38" s="246"/>
      <c r="F38" s="588">
        <v>94012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37297</v>
      </c>
      <c r="D40" s="246"/>
      <c r="E40" s="246"/>
      <c r="F40" s="51">
        <f>+F38+F35</f>
        <v>82984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150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37287</v>
      </c>
      <c r="B45" s="32"/>
      <c r="C45" s="32"/>
      <c r="D45" s="586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37297</v>
      </c>
      <c r="B46" s="32"/>
      <c r="C46" s="32"/>
      <c r="D46" s="472">
        <f>+F35*'by type_area'!G4</f>
        <v>-22607.399999999998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70">
        <f>+D46+D45</f>
        <v>287660.59999999998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2" workbookViewId="0">
      <selection activeCell="E40" sqref="E40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2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3" t="s">
        <v>49</v>
      </c>
      <c r="Q3" s="514" t="s">
        <v>15</v>
      </c>
      <c r="R3" s="515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3.2" x14ac:dyDescent="0.25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4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4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4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4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4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4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4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4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4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4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4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4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4"/>
      <c r="L34" s="11"/>
      <c r="M34" s="11"/>
      <c r="N34" s="11"/>
    </row>
    <row r="35" spans="1:14" x14ac:dyDescent="0.2">
      <c r="A35" s="41"/>
      <c r="B35" s="11">
        <f t="shared" ref="B35:H35" si="3">SUM(B4:B34)</f>
        <v>-349485</v>
      </c>
      <c r="C35" s="44">
        <f t="shared" si="3"/>
        <v>-15988</v>
      </c>
      <c r="D35" s="11">
        <f t="shared" si="3"/>
        <v>0</v>
      </c>
      <c r="E35" s="44">
        <f t="shared" si="3"/>
        <v>-331931</v>
      </c>
      <c r="F35" s="11">
        <f t="shared" si="3"/>
        <v>0</v>
      </c>
      <c r="G35" s="11">
        <f t="shared" si="3"/>
        <v>0</v>
      </c>
      <c r="H35" s="11">
        <f t="shared" si="3"/>
        <v>1566</v>
      </c>
      <c r="I35" s="11"/>
      <c r="J35" s="102"/>
      <c r="K35" s="504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2.0499999999999998</v>
      </c>
      <c r="I36" s="11"/>
      <c r="J36" s="102"/>
      <c r="K36" s="504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3210.2999999999997</v>
      </c>
      <c r="I37" s="11"/>
      <c r="J37" s="102"/>
      <c r="K37" s="504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1">
        <v>9867</v>
      </c>
      <c r="I38" s="262"/>
      <c r="J38" s="102"/>
      <c r="K38" s="505"/>
      <c r="L38" s="14"/>
      <c r="M38" s="14"/>
      <c r="N38" s="16"/>
    </row>
    <row r="39" spans="1:14" x14ac:dyDescent="0.2">
      <c r="C39" s="14"/>
      <c r="D39" s="47"/>
      <c r="E39" s="263">
        <v>37296</v>
      </c>
      <c r="F39" s="471"/>
      <c r="G39" s="471"/>
      <c r="H39" s="319">
        <f>+H38+H37</f>
        <v>13077.3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6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7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7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3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37296</v>
      </c>
      <c r="E47" s="457">
        <f>+H35</f>
        <v>1566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34042</v>
      </c>
      <c r="F48" s="129"/>
      <c r="G48" s="129"/>
      <c r="H48" s="129"/>
      <c r="I48" s="262"/>
      <c r="J48" s="102"/>
      <c r="K48" s="508"/>
      <c r="L48" s="38"/>
      <c r="M48" s="4"/>
    </row>
    <row r="49" spans="1:15" ht="13.2" x14ac:dyDescent="0.25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9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4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04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04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04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4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4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4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4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4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4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4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4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4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4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4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4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4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4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4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4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4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4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4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4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4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4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4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4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4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4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4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4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6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7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7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8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9"/>
      <c r="L91" s="6"/>
      <c r="M91" s="6"/>
    </row>
    <row r="92" spans="1:14" x14ac:dyDescent="0.2">
      <c r="I92" s="11"/>
      <c r="J92" s="11"/>
      <c r="K92" s="504"/>
      <c r="L92" s="11"/>
      <c r="M92" s="11"/>
      <c r="N92" s="11"/>
    </row>
    <row r="93" spans="1:14" x14ac:dyDescent="0.2">
      <c r="G93" s="41"/>
      <c r="H93" s="11"/>
      <c r="I93" s="11"/>
      <c r="J93" s="11"/>
      <c r="K93" s="504"/>
      <c r="L93" s="11"/>
      <c r="M93" s="11"/>
      <c r="N93" s="11"/>
    </row>
    <row r="94" spans="1:14" x14ac:dyDescent="0.2">
      <c r="G94" s="41"/>
      <c r="H94" s="11"/>
      <c r="I94" s="11"/>
      <c r="J94" s="11"/>
      <c r="K94" s="504"/>
      <c r="L94" s="11"/>
      <c r="M94" s="11"/>
      <c r="N94" s="11"/>
    </row>
    <row r="95" spans="1:14" x14ac:dyDescent="0.2">
      <c r="G95" s="41"/>
      <c r="H95" s="11"/>
      <c r="I95" s="11"/>
      <c r="J95" s="11"/>
      <c r="K95" s="504"/>
      <c r="L95" s="11"/>
      <c r="M95" s="11"/>
      <c r="N95" s="11"/>
    </row>
    <row r="96" spans="1:14" x14ac:dyDescent="0.2">
      <c r="G96" s="41"/>
      <c r="H96" s="11"/>
      <c r="I96" s="11"/>
      <c r="J96" s="11"/>
      <c r="K96" s="504"/>
      <c r="L96" s="11"/>
      <c r="M96" s="11"/>
      <c r="N96" s="11"/>
    </row>
    <row r="97" spans="7:14" x14ac:dyDescent="0.2">
      <c r="G97" s="41"/>
      <c r="H97" s="11"/>
      <c r="I97" s="11"/>
      <c r="J97" s="11"/>
      <c r="K97" s="504"/>
      <c r="L97" s="11"/>
      <c r="M97" s="11"/>
      <c r="N97" s="11"/>
    </row>
    <row r="98" spans="7:14" x14ac:dyDescent="0.2">
      <c r="G98" s="41"/>
      <c r="H98" s="11"/>
      <c r="I98" s="11"/>
      <c r="J98" s="11"/>
      <c r="K98" s="504"/>
      <c r="L98" s="11"/>
      <c r="M98" s="11"/>
      <c r="N98" s="11"/>
    </row>
    <row r="99" spans="7:14" x14ac:dyDescent="0.2">
      <c r="G99" s="41"/>
      <c r="H99" s="11"/>
      <c r="I99" s="11"/>
      <c r="J99" s="11"/>
      <c r="K99" s="504"/>
      <c r="L99" s="11"/>
      <c r="M99" s="11"/>
      <c r="N99" s="11"/>
    </row>
    <row r="100" spans="7:14" x14ac:dyDescent="0.2">
      <c r="G100" s="41"/>
      <c r="H100" s="11"/>
      <c r="I100" s="11"/>
      <c r="J100" s="11"/>
      <c r="K100" s="504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4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4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4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4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4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4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4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4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4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4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4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4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4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4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4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4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4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4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4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4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4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4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6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7"/>
      <c r="L127" s="50"/>
      <c r="M127" s="50"/>
      <c r="N127" s="106"/>
    </row>
    <row r="128" spans="7:14" x14ac:dyDescent="0.2">
      <c r="G128" s="57"/>
      <c r="J128" s="50"/>
      <c r="K128" s="507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8"/>
      <c r="L133" s="38"/>
      <c r="M133" s="4"/>
    </row>
    <row r="134" spans="7:14" x14ac:dyDescent="0.2">
      <c r="G134" s="39"/>
      <c r="H134" s="6"/>
      <c r="I134" s="40"/>
      <c r="J134" s="6"/>
      <c r="K134" s="509"/>
      <c r="L134" s="6"/>
      <c r="M134" s="6"/>
    </row>
    <row r="135" spans="7:14" x14ac:dyDescent="0.2">
      <c r="G135" s="41"/>
      <c r="H135" s="11"/>
      <c r="I135" s="11"/>
      <c r="J135" s="11"/>
      <c r="K135" s="504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4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4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4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4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4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4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4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4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4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4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4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4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4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4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4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4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4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4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4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4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4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4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4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4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4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4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4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4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4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0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1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6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7"/>
      <c r="L171" s="57"/>
      <c r="M171" s="50"/>
      <c r="N171" s="106"/>
    </row>
    <row r="172" spans="7:14" x14ac:dyDescent="0.2">
      <c r="J172" s="50"/>
      <c r="K172" s="507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8"/>
      <c r="L177" s="38"/>
      <c r="M177" s="4"/>
    </row>
    <row r="178" spans="7:14" x14ac:dyDescent="0.2">
      <c r="G178" s="39"/>
      <c r="H178" s="6"/>
      <c r="I178" s="40"/>
      <c r="J178" s="6"/>
      <c r="K178" s="509"/>
      <c r="L178" s="6"/>
      <c r="M178" s="6"/>
    </row>
    <row r="179" spans="7:14" x14ac:dyDescent="0.2">
      <c r="G179" s="41"/>
      <c r="H179" s="11"/>
      <c r="I179" s="11"/>
      <c r="J179" s="11"/>
      <c r="K179" s="504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4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4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4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4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4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4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4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4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4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4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4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4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4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4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4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4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4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4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4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4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4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4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4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4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4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4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4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4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4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0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1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6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7"/>
      <c r="L215" s="57"/>
      <c r="M215" s="50"/>
      <c r="N215" s="106"/>
    </row>
    <row r="216" spans="7:14" x14ac:dyDescent="0.2">
      <c r="J216" s="50"/>
      <c r="K216" s="507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8"/>
      <c r="L220" s="38"/>
      <c r="M220" s="4"/>
    </row>
    <row r="221" spans="7:14" x14ac:dyDescent="0.2">
      <c r="G221" s="39"/>
      <c r="H221" s="6"/>
      <c r="I221" s="40"/>
      <c r="J221" s="6"/>
      <c r="K221" s="509"/>
      <c r="L221" s="6"/>
      <c r="M221" s="6"/>
    </row>
    <row r="222" spans="7:14" x14ac:dyDescent="0.2">
      <c r="G222" s="41"/>
      <c r="H222" s="11"/>
      <c r="I222" s="11"/>
      <c r="J222" s="11"/>
      <c r="K222" s="504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4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4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4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4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4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4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4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4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4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4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4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4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4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4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4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4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4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4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4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4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4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4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4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4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4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4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4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4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4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0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1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6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7"/>
      <c r="L258" s="57"/>
      <c r="M258" s="50"/>
      <c r="N258" s="106"/>
    </row>
    <row r="259" spans="10:14" x14ac:dyDescent="0.2">
      <c r="J259" s="50"/>
      <c r="K259" s="507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30" workbookViewId="0">
      <selection activeCell="F35" sqref="F35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08">
        <v>-325040</v>
      </c>
      <c r="E8" s="129">
        <v>-325040</v>
      </c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-3277540</v>
      </c>
      <c r="E36" s="11">
        <f t="shared" si="15"/>
        <v>-3273233</v>
      </c>
      <c r="F36" s="11">
        <f t="shared" si="15"/>
        <v>0</v>
      </c>
      <c r="G36" s="11">
        <f t="shared" si="15"/>
        <v>0</v>
      </c>
      <c r="H36" s="11">
        <f t="shared" si="15"/>
        <v>4307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4307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37287</v>
      </c>
      <c r="B38" s="2" t="s">
        <v>45</v>
      </c>
      <c r="C38" s="590">
        <v>64269</v>
      </c>
      <c r="D38" s="320"/>
      <c r="E38" s="591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37297</v>
      </c>
      <c r="B39" s="2" t="s">
        <v>45</v>
      </c>
      <c r="C39" s="131">
        <f>+C38+C37</f>
        <v>64269</v>
      </c>
      <c r="D39" s="252"/>
      <c r="E39" s="131">
        <f>+E38+E37</f>
        <v>18915</v>
      </c>
      <c r="F39" s="252"/>
      <c r="G39" s="131"/>
      <c r="H39" s="131">
        <f>+H38+H36</f>
        <v>83184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37287</v>
      </c>
      <c r="B44" s="32"/>
      <c r="C44" s="589">
        <v>-1582961.01</v>
      </c>
      <c r="D44" s="205"/>
      <c r="E44" s="592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37297</v>
      </c>
      <c r="B45" s="32"/>
      <c r="C45" s="47">
        <f>+C37*summary!G4</f>
        <v>0</v>
      </c>
      <c r="D45" s="205"/>
      <c r="E45" s="376">
        <f>+E37*summary!G3</f>
        <v>8872.42</v>
      </c>
      <c r="F45" s="47">
        <f>+E45+C45</f>
        <v>8872.42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A46" sqref="A46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188757</v>
      </c>
      <c r="C16" s="11">
        <v>187342</v>
      </c>
      <c r="D16" s="5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6">
        <f>+A45</f>
        <v>37296</v>
      </c>
      <c r="I23" s="11">
        <f>+B39</f>
        <v>1667188</v>
      </c>
      <c r="J23" s="11">
        <f>+C39</f>
        <v>1665988</v>
      </c>
      <c r="K23" s="11">
        <f>+D39</f>
        <v>116469</v>
      </c>
      <c r="L23" s="11">
        <f>+E39</f>
        <v>116355</v>
      </c>
      <c r="M23" s="42">
        <f>+J23-I23+L23-K23</f>
        <v>-1314</v>
      </c>
      <c r="N23" s="102">
        <f>+summary!G3</f>
        <v>2.06</v>
      </c>
      <c r="O23" s="498">
        <f>+N23*M23</f>
        <v>-2706.84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7">
        <f>SUM(M9:M23)</f>
        <v>88486</v>
      </c>
      <c r="N24" s="102"/>
      <c r="O24" s="102">
        <f>SUM(O9:O23)</f>
        <v>565409.5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5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1667188</v>
      </c>
      <c r="C39" s="150">
        <f>SUM(C8:C38)</f>
        <v>1665988</v>
      </c>
      <c r="D39" s="150">
        <f>SUM(D8:D38)</f>
        <v>116469</v>
      </c>
      <c r="E39" s="150">
        <f>SUM(E8:E38)</f>
        <v>116355</v>
      </c>
      <c r="F39" s="11">
        <f t="shared" si="5"/>
        <v>-1314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9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37287</v>
      </c>
      <c r="B44" s="32"/>
      <c r="C44" s="460"/>
      <c r="D44" s="111"/>
      <c r="E44" s="460"/>
      <c r="F44" s="489">
        <v>18002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37296</v>
      </c>
      <c r="B45" s="32"/>
      <c r="C45" s="106"/>
      <c r="D45" s="106"/>
      <c r="E45" s="106"/>
      <c r="F45" s="24">
        <f>+F44+F39</f>
        <v>16688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288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37287</v>
      </c>
      <c r="B50" s="32"/>
      <c r="C50" s="32"/>
      <c r="D50" s="489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37296</v>
      </c>
      <c r="B51" s="32"/>
      <c r="C51" s="32"/>
      <c r="D51" s="349">
        <f>+F39*summary!G3</f>
        <v>-2706.84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406547.16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2002-02-04T17:10:29Z</cp:lastPrinted>
  <dcterms:created xsi:type="dcterms:W3CDTF">2000-03-28T16:52:23Z</dcterms:created>
  <dcterms:modified xsi:type="dcterms:W3CDTF">2023-09-10T12:01:00Z</dcterms:modified>
</cp:coreProperties>
</file>